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user\Desktop\法律\犯防中心資料\110年工作內容\debug-108\"/>
    </mc:Choice>
  </mc:AlternateContent>
  <bookViews>
    <workbookView xWindow="0" yWindow="0" windowWidth="9375" windowHeight="5010" tabRatio="902" firstSheet="11" activeTab="11"/>
  </bookViews>
  <sheets>
    <sheet name="1-1-1、1-1-2" sheetId="87" r:id="rId1"/>
    <sheet name=" 1-1-3" sheetId="32" r:id="rId2"/>
    <sheet name="1-1-4" sheetId="28" r:id="rId3"/>
    <sheet name="1-2-1" sheetId="31" r:id="rId4"/>
    <sheet name="1-2-2" sheetId="29" r:id="rId5"/>
    <sheet name="1-2-3" sheetId="33" r:id="rId6"/>
    <sheet name="1-2-3(續)" sheetId="77" r:id="rId7"/>
    <sheet name="1-2-4" sheetId="35" r:id="rId8"/>
    <sheet name="1-2-5" sheetId="11" r:id="rId9"/>
    <sheet name="1-2-6" sheetId="37" r:id="rId10"/>
    <sheet name="1-2-7" sheetId="86" r:id="rId11"/>
    <sheet name="1-3-1" sheetId="39" r:id="rId12"/>
    <sheet name="1-3-2" sheetId="76" r:id="rId13"/>
    <sheet name="1-3-3、1-3-4" sheetId="41" r:id="rId14"/>
    <sheet name="1-3-5" sheetId="56" r:id="rId15"/>
    <sheet name="1-3-6、1-3-7" sheetId="68" r:id="rId16"/>
    <sheet name="1-4-1" sheetId="89" r:id="rId17"/>
    <sheet name="1-4-2" sheetId="90" r:id="rId18"/>
    <sheet name="1-4-3" sheetId="91" r:id="rId19"/>
    <sheet name="1-4-4" sheetId="92" r:id="rId20"/>
    <sheet name="1-4-5" sheetId="93" r:id="rId21"/>
    <sheet name="1-4-6" sheetId="94" r:id="rId22"/>
    <sheet name="1-4-7" sheetId="88" r:id="rId23"/>
    <sheet name="1-5-1" sheetId="96" r:id="rId24"/>
    <sheet name="2-1-1" sheetId="97" r:id="rId25"/>
    <sheet name="2-1-2" sheetId="98" r:id="rId26"/>
    <sheet name="2-1-3" sheetId="99" r:id="rId27"/>
    <sheet name="2-1-4" sheetId="100" r:id="rId28"/>
    <sheet name="2-1-5" sheetId="101" r:id="rId29"/>
    <sheet name="2-1-6" sheetId="102" r:id="rId30"/>
    <sheet name="2-1-7 " sheetId="103" r:id="rId31"/>
    <sheet name="2-1-8" sheetId="104" r:id="rId32"/>
    <sheet name="2-1-9" sheetId="105" r:id="rId33"/>
    <sheet name="2-1-10" sheetId="106" r:id="rId34"/>
    <sheet name="2-1-11" sheetId="107" r:id="rId35"/>
    <sheet name="2-1-12" sheetId="108" r:id="rId36"/>
    <sheet name="2-1-13" sheetId="109" r:id="rId37"/>
    <sheet name="2-1-14" sheetId="110" r:id="rId38"/>
    <sheet name="2-1-15" sheetId="111" r:id="rId39"/>
    <sheet name="2-1-16" sheetId="112" r:id="rId40"/>
    <sheet name="2-1-17" sheetId="113" r:id="rId41"/>
    <sheet name="2-1-18" sheetId="114" r:id="rId42"/>
    <sheet name="2-1-19" sheetId="115" r:id="rId43"/>
    <sheet name="2-1-20" sheetId="116" r:id="rId44"/>
    <sheet name="2-1-21" sheetId="117" r:id="rId45"/>
    <sheet name="2-1-22" sheetId="118" r:id="rId46"/>
    <sheet name="2-1-23" sheetId="119" r:id="rId47"/>
    <sheet name="2-1-24" sheetId="120" r:id="rId48"/>
    <sheet name="2-2-1" sheetId="121" r:id="rId49"/>
    <sheet name="2-2-2" sheetId="122" r:id="rId50"/>
    <sheet name="2-2-3" sheetId="123" r:id="rId51"/>
    <sheet name="2-2-4 " sheetId="124" r:id="rId52"/>
    <sheet name="2-2-5" sheetId="125" r:id="rId53"/>
    <sheet name="2-2-6" sheetId="126" r:id="rId54"/>
    <sheet name="2-2-7" sheetId="127" r:id="rId55"/>
    <sheet name="2-2-8" sheetId="128" r:id="rId56"/>
    <sheet name="2-2-9" sheetId="129" r:id="rId57"/>
    <sheet name="2-2-10" sheetId="130" r:id="rId58"/>
    <sheet name="2-3-1" sheetId="131" r:id="rId59"/>
    <sheet name="2-3-2" sheetId="132" r:id="rId60"/>
    <sheet name="2-3-3" sheetId="133" r:id="rId61"/>
    <sheet name="2-3-4" sheetId="134" r:id="rId62"/>
    <sheet name="2-3-5" sheetId="135" r:id="rId63"/>
    <sheet name="2-3-6" sheetId="136" r:id="rId64"/>
    <sheet name="2-3-7" sheetId="236" r:id="rId65"/>
    <sheet name="2-4-1" sheetId="138" r:id="rId66"/>
    <sheet name="2-4-2" sheetId="139" r:id="rId67"/>
    <sheet name="2-4-3" sheetId="140" r:id="rId68"/>
    <sheet name="2-4-4" sheetId="141" r:id="rId69"/>
    <sheet name="2-4-5" sheetId="142" r:id="rId70"/>
    <sheet name="2-4-6" sheetId="143" r:id="rId71"/>
    <sheet name="2-4-7" sheetId="144" r:id="rId72"/>
    <sheet name="2-4-8" sheetId="145" r:id="rId73"/>
    <sheet name="2-4-9、2-4-10" sheetId="146" r:id="rId74"/>
    <sheet name="2-4-11" sheetId="147" r:id="rId75"/>
    <sheet name="2-4-12" sheetId="148" r:id="rId76"/>
    <sheet name="2-4-13" sheetId="149" r:id="rId77"/>
    <sheet name="2-4-14" sheetId="150" r:id="rId78"/>
    <sheet name="2-4-15" sheetId="151" r:id="rId79"/>
    <sheet name="2-4-16" sheetId="152" r:id="rId80"/>
    <sheet name="2-4-17" sheetId="153" r:id="rId81"/>
    <sheet name="2-4-18" sheetId="154" r:id="rId82"/>
    <sheet name="2-4-19" sheetId="155" r:id="rId83"/>
    <sheet name="2-4-20" sheetId="156" r:id="rId84"/>
    <sheet name="2-4-21 " sheetId="157" r:id="rId85"/>
    <sheet name="2-4-22 " sheetId="158" r:id="rId86"/>
    <sheet name="2-5-1" sheetId="159" r:id="rId87"/>
    <sheet name="2-5-2" sheetId="160" r:id="rId88"/>
    <sheet name="3-1-1" sheetId="161" r:id="rId89"/>
    <sheet name="3-1-2" sheetId="162" r:id="rId90"/>
    <sheet name="C3-2-1" sheetId="163" r:id="rId91"/>
    <sheet name="C3-2-2" sheetId="164" r:id="rId92"/>
    <sheet name="C3-2-3" sheetId="165" r:id="rId93"/>
    <sheet name="3-2-4" sheetId="166" r:id="rId94"/>
    <sheet name="3-2-5" sheetId="167" r:id="rId95"/>
    <sheet name="3-2-6" sheetId="168" r:id="rId96"/>
    <sheet name="3-2-7" sheetId="169" r:id="rId97"/>
    <sheet name="3-2-8" sheetId="170" r:id="rId98"/>
    <sheet name="3-2-9" sheetId="171" r:id="rId99"/>
    <sheet name="3-2-10" sheetId="172" r:id="rId100"/>
    <sheet name="3-2-11" sheetId="173" r:id="rId101"/>
    <sheet name="3-2-12" sheetId="174" r:id="rId102"/>
    <sheet name="3-2-13" sheetId="175" r:id="rId103"/>
    <sheet name="3-2-14" sheetId="176" r:id="rId104"/>
    <sheet name="3-2-15" sheetId="177" r:id="rId105"/>
    <sheet name="3-2-16" sheetId="178" r:id="rId106"/>
    <sheet name="3-2-17" sheetId="179" r:id="rId107"/>
    <sheet name="3-2-18" sheetId="180" r:id="rId108"/>
    <sheet name="3-2-19" sheetId="181" r:id="rId109"/>
    <sheet name="3-2-20" sheetId="182" r:id="rId110"/>
    <sheet name="3-2-21" sheetId="183" r:id="rId111"/>
    <sheet name="3-2-22" sheetId="184" r:id="rId112"/>
    <sheet name="3-2-23" sheetId="185" r:id="rId113"/>
    <sheet name="3-2-24" sheetId="186" r:id="rId114"/>
    <sheet name="3-2-25" sheetId="187" r:id="rId115"/>
    <sheet name="3-2-26" sheetId="188" r:id="rId116"/>
    <sheet name="3-2-27" sheetId="189" r:id="rId117"/>
    <sheet name="3-2-28" sheetId="190" r:id="rId118"/>
    <sheet name="3-2-29" sheetId="191" r:id="rId119"/>
    <sheet name="3-3-1" sheetId="192" r:id="rId120"/>
    <sheet name="3-3-2" sheetId="193" r:id="rId121"/>
    <sheet name="3-3-3" sheetId="194" r:id="rId122"/>
    <sheet name="3-3-4" sheetId="195" r:id="rId123"/>
    <sheet name="3-3-5" sheetId="196" r:id="rId124"/>
    <sheet name="3-3-6" sheetId="197" r:id="rId125"/>
    <sheet name="3-3-7" sheetId="198" r:id="rId126"/>
    <sheet name="3-3-8" sheetId="199" r:id="rId127"/>
    <sheet name="3-3-9" sheetId="200" r:id="rId128"/>
    <sheet name="3-3-10" sheetId="201" r:id="rId129"/>
    <sheet name="3-3-11" sheetId="202" r:id="rId130"/>
    <sheet name="3-3-12" sheetId="203" r:id="rId131"/>
    <sheet name="3-4-1" sheetId="204" r:id="rId132"/>
    <sheet name="3-4-2" sheetId="205" r:id="rId133"/>
    <sheet name="4-1-1" sheetId="206" r:id="rId134"/>
    <sheet name="4-1-2" sheetId="207" r:id="rId135"/>
    <sheet name="4-1-3" sheetId="208" r:id="rId136"/>
    <sheet name="4-1-4" sheetId="209" r:id="rId137"/>
    <sheet name="4-1-5" sheetId="210" r:id="rId138"/>
    <sheet name="4-2-1" sheetId="211" r:id="rId139"/>
    <sheet name="4-2-2" sheetId="212" r:id="rId140"/>
    <sheet name="4-2-3" sheetId="213" r:id="rId141"/>
    <sheet name="4-2-4" sheetId="214" r:id="rId142"/>
    <sheet name="4-3-1" sheetId="215" r:id="rId143"/>
    <sheet name="4-3-2" sheetId="216" r:id="rId144"/>
    <sheet name="4-3-3" sheetId="217" r:id="rId145"/>
    <sheet name="4-3-4" sheetId="218" r:id="rId146"/>
    <sheet name="4-3-5" sheetId="219" r:id="rId147"/>
    <sheet name="4-4-1" sheetId="220" r:id="rId148"/>
    <sheet name="4-4-2" sheetId="221" r:id="rId149"/>
    <sheet name="4-4-3" sheetId="222" r:id="rId150"/>
    <sheet name="C5-1-1" sheetId="223" r:id="rId151"/>
    <sheet name="C5-1-2" sheetId="224" r:id="rId152"/>
    <sheet name="C5-1-2 (續)" sheetId="225" r:id="rId153"/>
    <sheet name="5-1-3" sheetId="226" r:id="rId154"/>
    <sheet name="C5-2-1" sheetId="227" r:id="rId155"/>
    <sheet name="C5-3-1" sheetId="228" r:id="rId156"/>
    <sheet name="C5-3-2" sheetId="229" r:id="rId157"/>
    <sheet name="C5-3-3" sheetId="230" r:id="rId158"/>
    <sheet name="C5-3-4" sheetId="231" r:id="rId159"/>
    <sheet name="C5-3-5" sheetId="232" r:id="rId160"/>
    <sheet name="C5-3-6" sheetId="233" r:id="rId161"/>
    <sheet name="C5-3-7" sheetId="234" r:id="rId162"/>
    <sheet name="C5-3-8" sheetId="235" r:id="rId163"/>
  </sheets>
  <definedNames>
    <definedName name="_Toc395179094" localSheetId="16">'1-4-1'!$A$1</definedName>
    <definedName name="_Toc395179095" localSheetId="17">'1-4-4'!$A$1</definedName>
    <definedName name="_xlnm.Print_Area" localSheetId="1">' 1-1-3'!$A$1:$O$36</definedName>
    <definedName name="_xlnm.Print_Area" localSheetId="0">'1-1-1、1-1-2'!$A$1:$S$31</definedName>
    <definedName name="_xlnm.Print_Area" localSheetId="2">'1-1-4'!$A$1:$I$18</definedName>
    <definedName name="_xlnm.Print_Area" localSheetId="3">'1-2-1'!$A$1:$U$38</definedName>
    <definedName name="_xlnm.Print_Area" localSheetId="4">'1-2-2'!$A$1:$I$36</definedName>
    <definedName name="_xlnm.Print_Area" localSheetId="5">'1-2-3'!$A$1:$P$37</definedName>
    <definedName name="_xlnm.Print_Area" localSheetId="6">'1-2-3(續)'!$A$1:$P$37</definedName>
    <definedName name="_xlnm.Print_Area" localSheetId="7">'1-2-4'!$A$1:$Y$33</definedName>
    <definedName name="_xlnm.Print_Area" localSheetId="8">'1-2-5'!$A$1:$B$13</definedName>
    <definedName name="_xlnm.Print_Area" localSheetId="9">'1-2-6'!$A$1:$K$25</definedName>
    <definedName name="_xlnm.Print_Area" localSheetId="11">'1-3-1'!$A$1:$P$35</definedName>
    <definedName name="_xlnm.Print_Area" localSheetId="12">'1-3-2'!$A$1:$V$47</definedName>
    <definedName name="_xlnm.Print_Area" localSheetId="13">'1-3-3、1-3-4'!$A$1:$U$38</definedName>
    <definedName name="_xlnm.Print_Area" localSheetId="14">'1-3-5'!$A$1:$F$18</definedName>
    <definedName name="_xlnm.Print_Area" localSheetId="15">'1-3-6、1-3-7'!$A$1:$K$50</definedName>
    <definedName name="_xlnm.Print_Area" localSheetId="16">'1-4-1'!$A$1:$F$24</definedName>
    <definedName name="_xlnm.Print_Area" localSheetId="17">'1-4-2'!$A$1:$F$26</definedName>
    <definedName name="_xlnm.Print_Area" localSheetId="18">'1-4-3'!$A$1:$F$20</definedName>
    <definedName name="_xlnm.Print_Area" localSheetId="19">'1-4-4'!$A$1:$F$31</definedName>
    <definedName name="_xlnm.Print_Area" localSheetId="20">'1-4-5'!$A$1:$F$20</definedName>
    <definedName name="_xlnm.Print_Area" localSheetId="21">'1-4-6'!$A$1:$F$23</definedName>
    <definedName name="_xlnm.Print_Area" localSheetId="22">'1-4-7'!$A$1:$F$22</definedName>
    <definedName name="_xlnm.Print_Area" localSheetId="24">'2-1-1'!$A$1:$L$13</definedName>
    <definedName name="_xlnm.Print_Area" localSheetId="33">'2-1-10'!$A$1:$AJ$29</definedName>
    <definedName name="_xlnm.Print_Area" localSheetId="34">'2-1-11'!$A$1:$J$17</definedName>
    <definedName name="_xlnm.Print_Area" localSheetId="35">'2-1-12'!$A$1:$P$29</definedName>
    <definedName name="_xlnm.Print_Area" localSheetId="36">'2-1-13'!$A$1:$P$27</definedName>
    <definedName name="_xlnm.Print_Area" localSheetId="37">'2-1-14'!$A$1:$D$19</definedName>
    <definedName name="_xlnm.Print_Area" localSheetId="38">'2-1-15'!$A$1:$K$37</definedName>
    <definedName name="_xlnm.Print_Area" localSheetId="39">'2-1-16'!$A$1:$K$19</definedName>
    <definedName name="_xlnm.Print_Area" localSheetId="40">'2-1-17'!$A$1:$I$16</definedName>
    <definedName name="_xlnm.Print_Area" localSheetId="41">'2-1-18'!$A$1:$K$16</definedName>
    <definedName name="_xlnm.Print_Area" localSheetId="42">'2-1-19'!$A$1:$O$32</definedName>
    <definedName name="_xlnm.Print_Area" localSheetId="43">'2-1-20'!$A$1:$M$19</definedName>
    <definedName name="_xlnm.Print_Area" localSheetId="44">'2-1-21'!$A$1:$P$19</definedName>
    <definedName name="_xlnm.Print_Area" localSheetId="45">'2-1-22'!$A$1:$G$13</definedName>
    <definedName name="_xlnm.Print_Area" localSheetId="46">'2-1-23'!$A$1:$G$27</definedName>
    <definedName name="_xlnm.Print_Area" localSheetId="47">'2-1-24'!$A$1:$F$13</definedName>
    <definedName name="_xlnm.Print_Area" localSheetId="26">'2-1-3'!$A$1:$P$26</definedName>
    <definedName name="_xlnm.Print_Area" localSheetId="27">'2-1-4'!$A$1:$M$14</definedName>
    <definedName name="_xlnm.Print_Area" localSheetId="28">'2-1-5'!$A$1:$K$26</definedName>
    <definedName name="_xlnm.Print_Area" localSheetId="29">'2-1-6'!$A$1:$K$27</definedName>
    <definedName name="_xlnm.Print_Area" localSheetId="30">'2-1-7 '!$A$1:$S$34</definedName>
    <definedName name="_xlnm.Print_Area" localSheetId="31">'2-1-8'!$A$1:$J$17</definedName>
    <definedName name="_xlnm.Print_Area" localSheetId="32">'2-1-9'!$A$1:$V$31</definedName>
    <definedName name="_xlnm.Print_Area" localSheetId="48">'2-2-1'!$A$1:$J$24</definedName>
    <definedName name="_xlnm.Print_Area" localSheetId="57">'2-2-10'!$A$1:$L$20</definedName>
    <definedName name="_xlnm.Print_Area" localSheetId="49">'2-2-2'!$A$1:$L$19</definedName>
    <definedName name="_xlnm.Print_Area" localSheetId="50">'2-2-3'!$A$1:$AD$91</definedName>
    <definedName name="_xlnm.Print_Area" localSheetId="53">'2-2-6'!$A$1:$K$22</definedName>
    <definedName name="_xlnm.Print_Area" localSheetId="54">'2-2-7'!$A$1:$G$24</definedName>
    <definedName name="_xlnm.Print_Area" localSheetId="56">'2-2-9'!$A$1:$O$16</definedName>
    <definedName name="_xlnm.Print_Area" localSheetId="60">'2-3-3'!$A$1:$K$17</definedName>
    <definedName name="_xlnm.Print_Area" localSheetId="62">'2-3-5'!$A$1:$F$9</definedName>
    <definedName name="_xlnm.Print_Area" localSheetId="63">'2-3-6'!$A$1:$I$24</definedName>
    <definedName name="_xlnm.Print_Area" localSheetId="64">'2-3-7'!$A$1:$M$34</definedName>
    <definedName name="_xlnm.Print_Area" localSheetId="65">'2-4-1'!$A$1:$Q$21</definedName>
    <definedName name="_xlnm.Print_Area" localSheetId="74">'2-4-11'!$A$1:$K$8</definedName>
    <definedName name="_xlnm.Print_Area" localSheetId="75">'2-4-12'!$A$1:$J$25</definedName>
    <definedName name="_xlnm.Print_Area" localSheetId="76">'2-4-13'!$A$1:$R$16</definedName>
    <definedName name="_xlnm.Print_Area" localSheetId="77">'2-4-14'!$A$1:$F$16</definedName>
    <definedName name="_xlnm.Print_Area" localSheetId="78">'2-4-15'!$A$1:$Q$26</definedName>
    <definedName name="_xlnm.Print_Area" localSheetId="79">'2-4-16'!$A$1:$N$21</definedName>
    <definedName name="_xlnm.Print_Area" localSheetId="80">'2-4-17'!$A$1:$J$22</definedName>
    <definedName name="_xlnm.Print_Area" localSheetId="81">'2-4-18'!$B$1:$J$19</definedName>
    <definedName name="_xlnm.Print_Area" localSheetId="82">'2-4-19'!$A$1:$M$18</definedName>
    <definedName name="_xlnm.Print_Area" localSheetId="66">'2-4-2'!$A$1:$P$14</definedName>
    <definedName name="_xlnm.Print_Area" localSheetId="83">'2-4-20'!$A$1:$H$19</definedName>
    <definedName name="_xlnm.Print_Area" localSheetId="84">'2-4-21 '!$A$1:$M$18</definedName>
    <definedName name="_xlnm.Print_Area" localSheetId="85">'2-4-22 '!$A$1:$L$18</definedName>
    <definedName name="_xlnm.Print_Area" localSheetId="67">'2-4-3'!$A$1:$Z$24</definedName>
    <definedName name="_xlnm.Print_Area" localSheetId="68">'2-4-4'!$A$1:$V$38</definedName>
    <definedName name="_xlnm.Print_Area" localSheetId="69">'2-4-5'!$A$1:$U$17</definedName>
    <definedName name="_xlnm.Print_Area" localSheetId="70">'2-4-6'!$A$1:$Q$33</definedName>
    <definedName name="_xlnm.Print_Area" localSheetId="71">'2-4-7'!$A$1:$W$27</definedName>
    <definedName name="_xlnm.Print_Area" localSheetId="72">'2-4-8'!$A$1:$N$71</definedName>
    <definedName name="_xlnm.Print_Area" localSheetId="73">'2-4-9、2-4-10'!$A$1:$H$33</definedName>
    <definedName name="_xlnm.Print_Area" localSheetId="86">'2-5-1'!$A$1:$M$16</definedName>
    <definedName name="_xlnm.Print_Area" localSheetId="87">'2-5-2'!$A$1:$H$20</definedName>
    <definedName name="_xlnm.Print_Area" localSheetId="88">'3-1-1'!$A$1:$G$18</definedName>
    <definedName name="_xlnm.Print_Area" localSheetId="89">'3-1-2'!$A$1:$U$48</definedName>
    <definedName name="_xlnm.Print_Area" localSheetId="99">'3-2-10'!$A$1:$K$24</definedName>
    <definedName name="_xlnm.Print_Area" localSheetId="100">'3-2-11'!$A$1:$K$19</definedName>
    <definedName name="_xlnm.Print_Area" localSheetId="101">'3-2-12'!$A$1:$K$23</definedName>
    <definedName name="_xlnm.Print_Area" localSheetId="102">'3-2-13'!$A$1:$U$31</definedName>
    <definedName name="_xlnm.Print_Area" localSheetId="103">'3-2-14'!$A$1:$K$16</definedName>
    <definedName name="_xlnm.Print_Area" localSheetId="104">'3-2-15'!$A$1:$K$21</definedName>
    <definedName name="_xlnm.Print_Area" localSheetId="105">'3-2-16'!$A$1:$K$25</definedName>
    <definedName name="_xlnm.Print_Area" localSheetId="106">'3-2-17'!$A$1:$U$20</definedName>
    <definedName name="_xlnm.Print_Area" localSheetId="107">'3-2-18'!$A$1:$K$22</definedName>
    <definedName name="_xlnm.Print_Area" localSheetId="108">'3-2-19'!$A$1:$K$18</definedName>
    <definedName name="_xlnm.Print_Area" localSheetId="109">'3-2-20'!$A$1:$K$22</definedName>
    <definedName name="_xlnm.Print_Area" localSheetId="110">'3-2-21'!$A$1:$U$25</definedName>
    <definedName name="_xlnm.Print_Area" localSheetId="111">'3-2-22'!$A$1:$K$26</definedName>
    <definedName name="_xlnm.Print_Area" localSheetId="112">'3-2-23'!$A$1:$K$25</definedName>
    <definedName name="_xlnm.Print_Area" localSheetId="113">'3-2-24'!$A$1:$U$20</definedName>
    <definedName name="_xlnm.Print_Area" localSheetId="114">'3-2-25'!$A$1:$K$23</definedName>
    <definedName name="_xlnm.Print_Area" localSheetId="115">'3-2-26'!$A$1:$K$18</definedName>
    <definedName name="_xlnm.Print_Area" localSheetId="116">'3-2-27'!$A$1:$K$22</definedName>
    <definedName name="_xlnm.Print_Area" localSheetId="117">'3-2-28'!$A$1:$Q$17</definedName>
    <definedName name="_xlnm.Print_Area" localSheetId="118">'3-2-29'!$A$1:$M$15</definedName>
    <definedName name="_xlnm.Print_Area" localSheetId="93">'3-2-4'!$A$1:$P$19</definedName>
    <definedName name="_xlnm.Print_Area" localSheetId="94">'3-2-5'!$A$1:$U$72</definedName>
    <definedName name="_xlnm.Print_Area" localSheetId="95">'3-2-6'!$A$1:$K$27</definedName>
    <definedName name="_xlnm.Print_Area" localSheetId="96">'3-2-7'!$A$1:$O$34</definedName>
    <definedName name="_xlnm.Print_Area" localSheetId="97">'3-2-8'!$A$1:$K$28</definedName>
    <definedName name="_xlnm.Print_Area" localSheetId="98">'3-2-9'!$A$1:$U$20</definedName>
    <definedName name="_xlnm.Print_Area" localSheetId="119">'3-3-1'!$A$1:$G$9</definedName>
    <definedName name="_xlnm.Print_Area" localSheetId="128">'3-3-10'!$A$1:$Q$12</definedName>
    <definedName name="_xlnm.Print_Area" localSheetId="129">'3-3-11'!$A$1:$Q$19</definedName>
    <definedName name="_xlnm.Print_Area" localSheetId="130">'3-3-12'!$A$1:$G$9</definedName>
    <definedName name="_xlnm.Print_Area" localSheetId="120">'3-3-2'!$A$1:$Q$23</definedName>
    <definedName name="_xlnm.Print_Area" localSheetId="121">'3-3-3'!$A$1:$Q$21</definedName>
    <definedName name="_xlnm.Print_Area" localSheetId="122">'3-3-4'!$A$1:$Q$17</definedName>
    <definedName name="_xlnm.Print_Area" localSheetId="123">'3-3-5'!$A$1:$Q$38</definedName>
    <definedName name="_xlnm.Print_Area" localSheetId="124">'3-3-6'!$A$1:$Q$11</definedName>
    <definedName name="_xlnm.Print_Area" localSheetId="125">'3-3-7'!$A$1:$Q$13</definedName>
    <definedName name="_xlnm.Print_Area" localSheetId="126">'3-3-8'!$A$1:$Q$22</definedName>
    <definedName name="_xlnm.Print_Area" localSheetId="127">'3-3-9'!$A$1:$Q$16</definedName>
    <definedName name="_xlnm.Print_Area" localSheetId="131">'3-4-1'!$A$1:$F$11</definedName>
    <definedName name="_xlnm.Print_Area" localSheetId="132">'3-4-2'!$A$1:$F$9</definedName>
    <definedName name="_xlnm.Print_Area" localSheetId="133">'4-1-1'!$A$1:$K$21</definedName>
    <definedName name="_xlnm.Print_Area" localSheetId="134">'4-1-2'!$A$1:$K$34</definedName>
    <definedName name="_xlnm.Print_Area" localSheetId="135">'4-1-3'!$A$1:$K$24</definedName>
    <definedName name="_xlnm.Print_Area" localSheetId="136">'4-1-4'!$A$1:$P$26</definedName>
    <definedName name="_xlnm.Print_Area" localSheetId="137">'4-1-5'!$A$1:$M$18</definedName>
    <definedName name="_xlnm.Print_Area" localSheetId="138">'4-2-1'!$A$1:$K$19</definedName>
    <definedName name="_xlnm.Print_Area" localSheetId="141">'4-2-4'!$A$1:$M$19</definedName>
    <definedName name="_xlnm.Print_Area" localSheetId="143">'4-3-2'!$A$1:$X$16</definedName>
    <definedName name="_xlnm.Print_Area" localSheetId="144">'4-3-3'!$A$1:$K$16</definedName>
    <definedName name="_xlnm.Print_Area" localSheetId="145">'4-3-4'!$A$1:$M$17</definedName>
    <definedName name="_xlnm.Print_Area" localSheetId="146">'4-3-5'!$A$1:$H$15</definedName>
    <definedName name="_xlnm.Print_Area" localSheetId="148">'4-4-2'!$A$1:$G$27</definedName>
    <definedName name="_xlnm.Print_Area" localSheetId="149">'4-4-3'!$A$1:$G$22</definedName>
    <definedName name="_xlnm.Print_Area" localSheetId="153">'5-1-3'!$A$1:$R$16</definedName>
    <definedName name="_xlnm.Print_Area" localSheetId="90">'C3-2-1'!$A$1:$H$28</definedName>
    <definedName name="_xlnm.Print_Area" localSheetId="91">'C3-2-2'!$A$1:$N$20</definedName>
    <definedName name="_xlnm.Print_Area" localSheetId="92">'C3-2-3'!$A$1:$E$36</definedName>
    <definedName name="_xlnm.Print_Area" localSheetId="150">'C5-1-1'!$A$1:$V$152</definedName>
    <definedName name="_xlnm.Print_Area" localSheetId="151">'C5-1-2'!$A$1:$Y$35</definedName>
    <definedName name="_xlnm.Print_Area" localSheetId="152">'C5-1-2 (續)'!$A$1:$Y$2</definedName>
    <definedName name="_xlnm.Print_Area" localSheetId="154">'C5-2-1'!$B$1:$M$32</definedName>
    <definedName name="_xlnm.Print_Area" localSheetId="158">'C5-3-4'!$A$1:$S$19</definedName>
    <definedName name="_xlnm.Print_Area" localSheetId="161">'C5-3-7'!$A$1:$L$14</definedName>
    <definedName name="_xlnm.Print_Area" localSheetId="162">'C5-3-8'!$A$1:$I$20</definedName>
  </definedNames>
  <calcPr calcId="162913"/>
  <webPublishing allowPng="1" targetScreenSize="1024x768" dpi="72" codePage="65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17" i="235" l="1"/>
  <c r="I17" i="235"/>
  <c r="G17" i="235"/>
  <c r="E17" i="235"/>
  <c r="C17" i="235"/>
  <c r="B16" i="235"/>
  <c r="I16" i="235"/>
  <c r="G16" i="235"/>
  <c r="E16" i="235"/>
  <c r="C16" i="235"/>
  <c r="B15" i="235"/>
  <c r="I15" i="235"/>
  <c r="G15" i="235"/>
  <c r="E15" i="235"/>
  <c r="C15" i="235"/>
  <c r="B14" i="235"/>
  <c r="I14" i="235"/>
  <c r="G14" i="235"/>
  <c r="E14" i="235"/>
  <c r="C14" i="235"/>
  <c r="B13" i="235"/>
  <c r="I13" i="235"/>
  <c r="G13" i="235"/>
  <c r="E13" i="235"/>
  <c r="C13" i="235"/>
  <c r="B12" i="235"/>
  <c r="I12" i="235"/>
  <c r="G12" i="235"/>
  <c r="E12" i="235"/>
  <c r="C12" i="235"/>
  <c r="B11" i="235"/>
  <c r="I11" i="235"/>
  <c r="G11" i="235"/>
  <c r="E11" i="235"/>
  <c r="C11" i="235"/>
  <c r="B10" i="235"/>
  <c r="I10" i="235"/>
  <c r="G10" i="235"/>
  <c r="E10" i="235"/>
  <c r="C10" i="235"/>
  <c r="B9" i="235"/>
  <c r="I9" i="235"/>
  <c r="G9" i="235"/>
  <c r="E9" i="235"/>
  <c r="C9" i="235"/>
  <c r="B8" i="235"/>
  <c r="I8" i="235"/>
  <c r="G8" i="235"/>
  <c r="E8" i="235"/>
  <c r="C8" i="235"/>
  <c r="K6" i="233"/>
  <c r="J6" i="233"/>
  <c r="I6" i="233"/>
  <c r="H6" i="233"/>
  <c r="G6" i="233"/>
  <c r="F6" i="233"/>
  <c r="E6" i="233"/>
  <c r="D6" i="233"/>
  <c r="C6" i="233"/>
  <c r="B6" i="233"/>
  <c r="K6" i="232"/>
  <c r="J6" i="232"/>
  <c r="I6" i="232"/>
  <c r="H6" i="232"/>
  <c r="G6" i="232"/>
  <c r="F6" i="232"/>
  <c r="E6" i="232"/>
  <c r="D6" i="232"/>
  <c r="C6" i="232"/>
  <c r="B6" i="232"/>
  <c r="B17" i="231"/>
  <c r="S17" i="231"/>
  <c r="Q17" i="231"/>
  <c r="O17" i="231"/>
  <c r="M17" i="231"/>
  <c r="K17" i="231"/>
  <c r="I17" i="231"/>
  <c r="G17" i="231"/>
  <c r="E17" i="231"/>
  <c r="C17" i="231"/>
  <c r="B16" i="231"/>
  <c r="S16" i="231"/>
  <c r="Q16" i="231"/>
  <c r="O16" i="231"/>
  <c r="M16" i="231"/>
  <c r="K16" i="231"/>
  <c r="I16" i="231"/>
  <c r="G16" i="231"/>
  <c r="E16" i="231"/>
  <c r="C16" i="231"/>
  <c r="B15" i="231"/>
  <c r="S15" i="231"/>
  <c r="Q15" i="231"/>
  <c r="O15" i="231"/>
  <c r="M15" i="231"/>
  <c r="K15" i="231"/>
  <c r="I15" i="231"/>
  <c r="G15" i="231"/>
  <c r="E15" i="231"/>
  <c r="C15" i="231"/>
  <c r="B14" i="231"/>
  <c r="S14" i="231"/>
  <c r="Q14" i="231"/>
  <c r="O14" i="231"/>
  <c r="M14" i="231"/>
  <c r="K14" i="231"/>
  <c r="I14" i="231"/>
  <c r="G14" i="231"/>
  <c r="E14" i="231"/>
  <c r="C14" i="231"/>
  <c r="B13" i="231"/>
  <c r="S13" i="231"/>
  <c r="Q13" i="231"/>
  <c r="O13" i="231"/>
  <c r="M13" i="231"/>
  <c r="K13" i="231"/>
  <c r="I13" i="231"/>
  <c r="G13" i="231"/>
  <c r="E13" i="231"/>
  <c r="C13" i="231"/>
  <c r="B12" i="231"/>
  <c r="S12" i="231"/>
  <c r="Q12" i="231"/>
  <c r="O12" i="231"/>
  <c r="M12" i="231"/>
  <c r="K12" i="231"/>
  <c r="I12" i="231"/>
  <c r="G12" i="231"/>
  <c r="E12" i="231"/>
  <c r="C12" i="231"/>
  <c r="B11" i="231"/>
  <c r="S11" i="231"/>
  <c r="Q11" i="231"/>
  <c r="O11" i="231"/>
  <c r="M11" i="231"/>
  <c r="K11" i="231"/>
  <c r="I11" i="231"/>
  <c r="G11" i="231"/>
  <c r="E11" i="231"/>
  <c r="C11" i="231"/>
  <c r="B10" i="231"/>
  <c r="S10" i="231"/>
  <c r="Q10" i="231"/>
  <c r="O10" i="231"/>
  <c r="M10" i="231"/>
  <c r="K10" i="231"/>
  <c r="I10" i="231"/>
  <c r="G10" i="231"/>
  <c r="E10" i="231"/>
  <c r="C10" i="231"/>
  <c r="B9" i="231"/>
  <c r="S9" i="231"/>
  <c r="Q9" i="231"/>
  <c r="O9" i="231"/>
  <c r="M9" i="231"/>
  <c r="K9" i="231"/>
  <c r="I9" i="231"/>
  <c r="G9" i="231"/>
  <c r="E9" i="231"/>
  <c r="C9" i="231"/>
  <c r="B8" i="231"/>
  <c r="S8" i="231"/>
  <c r="Q8" i="231"/>
  <c r="O8" i="231"/>
  <c r="M8" i="231"/>
  <c r="K8" i="231"/>
  <c r="I8" i="231"/>
  <c r="G8" i="231"/>
  <c r="E8" i="231"/>
  <c r="C8" i="231"/>
  <c r="B17" i="230"/>
  <c r="G17" i="230"/>
  <c r="E17" i="230"/>
  <c r="C17" i="230"/>
  <c r="B16" i="230"/>
  <c r="G16" i="230"/>
  <c r="E16" i="230"/>
  <c r="C16" i="230"/>
  <c r="B15" i="230"/>
  <c r="G15" i="230"/>
  <c r="E15" i="230"/>
  <c r="C15" i="230"/>
  <c r="B14" i="230"/>
  <c r="G14" i="230"/>
  <c r="E14" i="230"/>
  <c r="C14" i="230"/>
  <c r="B13" i="230"/>
  <c r="G13" i="230"/>
  <c r="E13" i="230"/>
  <c r="C13" i="230"/>
  <c r="B12" i="230"/>
  <c r="G12" i="230"/>
  <c r="E12" i="230"/>
  <c r="C12" i="230"/>
  <c r="B11" i="230"/>
  <c r="G11" i="230"/>
  <c r="E11" i="230"/>
  <c r="C11" i="230"/>
  <c r="B10" i="230"/>
  <c r="G10" i="230"/>
  <c r="E10" i="230"/>
  <c r="C10" i="230"/>
  <c r="B9" i="230"/>
  <c r="G9" i="230"/>
  <c r="E9" i="230"/>
  <c r="C9" i="230"/>
  <c r="B8" i="230"/>
  <c r="G8" i="230"/>
  <c r="E8" i="230"/>
  <c r="C8" i="230"/>
  <c r="O14" i="226"/>
  <c r="K14" i="226"/>
  <c r="G14" i="226"/>
  <c r="C14" i="226"/>
  <c r="B14" i="226"/>
  <c r="O13" i="226"/>
  <c r="K13" i="226"/>
  <c r="G13" i="226"/>
  <c r="C13" i="226"/>
  <c r="O12" i="226"/>
  <c r="K12" i="226"/>
  <c r="G12" i="226"/>
  <c r="C12" i="226"/>
  <c r="O11" i="226"/>
  <c r="K11" i="226"/>
  <c r="G11" i="226"/>
  <c r="C11" i="226"/>
  <c r="O10" i="226"/>
  <c r="K10" i="226"/>
  <c r="G10" i="226"/>
  <c r="C10" i="226"/>
  <c r="O9" i="226"/>
  <c r="K9" i="226"/>
  <c r="G9" i="226"/>
  <c r="C9" i="226"/>
  <c r="O8" i="226"/>
  <c r="K8" i="226"/>
  <c r="G8" i="226"/>
  <c r="C8" i="226"/>
  <c r="O7" i="226"/>
  <c r="K7" i="226"/>
  <c r="G7" i="226"/>
  <c r="C7" i="226"/>
  <c r="O6" i="226"/>
  <c r="K6" i="226"/>
  <c r="G6" i="226"/>
  <c r="C6" i="226"/>
  <c r="O5" i="226"/>
  <c r="K5" i="226"/>
  <c r="G5" i="226"/>
  <c r="C5" i="226"/>
  <c r="D5" i="225"/>
  <c r="E108" i="225"/>
  <c r="B5" i="225"/>
  <c r="C108" i="225"/>
  <c r="E107" i="225"/>
  <c r="C107" i="225"/>
  <c r="J5" i="225"/>
  <c r="K106" i="225"/>
  <c r="H5" i="225"/>
  <c r="I106" i="225"/>
  <c r="K105" i="225"/>
  <c r="I105" i="225"/>
  <c r="P5" i="225"/>
  <c r="Q104" i="225"/>
  <c r="N5" i="225"/>
  <c r="O104" i="225"/>
  <c r="L5" i="225"/>
  <c r="M103" i="225"/>
  <c r="I103" i="225"/>
  <c r="M102" i="225"/>
  <c r="I102" i="225"/>
  <c r="E101" i="225"/>
  <c r="C101" i="225"/>
  <c r="K100" i="225"/>
  <c r="I100" i="225"/>
  <c r="F5" i="225"/>
  <c r="G99" i="225"/>
  <c r="C99" i="225"/>
  <c r="G98" i="225"/>
  <c r="C98" i="225"/>
  <c r="G97" i="225"/>
  <c r="C97" i="225"/>
  <c r="E96" i="225"/>
  <c r="C96" i="225"/>
  <c r="E95" i="225"/>
  <c r="C95" i="225"/>
  <c r="V5" i="225"/>
  <c r="W94" i="225"/>
  <c r="T5" i="225"/>
  <c r="U94" i="225"/>
  <c r="K93" i="225"/>
  <c r="I93" i="225"/>
  <c r="K92" i="225"/>
  <c r="I92" i="225"/>
  <c r="E91" i="225"/>
  <c r="C91" i="225"/>
  <c r="K90" i="225"/>
  <c r="I90" i="225"/>
  <c r="K89" i="225"/>
  <c r="I89" i="225"/>
  <c r="E88" i="225"/>
  <c r="C88" i="225"/>
  <c r="W87" i="225"/>
  <c r="U87" i="225"/>
  <c r="K87" i="225"/>
  <c r="I87" i="225"/>
  <c r="K86" i="225"/>
  <c r="I86" i="225"/>
  <c r="E86" i="225"/>
  <c r="C86" i="225"/>
  <c r="K85" i="225"/>
  <c r="I85" i="225"/>
  <c r="G85" i="225"/>
  <c r="E85" i="225"/>
  <c r="C85" i="225"/>
  <c r="M84" i="225"/>
  <c r="I84" i="225"/>
  <c r="G84" i="225"/>
  <c r="C84" i="225"/>
  <c r="M83" i="225"/>
  <c r="K83" i="225"/>
  <c r="I83" i="225"/>
  <c r="G83" i="225"/>
  <c r="C83" i="225"/>
  <c r="M82" i="225"/>
  <c r="K82" i="225"/>
  <c r="I82" i="225"/>
  <c r="E82" i="225"/>
  <c r="C82" i="225"/>
  <c r="M81" i="225"/>
  <c r="K81" i="225"/>
  <c r="I81" i="225"/>
  <c r="E81" i="225"/>
  <c r="C81" i="225"/>
  <c r="W80" i="225"/>
  <c r="U80" i="225"/>
  <c r="Q80" i="225"/>
  <c r="O80" i="225"/>
  <c r="M80" i="225"/>
  <c r="I80" i="225"/>
  <c r="K79" i="225"/>
  <c r="I79" i="225"/>
  <c r="E79" i="225"/>
  <c r="C79" i="225"/>
  <c r="Q78" i="225"/>
  <c r="O78" i="225"/>
  <c r="M78" i="225"/>
  <c r="K78" i="225"/>
  <c r="I78" i="225"/>
  <c r="E78" i="225"/>
  <c r="C78" i="225"/>
  <c r="K77" i="225"/>
  <c r="I77" i="225"/>
  <c r="G76" i="225"/>
  <c r="E76" i="225"/>
  <c r="C76" i="225"/>
  <c r="Q75" i="225"/>
  <c r="O75" i="225"/>
  <c r="K75" i="225"/>
  <c r="I75" i="225"/>
  <c r="M74" i="225"/>
  <c r="I74" i="225"/>
  <c r="G74" i="225"/>
  <c r="E74" i="225"/>
  <c r="C74" i="225"/>
  <c r="Q73" i="225"/>
  <c r="O73" i="225"/>
  <c r="M73" i="225"/>
  <c r="K73" i="225"/>
  <c r="I73" i="225"/>
  <c r="E73" i="225"/>
  <c r="C73" i="225"/>
  <c r="K72" i="225"/>
  <c r="I72" i="225"/>
  <c r="E72" i="225"/>
  <c r="C72" i="225"/>
  <c r="K71" i="225"/>
  <c r="I71" i="225"/>
  <c r="G71" i="225"/>
  <c r="E71" i="225"/>
  <c r="C71" i="225"/>
  <c r="R5" i="225"/>
  <c r="S70" i="225"/>
  <c r="O70" i="225"/>
  <c r="M70" i="225"/>
  <c r="I70" i="225"/>
  <c r="Q69" i="225"/>
  <c r="O69" i="225"/>
  <c r="K69" i="225"/>
  <c r="I69" i="225"/>
  <c r="E69" i="225"/>
  <c r="C69" i="225"/>
  <c r="Q68" i="225"/>
  <c r="O68" i="225"/>
  <c r="M68" i="225"/>
  <c r="K68" i="225"/>
  <c r="I68" i="225"/>
  <c r="E68" i="225"/>
  <c r="C68" i="225"/>
  <c r="K67" i="225"/>
  <c r="I67" i="225"/>
  <c r="G67" i="225"/>
  <c r="E67" i="225"/>
  <c r="C67" i="225"/>
  <c r="M66" i="225"/>
  <c r="K66" i="225"/>
  <c r="I66" i="225"/>
  <c r="G66" i="225"/>
  <c r="E66" i="225"/>
  <c r="C66" i="225"/>
  <c r="M65" i="225"/>
  <c r="K65" i="225"/>
  <c r="I65" i="225"/>
  <c r="G65" i="225"/>
  <c r="C65" i="225"/>
  <c r="Q63" i="225"/>
  <c r="O63" i="225"/>
  <c r="M63" i="225"/>
  <c r="K63" i="225"/>
  <c r="I63" i="225"/>
  <c r="G63" i="225"/>
  <c r="E63" i="225"/>
  <c r="C63" i="225"/>
  <c r="W62" i="225"/>
  <c r="U62" i="225"/>
  <c r="Q62" i="225"/>
  <c r="O62" i="225"/>
  <c r="M62" i="225"/>
  <c r="K62" i="225"/>
  <c r="I62" i="225"/>
  <c r="E62" i="225"/>
  <c r="C62" i="225"/>
  <c r="W61" i="225"/>
  <c r="U61" i="225"/>
  <c r="Q61" i="225"/>
  <c r="O61" i="225"/>
  <c r="M61" i="225"/>
  <c r="K61" i="225"/>
  <c r="I61" i="225"/>
  <c r="G61" i="225"/>
  <c r="E61" i="225"/>
  <c r="C61" i="225"/>
  <c r="Q60" i="225"/>
  <c r="O60" i="225"/>
  <c r="M60" i="225"/>
  <c r="K60" i="225"/>
  <c r="I60" i="225"/>
  <c r="G60" i="225"/>
  <c r="E60" i="225"/>
  <c r="C60" i="225"/>
  <c r="W59" i="225"/>
  <c r="U59" i="225"/>
  <c r="M59" i="225"/>
  <c r="K59" i="225"/>
  <c r="I59" i="225"/>
  <c r="G59" i="225"/>
  <c r="E59" i="225"/>
  <c r="C59" i="225"/>
  <c r="S58" i="225"/>
  <c r="Q58" i="225"/>
  <c r="O58" i="225"/>
  <c r="M58" i="225"/>
  <c r="K58" i="225"/>
  <c r="I58" i="225"/>
  <c r="G58" i="225"/>
  <c r="E58" i="225"/>
  <c r="C58" i="225"/>
  <c r="Q57" i="225"/>
  <c r="O57" i="225"/>
  <c r="M57" i="225"/>
  <c r="K57" i="225"/>
  <c r="I57" i="225"/>
  <c r="G57" i="225"/>
  <c r="E57" i="225"/>
  <c r="C57" i="225"/>
  <c r="M56" i="225"/>
  <c r="K56" i="225"/>
  <c r="I56" i="225"/>
  <c r="G56" i="225"/>
  <c r="E56" i="225"/>
  <c r="C56" i="225"/>
  <c r="Q55" i="225"/>
  <c r="O55" i="225"/>
  <c r="M55" i="225"/>
  <c r="K55" i="225"/>
  <c r="I55" i="225"/>
  <c r="G55" i="225"/>
  <c r="E55" i="225"/>
  <c r="C55" i="225"/>
  <c r="W54" i="225"/>
  <c r="U54" i="225"/>
  <c r="Q54" i="225"/>
  <c r="O54" i="225"/>
  <c r="M54" i="225"/>
  <c r="K54" i="225"/>
  <c r="I54" i="225"/>
  <c r="E54" i="225"/>
  <c r="C54" i="225"/>
  <c r="S53" i="225"/>
  <c r="Q53" i="225"/>
  <c r="O53" i="225"/>
  <c r="M53" i="225"/>
  <c r="K53" i="225"/>
  <c r="I53" i="225"/>
  <c r="G53" i="225"/>
  <c r="E53" i="225"/>
  <c r="C53" i="225"/>
  <c r="W52" i="225"/>
  <c r="U52" i="225"/>
  <c r="S52" i="225"/>
  <c r="Q52" i="225"/>
  <c r="O52" i="225"/>
  <c r="M52" i="225"/>
  <c r="K52" i="225"/>
  <c r="I52" i="225"/>
  <c r="G52" i="225"/>
  <c r="E52" i="225"/>
  <c r="C52" i="225"/>
  <c r="S51" i="225"/>
  <c r="Q51" i="225"/>
  <c r="O51" i="225"/>
  <c r="M51" i="225"/>
  <c r="K51" i="225"/>
  <c r="I51" i="225"/>
  <c r="G51" i="225"/>
  <c r="E51" i="225"/>
  <c r="C51" i="225"/>
  <c r="W50" i="225"/>
  <c r="U50" i="225"/>
  <c r="S50" i="225"/>
  <c r="Q50" i="225"/>
  <c r="O50" i="225"/>
  <c r="M50" i="225"/>
  <c r="K50" i="225"/>
  <c r="I50" i="225"/>
  <c r="G50" i="225"/>
  <c r="E50" i="225"/>
  <c r="C50" i="225"/>
  <c r="S49" i="225"/>
  <c r="Q49" i="225"/>
  <c r="O49" i="225"/>
  <c r="M49" i="225"/>
  <c r="K49" i="225"/>
  <c r="I49" i="225"/>
  <c r="G49" i="225"/>
  <c r="E49" i="225"/>
  <c r="C49" i="225"/>
  <c r="W48" i="225"/>
  <c r="U48" i="225"/>
  <c r="M48" i="225"/>
  <c r="K48" i="225"/>
  <c r="I48" i="225"/>
  <c r="G48" i="225"/>
  <c r="E48" i="225"/>
  <c r="C48" i="225"/>
  <c r="W47" i="225"/>
  <c r="U47" i="225"/>
  <c r="S47" i="225"/>
  <c r="Q47" i="225"/>
  <c r="O47" i="225"/>
  <c r="M47" i="225"/>
  <c r="K47" i="225"/>
  <c r="I47" i="225"/>
  <c r="G47" i="225"/>
  <c r="E47" i="225"/>
  <c r="C47" i="225"/>
  <c r="W46" i="225"/>
  <c r="U46" i="225"/>
  <c r="S46" i="225"/>
  <c r="Q46" i="225"/>
  <c r="O46" i="225"/>
  <c r="M46" i="225"/>
  <c r="K46" i="225"/>
  <c r="I46" i="225"/>
  <c r="G46" i="225"/>
  <c r="E46" i="225"/>
  <c r="C46" i="225"/>
  <c r="S45" i="225"/>
  <c r="Q45" i="225"/>
  <c r="O45" i="225"/>
  <c r="M45" i="225"/>
  <c r="K45" i="225"/>
  <c r="I45" i="225"/>
  <c r="G45" i="225"/>
  <c r="E45" i="225"/>
  <c r="C45" i="225"/>
  <c r="W44" i="225"/>
  <c r="U44" i="225"/>
  <c r="S44" i="225"/>
  <c r="Q44" i="225"/>
  <c r="O44" i="225"/>
  <c r="M44" i="225"/>
  <c r="K44" i="225"/>
  <c r="I44" i="225"/>
  <c r="G44" i="225"/>
  <c r="E44" i="225"/>
  <c r="C44" i="225"/>
  <c r="S43" i="225"/>
  <c r="Q43" i="225"/>
  <c r="O43" i="225"/>
  <c r="M43" i="225"/>
  <c r="K43" i="225"/>
  <c r="I43" i="225"/>
  <c r="G43" i="225"/>
  <c r="E43" i="225"/>
  <c r="C43" i="225"/>
  <c r="S41" i="225"/>
  <c r="O41" i="225"/>
  <c r="M41" i="225"/>
  <c r="K41" i="225"/>
  <c r="I41" i="225"/>
  <c r="G41" i="225"/>
  <c r="C41" i="225"/>
  <c r="W40" i="225"/>
  <c r="U40" i="225"/>
  <c r="S40" i="225"/>
  <c r="Q40" i="225"/>
  <c r="O40" i="225"/>
  <c r="M40" i="225"/>
  <c r="K40" i="225"/>
  <c r="I40" i="225"/>
  <c r="G40" i="225"/>
  <c r="E40" i="225"/>
  <c r="C40" i="225"/>
  <c r="S39" i="225"/>
  <c r="Q39" i="225"/>
  <c r="O39" i="225"/>
  <c r="M39" i="225"/>
  <c r="K39" i="225"/>
  <c r="I39" i="225"/>
  <c r="G39" i="225"/>
  <c r="E39" i="225"/>
  <c r="C39" i="225"/>
  <c r="S38" i="225"/>
  <c r="Q38" i="225"/>
  <c r="O38" i="225"/>
  <c r="M38" i="225"/>
  <c r="K38" i="225"/>
  <c r="I38" i="225"/>
  <c r="G38" i="225"/>
  <c r="E38" i="225"/>
  <c r="C38" i="225"/>
  <c r="W37" i="225"/>
  <c r="U37" i="225"/>
  <c r="S37" i="225"/>
  <c r="Q37" i="225"/>
  <c r="O37" i="225"/>
  <c r="M37" i="225"/>
  <c r="K37" i="225"/>
  <c r="I37" i="225"/>
  <c r="G37" i="225"/>
  <c r="E37" i="225"/>
  <c r="C37" i="225"/>
  <c r="W36" i="225"/>
  <c r="U36" i="225"/>
  <c r="S36" i="225"/>
  <c r="Q36" i="225"/>
  <c r="O36" i="225"/>
  <c r="M36" i="225"/>
  <c r="K36" i="225"/>
  <c r="I36" i="225"/>
  <c r="G36" i="225"/>
  <c r="E36" i="225"/>
  <c r="C36" i="225"/>
  <c r="W35" i="225"/>
  <c r="U35" i="225"/>
  <c r="S35" i="225"/>
  <c r="Q35" i="225"/>
  <c r="O35" i="225"/>
  <c r="M35" i="225"/>
  <c r="K35" i="225"/>
  <c r="I35" i="225"/>
  <c r="G35" i="225"/>
  <c r="E35" i="225"/>
  <c r="C35" i="225"/>
  <c r="W34" i="225"/>
  <c r="U34" i="225"/>
  <c r="S34" i="225"/>
  <c r="Q34" i="225"/>
  <c r="O34" i="225"/>
  <c r="M34" i="225"/>
  <c r="K34" i="225"/>
  <c r="I34" i="225"/>
  <c r="G34" i="225"/>
  <c r="E34" i="225"/>
  <c r="C34" i="225"/>
  <c r="X5" i="225"/>
  <c r="Y33" i="225"/>
  <c r="W33" i="225"/>
  <c r="U33" i="225"/>
  <c r="S33" i="225"/>
  <c r="Q33" i="225"/>
  <c r="O33" i="225"/>
  <c r="M33" i="225"/>
  <c r="K33" i="225"/>
  <c r="I33" i="225"/>
  <c r="G33" i="225"/>
  <c r="E33" i="225"/>
  <c r="C33" i="225"/>
  <c r="Y32" i="225"/>
  <c r="U32" i="225"/>
  <c r="S32" i="225"/>
  <c r="Q32" i="225"/>
  <c r="O32" i="225"/>
  <c r="M32" i="225"/>
  <c r="K32" i="225"/>
  <c r="I32" i="225"/>
  <c r="G32" i="225"/>
  <c r="E32" i="225"/>
  <c r="C32" i="225"/>
  <c r="Y31" i="225"/>
  <c r="W31" i="225"/>
  <c r="U31" i="225"/>
  <c r="S31" i="225"/>
  <c r="Q31" i="225"/>
  <c r="O31" i="225"/>
  <c r="M31" i="225"/>
  <c r="K31" i="225"/>
  <c r="I31" i="225"/>
  <c r="G31" i="225"/>
  <c r="E31" i="225"/>
  <c r="C31" i="225"/>
  <c r="Y30" i="225"/>
  <c r="W30" i="225"/>
  <c r="U30" i="225"/>
  <c r="M30" i="225"/>
  <c r="K30" i="225"/>
  <c r="I30" i="225"/>
  <c r="G30" i="225"/>
  <c r="E30" i="225"/>
  <c r="C30" i="225"/>
  <c r="S29" i="225"/>
  <c r="Q29" i="225"/>
  <c r="O29" i="225"/>
  <c r="M29" i="225"/>
  <c r="K29" i="225"/>
  <c r="I29" i="225"/>
  <c r="G29" i="225"/>
  <c r="E29" i="225"/>
  <c r="C29" i="225"/>
  <c r="W28" i="225"/>
  <c r="U28" i="225"/>
  <c r="S28" i="225"/>
  <c r="Q28" i="225"/>
  <c r="O28" i="225"/>
  <c r="M28" i="225"/>
  <c r="K28" i="225"/>
  <c r="I28" i="225"/>
  <c r="G28" i="225"/>
  <c r="E28" i="225"/>
  <c r="C28" i="225"/>
  <c r="S27" i="225"/>
  <c r="Q27" i="225"/>
  <c r="O27" i="225"/>
  <c r="M27" i="225"/>
  <c r="K27" i="225"/>
  <c r="I27" i="225"/>
  <c r="G27" i="225"/>
  <c r="E27" i="225"/>
  <c r="C27" i="225"/>
  <c r="Y26" i="225"/>
  <c r="U26" i="225"/>
  <c r="S26" i="225"/>
  <c r="Q26" i="225"/>
  <c r="O26" i="225"/>
  <c r="M26" i="225"/>
  <c r="K26" i="225"/>
  <c r="I26" i="225"/>
  <c r="G26" i="225"/>
  <c r="E26" i="225"/>
  <c r="C26" i="225"/>
  <c r="Y25" i="225"/>
  <c r="W25" i="225"/>
  <c r="U25" i="225"/>
  <c r="S25" i="225"/>
  <c r="Q25" i="225"/>
  <c r="O25" i="225"/>
  <c r="M25" i="225"/>
  <c r="K25" i="225"/>
  <c r="I25" i="225"/>
  <c r="G25" i="225"/>
  <c r="E25" i="225"/>
  <c r="C25" i="225"/>
  <c r="W24" i="225"/>
  <c r="U24" i="225"/>
  <c r="S24" i="225"/>
  <c r="Q24" i="225"/>
  <c r="O24" i="225"/>
  <c r="M24" i="225"/>
  <c r="K24" i="225"/>
  <c r="I24" i="225"/>
  <c r="G24" i="225"/>
  <c r="E24" i="225"/>
  <c r="C24" i="225"/>
  <c r="W23" i="225"/>
  <c r="U23" i="225"/>
  <c r="S23" i="225"/>
  <c r="Q23" i="225"/>
  <c r="O23" i="225"/>
  <c r="M23" i="225"/>
  <c r="K23" i="225"/>
  <c r="I23" i="225"/>
  <c r="G23" i="225"/>
  <c r="E23" i="225"/>
  <c r="C23" i="225"/>
  <c r="W22" i="225"/>
  <c r="U22" i="225"/>
  <c r="S22" i="225"/>
  <c r="Q22" i="225"/>
  <c r="O22" i="225"/>
  <c r="M22" i="225"/>
  <c r="K22" i="225"/>
  <c r="I22" i="225"/>
  <c r="G22" i="225"/>
  <c r="E22" i="225"/>
  <c r="C22" i="225"/>
  <c r="W21" i="225"/>
  <c r="U21" i="225"/>
  <c r="S21" i="225"/>
  <c r="Q21" i="225"/>
  <c r="O21" i="225"/>
  <c r="M21" i="225"/>
  <c r="K21" i="225"/>
  <c r="I21" i="225"/>
  <c r="G21" i="225"/>
  <c r="E21" i="225"/>
  <c r="C21" i="225"/>
  <c r="W20" i="225"/>
  <c r="U20" i="225"/>
  <c r="Q20" i="225"/>
  <c r="O20" i="225"/>
  <c r="M20" i="225"/>
  <c r="K20" i="225"/>
  <c r="I20" i="225"/>
  <c r="G20" i="225"/>
  <c r="E20" i="225"/>
  <c r="C20" i="225"/>
  <c r="S19" i="225"/>
  <c r="Q19" i="225"/>
  <c r="O19" i="225"/>
  <c r="M19" i="225"/>
  <c r="K19" i="225"/>
  <c r="I19" i="225"/>
  <c r="G19" i="225"/>
  <c r="E19" i="225"/>
  <c r="C19" i="225"/>
  <c r="W18" i="225"/>
  <c r="U18" i="225"/>
  <c r="S18" i="225"/>
  <c r="Q18" i="225"/>
  <c r="O18" i="225"/>
  <c r="M18" i="225"/>
  <c r="K18" i="225"/>
  <c r="I18" i="225"/>
  <c r="G18" i="225"/>
  <c r="E18" i="225"/>
  <c r="C18" i="225"/>
  <c r="W17" i="225"/>
  <c r="U17" i="225"/>
  <c r="S17" i="225"/>
  <c r="Q17" i="225"/>
  <c r="O17" i="225"/>
  <c r="M17" i="225"/>
  <c r="K17" i="225"/>
  <c r="I17" i="225"/>
  <c r="G17" i="225"/>
  <c r="E17" i="225"/>
  <c r="C17" i="225"/>
  <c r="Y16" i="225"/>
  <c r="W16" i="225"/>
  <c r="U16" i="225"/>
  <c r="S16" i="225"/>
  <c r="Q16" i="225"/>
  <c r="O16" i="225"/>
  <c r="M16" i="225"/>
  <c r="K16" i="225"/>
  <c r="I16" i="225"/>
  <c r="G16" i="225"/>
  <c r="E16" i="225"/>
  <c r="C16" i="225"/>
  <c r="W15" i="225"/>
  <c r="U15" i="225"/>
  <c r="S15" i="225"/>
  <c r="Q15" i="225"/>
  <c r="O15" i="225"/>
  <c r="M15" i="225"/>
  <c r="K15" i="225"/>
  <c r="I15" i="225"/>
  <c r="G15" i="225"/>
  <c r="E15" i="225"/>
  <c r="C15" i="225"/>
  <c r="Y14" i="225"/>
  <c r="W14" i="225"/>
  <c r="U14" i="225"/>
  <c r="S14" i="225"/>
  <c r="Q14" i="225"/>
  <c r="O14" i="225"/>
  <c r="M14" i="225"/>
  <c r="K14" i="225"/>
  <c r="I14" i="225"/>
  <c r="G14" i="225"/>
  <c r="E14" i="225"/>
  <c r="C14" i="225"/>
  <c r="W13" i="225"/>
  <c r="U13" i="225"/>
  <c r="S13" i="225"/>
  <c r="Q13" i="225"/>
  <c r="O13" i="225"/>
  <c r="M13" i="225"/>
  <c r="K13" i="225"/>
  <c r="I13" i="225"/>
  <c r="G13" i="225"/>
  <c r="E13" i="225"/>
  <c r="C13" i="225"/>
  <c r="W12" i="225"/>
  <c r="U12" i="225"/>
  <c r="S12" i="225"/>
  <c r="Q12" i="225"/>
  <c r="O12" i="225"/>
  <c r="M12" i="225"/>
  <c r="K12" i="225"/>
  <c r="I12" i="225"/>
  <c r="G12" i="225"/>
  <c r="E12" i="225"/>
  <c r="C12" i="225"/>
  <c r="Y11" i="225"/>
  <c r="W11" i="225"/>
  <c r="U11" i="225"/>
  <c r="S11" i="225"/>
  <c r="Q11" i="225"/>
  <c r="O11" i="225"/>
  <c r="M11" i="225"/>
  <c r="K11" i="225"/>
  <c r="I11" i="225"/>
  <c r="G11" i="225"/>
  <c r="E11" i="225"/>
  <c r="C11" i="225"/>
  <c r="W10" i="225"/>
  <c r="U10" i="225"/>
  <c r="S10" i="225"/>
  <c r="Q10" i="225"/>
  <c r="O10" i="225"/>
  <c r="M10" i="225"/>
  <c r="K10" i="225"/>
  <c r="I10" i="225"/>
  <c r="G10" i="225"/>
  <c r="E10" i="225"/>
  <c r="C10" i="225"/>
  <c r="Y9" i="225"/>
  <c r="W9" i="225"/>
  <c r="U9" i="225"/>
  <c r="S9" i="225"/>
  <c r="Q9" i="225"/>
  <c r="O9" i="225"/>
  <c r="M9" i="225"/>
  <c r="K9" i="225"/>
  <c r="I9" i="225"/>
  <c r="G9" i="225"/>
  <c r="E9" i="225"/>
  <c r="C9" i="225"/>
  <c r="Y8" i="225"/>
  <c r="W8" i="225"/>
  <c r="U8" i="225"/>
  <c r="S8" i="225"/>
  <c r="Q8" i="225"/>
  <c r="O8" i="225"/>
  <c r="M8" i="225"/>
  <c r="K8" i="225"/>
  <c r="I8" i="225"/>
  <c r="G8" i="225"/>
  <c r="E8" i="225"/>
  <c r="C8" i="225"/>
  <c r="Y7" i="225"/>
  <c r="W7" i="225"/>
  <c r="U7" i="225"/>
  <c r="S7" i="225"/>
  <c r="Q7" i="225"/>
  <c r="O7" i="225"/>
  <c r="M7" i="225"/>
  <c r="K7" i="225"/>
  <c r="I7" i="225"/>
  <c r="G7" i="225"/>
  <c r="E7" i="225"/>
  <c r="C7" i="225"/>
  <c r="Y6" i="225"/>
  <c r="W6" i="225"/>
  <c r="U6" i="225"/>
  <c r="S6" i="225"/>
  <c r="Q6" i="225"/>
  <c r="O6" i="225"/>
  <c r="M6" i="225"/>
  <c r="K6" i="225"/>
  <c r="I6" i="225"/>
  <c r="G6" i="225"/>
  <c r="E6" i="225"/>
  <c r="C6" i="225"/>
  <c r="Y5" i="225"/>
  <c r="W5" i="225"/>
  <c r="U5" i="225"/>
  <c r="S5" i="225"/>
  <c r="Q5" i="225"/>
  <c r="O5" i="225"/>
  <c r="M5" i="225"/>
  <c r="K5" i="225"/>
  <c r="I5" i="225"/>
  <c r="G5" i="225"/>
  <c r="E5" i="225"/>
  <c r="C5" i="225"/>
  <c r="B5" i="224"/>
  <c r="C108" i="224"/>
  <c r="D5" i="224"/>
  <c r="E107" i="224"/>
  <c r="C107" i="224"/>
  <c r="E106" i="224"/>
  <c r="C106" i="224"/>
  <c r="E105" i="224"/>
  <c r="C105" i="224"/>
  <c r="E104" i="224"/>
  <c r="C104" i="224"/>
  <c r="E103" i="224"/>
  <c r="C103" i="224"/>
  <c r="F5" i="224"/>
  <c r="G102" i="224"/>
  <c r="C102" i="224"/>
  <c r="G101" i="224"/>
  <c r="C101" i="224"/>
  <c r="E100" i="224"/>
  <c r="C100" i="224"/>
  <c r="E99" i="224"/>
  <c r="C99" i="224"/>
  <c r="E98" i="224"/>
  <c r="C98" i="224"/>
  <c r="E97" i="224"/>
  <c r="C97" i="224"/>
  <c r="G96" i="224"/>
  <c r="C96" i="224"/>
  <c r="E95" i="224"/>
  <c r="C95" i="224"/>
  <c r="E94" i="224"/>
  <c r="C94" i="224"/>
  <c r="E93" i="224"/>
  <c r="C93" i="224"/>
  <c r="G92" i="224"/>
  <c r="C92" i="224"/>
  <c r="G91" i="224"/>
  <c r="C91" i="224"/>
  <c r="E90" i="224"/>
  <c r="C90" i="224"/>
  <c r="E89" i="224"/>
  <c r="C89" i="224"/>
  <c r="E88" i="224"/>
  <c r="C88" i="224"/>
  <c r="E87" i="224"/>
  <c r="C87" i="224"/>
  <c r="E86" i="224"/>
  <c r="C86" i="224"/>
  <c r="G85" i="224"/>
  <c r="E85" i="224"/>
  <c r="C85" i="224"/>
  <c r="E84" i="224"/>
  <c r="C84" i="224"/>
  <c r="G83" i="224"/>
  <c r="C83" i="224"/>
  <c r="G82" i="224"/>
  <c r="E82" i="224"/>
  <c r="C82" i="224"/>
  <c r="G81" i="224"/>
  <c r="E81" i="224"/>
  <c r="C81" i="224"/>
  <c r="G80" i="224"/>
  <c r="E80" i="224"/>
  <c r="C80" i="224"/>
  <c r="E79" i="224"/>
  <c r="C79" i="224"/>
  <c r="E78" i="224"/>
  <c r="C78" i="224"/>
  <c r="G77" i="224"/>
  <c r="E77" i="224"/>
  <c r="C77" i="224"/>
  <c r="E76" i="224"/>
  <c r="C76" i="224"/>
  <c r="G75" i="224"/>
  <c r="E75" i="224"/>
  <c r="C75" i="224"/>
  <c r="G74" i="224"/>
  <c r="E74" i="224"/>
  <c r="C74" i="224"/>
  <c r="V5" i="224"/>
  <c r="W73" i="224"/>
  <c r="T5" i="224"/>
  <c r="U73" i="224"/>
  <c r="G73" i="224"/>
  <c r="E73" i="224"/>
  <c r="C73" i="224"/>
  <c r="W72" i="224"/>
  <c r="U72" i="224"/>
  <c r="J5" i="224"/>
  <c r="K72" i="224"/>
  <c r="H5" i="224"/>
  <c r="I72" i="224"/>
  <c r="G72" i="224"/>
  <c r="E72" i="224"/>
  <c r="C72" i="224"/>
  <c r="G71" i="224"/>
  <c r="E71" i="224"/>
  <c r="C71" i="224"/>
  <c r="W70" i="224"/>
  <c r="U70" i="224"/>
  <c r="G70" i="224"/>
  <c r="E70" i="224"/>
  <c r="C70" i="224"/>
  <c r="G69" i="224"/>
  <c r="E69" i="224"/>
  <c r="C69" i="224"/>
  <c r="G68" i="224"/>
  <c r="E68" i="224"/>
  <c r="C68" i="224"/>
  <c r="P5" i="224"/>
  <c r="Q67" i="224"/>
  <c r="N5" i="224"/>
  <c r="O67" i="224"/>
  <c r="E67" i="224"/>
  <c r="C67" i="224"/>
  <c r="W66" i="224"/>
  <c r="U66" i="224"/>
  <c r="E66" i="224"/>
  <c r="C66" i="224"/>
  <c r="X5" i="224"/>
  <c r="Y65" i="224"/>
  <c r="U65" i="224"/>
  <c r="Q65" i="224"/>
  <c r="O65" i="224"/>
  <c r="L5" i="224"/>
  <c r="M65" i="224"/>
  <c r="I65" i="224"/>
  <c r="G65" i="224"/>
  <c r="E65" i="224"/>
  <c r="C65" i="224"/>
  <c r="G64" i="224"/>
  <c r="E64" i="224"/>
  <c r="C64" i="224"/>
  <c r="W63" i="224"/>
  <c r="U63" i="224"/>
  <c r="G63" i="224"/>
  <c r="E63" i="224"/>
  <c r="C63" i="224"/>
  <c r="G62" i="224"/>
  <c r="E62" i="224"/>
  <c r="C62" i="224"/>
  <c r="G61" i="224"/>
  <c r="E61" i="224"/>
  <c r="C61" i="224"/>
  <c r="Y60" i="224"/>
  <c r="W60" i="224"/>
  <c r="U60" i="224"/>
  <c r="G60" i="224"/>
  <c r="E60" i="224"/>
  <c r="C60" i="224"/>
  <c r="Y59" i="224"/>
  <c r="W59" i="224"/>
  <c r="U59" i="224"/>
  <c r="R5" i="224"/>
  <c r="S59" i="224"/>
  <c r="O59" i="224"/>
  <c r="G59" i="224"/>
  <c r="E59" i="224"/>
  <c r="C59" i="224"/>
  <c r="G58" i="224"/>
  <c r="E58" i="224"/>
  <c r="C58" i="224"/>
  <c r="G57" i="224"/>
  <c r="E57" i="224"/>
  <c r="C57" i="224"/>
  <c r="Y56" i="224"/>
  <c r="W56" i="224"/>
  <c r="U56" i="224"/>
  <c r="S56" i="224"/>
  <c r="O56" i="224"/>
  <c r="G56" i="224"/>
  <c r="E56" i="224"/>
  <c r="C56" i="224"/>
  <c r="G55" i="224"/>
  <c r="E55" i="224"/>
  <c r="C55" i="224"/>
  <c r="Y54" i="224"/>
  <c r="U54" i="224"/>
  <c r="G54" i="224"/>
  <c r="E54" i="224"/>
  <c r="C54" i="224"/>
  <c r="Y53" i="224"/>
  <c r="U53" i="224"/>
  <c r="G53" i="224"/>
  <c r="E53" i="224"/>
  <c r="C53" i="224"/>
  <c r="G52" i="224"/>
  <c r="E52" i="224"/>
  <c r="C52" i="224"/>
  <c r="Y51" i="224"/>
  <c r="W51" i="224"/>
  <c r="U51" i="224"/>
  <c r="S51" i="224"/>
  <c r="O51" i="224"/>
  <c r="K51" i="224"/>
  <c r="I51" i="224"/>
  <c r="G51" i="224"/>
  <c r="E51" i="224"/>
  <c r="C51" i="224"/>
  <c r="Y50" i="224"/>
  <c r="W50" i="224"/>
  <c r="U50" i="224"/>
  <c r="G50" i="224"/>
  <c r="E50" i="224"/>
  <c r="C50" i="224"/>
  <c r="Y49" i="224"/>
  <c r="W49" i="224"/>
  <c r="U49" i="224"/>
  <c r="Q49" i="224"/>
  <c r="O49" i="224"/>
  <c r="G49" i="224"/>
  <c r="E49" i="224"/>
  <c r="C49" i="224"/>
  <c r="G48" i="224"/>
  <c r="E48" i="224"/>
  <c r="C48" i="224"/>
  <c r="Y47" i="224"/>
  <c r="W47" i="224"/>
  <c r="U47" i="224"/>
  <c r="S47" i="224"/>
  <c r="Q47" i="224"/>
  <c r="O47" i="224"/>
  <c r="G47" i="224"/>
  <c r="E47" i="224"/>
  <c r="C47" i="224"/>
  <c r="S46" i="224"/>
  <c r="Q46" i="224"/>
  <c r="O46" i="224"/>
  <c r="M46" i="224"/>
  <c r="K46" i="224"/>
  <c r="I46" i="224"/>
  <c r="G46" i="224"/>
  <c r="E46" i="224"/>
  <c r="C46" i="224"/>
  <c r="Y45" i="224"/>
  <c r="W45" i="224"/>
  <c r="U45" i="224"/>
  <c r="S45" i="224"/>
  <c r="Q45" i="224"/>
  <c r="O45" i="224"/>
  <c r="M45" i="224"/>
  <c r="K45" i="224"/>
  <c r="I45" i="224"/>
  <c r="G45" i="224"/>
  <c r="E45" i="224"/>
  <c r="C45" i="224"/>
  <c r="Y44" i="224"/>
  <c r="W44" i="224"/>
  <c r="U44" i="224"/>
  <c r="S44" i="224"/>
  <c r="Q44" i="224"/>
  <c r="O44" i="224"/>
  <c r="G44" i="224"/>
  <c r="E44" i="224"/>
  <c r="C44" i="224"/>
  <c r="Y43" i="224"/>
  <c r="W43" i="224"/>
  <c r="U43" i="224"/>
  <c r="S43" i="224"/>
  <c r="O43" i="224"/>
  <c r="G43" i="224"/>
  <c r="E43" i="224"/>
  <c r="C43" i="224"/>
  <c r="S42" i="224"/>
  <c r="Q42" i="224"/>
  <c r="O42" i="224"/>
  <c r="M42" i="224"/>
  <c r="K42" i="224"/>
  <c r="I42" i="224"/>
  <c r="G42" i="224"/>
  <c r="E42" i="224"/>
  <c r="C42" i="224"/>
  <c r="Y41" i="224"/>
  <c r="W41" i="224"/>
  <c r="U41" i="224"/>
  <c r="S41" i="224"/>
  <c r="Q41" i="224"/>
  <c r="O41" i="224"/>
  <c r="M41" i="224"/>
  <c r="K41" i="224"/>
  <c r="I41" i="224"/>
  <c r="G41" i="224"/>
  <c r="E41" i="224"/>
  <c r="C41" i="224"/>
  <c r="Y40" i="224"/>
  <c r="W40" i="224"/>
  <c r="U40" i="224"/>
  <c r="S40" i="224"/>
  <c r="Q40" i="224"/>
  <c r="O40" i="224"/>
  <c r="M40" i="224"/>
  <c r="K40" i="224"/>
  <c r="I40" i="224"/>
  <c r="G40" i="224"/>
  <c r="E40" i="224"/>
  <c r="C40" i="224"/>
  <c r="Y39" i="224"/>
  <c r="W39" i="224"/>
  <c r="U39" i="224"/>
  <c r="Q39" i="224"/>
  <c r="O39" i="224"/>
  <c r="G39" i="224"/>
  <c r="E39" i="224"/>
  <c r="C39" i="224"/>
  <c r="Y38" i="224"/>
  <c r="W38" i="224"/>
  <c r="U38" i="224"/>
  <c r="Q38" i="224"/>
  <c r="O38" i="224"/>
  <c r="M38" i="224"/>
  <c r="I38" i="224"/>
  <c r="G38" i="224"/>
  <c r="E38" i="224"/>
  <c r="C38" i="224"/>
  <c r="Y37" i="224"/>
  <c r="W37" i="224"/>
  <c r="U37" i="224"/>
  <c r="S37" i="224"/>
  <c r="O37" i="224"/>
  <c r="M37" i="224"/>
  <c r="K37" i="224"/>
  <c r="I37" i="224"/>
  <c r="G37" i="224"/>
  <c r="E37" i="224"/>
  <c r="C37" i="224"/>
  <c r="Y36" i="224"/>
  <c r="W36" i="224"/>
  <c r="U36" i="224"/>
  <c r="S36" i="224"/>
  <c r="Q36" i="224"/>
  <c r="O36" i="224"/>
  <c r="G36" i="224"/>
  <c r="E36" i="224"/>
  <c r="C36" i="224"/>
  <c r="Y35" i="224"/>
  <c r="W35" i="224"/>
  <c r="U35" i="224"/>
  <c r="Q35" i="224"/>
  <c r="O35" i="224"/>
  <c r="M35" i="224"/>
  <c r="K35" i="224"/>
  <c r="I35" i="224"/>
  <c r="G35" i="224"/>
  <c r="E35" i="224"/>
  <c r="C35" i="224"/>
  <c r="Y34" i="224"/>
  <c r="W34" i="224"/>
  <c r="U34" i="224"/>
  <c r="S34" i="224"/>
  <c r="Q34" i="224"/>
  <c r="O34" i="224"/>
  <c r="G34" i="224"/>
  <c r="E34" i="224"/>
  <c r="C34" i="224"/>
  <c r="Y33" i="224"/>
  <c r="W33" i="224"/>
  <c r="U33" i="224"/>
  <c r="S33" i="224"/>
  <c r="Q33" i="224"/>
  <c r="O33" i="224"/>
  <c r="M33" i="224"/>
  <c r="K33" i="224"/>
  <c r="I33" i="224"/>
  <c r="G33" i="224"/>
  <c r="E33" i="224"/>
  <c r="C33" i="224"/>
  <c r="Y32" i="224"/>
  <c r="W32" i="224"/>
  <c r="U32" i="224"/>
  <c r="S32" i="224"/>
  <c r="Q32" i="224"/>
  <c r="O32" i="224"/>
  <c r="M32" i="224"/>
  <c r="K32" i="224"/>
  <c r="I32" i="224"/>
  <c r="G32" i="224"/>
  <c r="E32" i="224"/>
  <c r="C32" i="224"/>
  <c r="Y31" i="224"/>
  <c r="W31" i="224"/>
  <c r="U31" i="224"/>
  <c r="S31" i="224"/>
  <c r="Q31" i="224"/>
  <c r="O31" i="224"/>
  <c r="M31" i="224"/>
  <c r="K31" i="224"/>
  <c r="I31" i="224"/>
  <c r="G31" i="224"/>
  <c r="E31" i="224"/>
  <c r="C31" i="224"/>
  <c r="Y30" i="224"/>
  <c r="U30" i="224"/>
  <c r="S30" i="224"/>
  <c r="Q30" i="224"/>
  <c r="O30" i="224"/>
  <c r="M30" i="224"/>
  <c r="K30" i="224"/>
  <c r="I30" i="224"/>
  <c r="G30" i="224"/>
  <c r="E30" i="224"/>
  <c r="C30" i="224"/>
  <c r="Y29" i="224"/>
  <c r="W29" i="224"/>
  <c r="U29" i="224"/>
  <c r="S29" i="224"/>
  <c r="Q29" i="224"/>
  <c r="O29" i="224"/>
  <c r="M29" i="224"/>
  <c r="K29" i="224"/>
  <c r="I29" i="224"/>
  <c r="G29" i="224"/>
  <c r="E29" i="224"/>
  <c r="C29" i="224"/>
  <c r="Y28" i="224"/>
  <c r="W28" i="224"/>
  <c r="U28" i="224"/>
  <c r="S28" i="224"/>
  <c r="Q28" i="224"/>
  <c r="O28" i="224"/>
  <c r="G28" i="224"/>
  <c r="E28" i="224"/>
  <c r="C28" i="224"/>
  <c r="Y27" i="224"/>
  <c r="W27" i="224"/>
  <c r="U27" i="224"/>
  <c r="S27" i="224"/>
  <c r="Q27" i="224"/>
  <c r="O27" i="224"/>
  <c r="M27" i="224"/>
  <c r="K27" i="224"/>
  <c r="I27" i="224"/>
  <c r="G27" i="224"/>
  <c r="E27" i="224"/>
  <c r="C27" i="224"/>
  <c r="Y26" i="224"/>
  <c r="W26" i="224"/>
  <c r="U26" i="224"/>
  <c r="S26" i="224"/>
  <c r="Q26" i="224"/>
  <c r="O26" i="224"/>
  <c r="G26" i="224"/>
  <c r="E26" i="224"/>
  <c r="C26" i="224"/>
  <c r="Y25" i="224"/>
  <c r="W25" i="224"/>
  <c r="U25" i="224"/>
  <c r="Q25" i="224"/>
  <c r="O25" i="224"/>
  <c r="K25" i="224"/>
  <c r="I25" i="224"/>
  <c r="G25" i="224"/>
  <c r="E25" i="224"/>
  <c r="C25" i="224"/>
  <c r="Y24" i="224"/>
  <c r="W24" i="224"/>
  <c r="U24" i="224"/>
  <c r="Q24" i="224"/>
  <c r="O24" i="224"/>
  <c r="G24" i="224"/>
  <c r="E24" i="224"/>
  <c r="C24" i="224"/>
  <c r="Y23" i="224"/>
  <c r="W23" i="224"/>
  <c r="U23" i="224"/>
  <c r="Q23" i="224"/>
  <c r="O23" i="224"/>
  <c r="G23" i="224"/>
  <c r="E23" i="224"/>
  <c r="C23" i="224"/>
  <c r="Y22" i="224"/>
  <c r="W22" i="224"/>
  <c r="U22" i="224"/>
  <c r="G22" i="224"/>
  <c r="E22" i="224"/>
  <c r="C22" i="224"/>
  <c r="Y21" i="224"/>
  <c r="W21" i="224"/>
  <c r="U21" i="224"/>
  <c r="S21" i="224"/>
  <c r="Q21" i="224"/>
  <c r="O21" i="224"/>
  <c r="K21" i="224"/>
  <c r="I21" i="224"/>
  <c r="G21" i="224"/>
  <c r="E21" i="224"/>
  <c r="C21" i="224"/>
  <c r="Y20" i="224"/>
  <c r="W20" i="224"/>
  <c r="U20" i="224"/>
  <c r="S20" i="224"/>
  <c r="O20" i="224"/>
  <c r="K20" i="224"/>
  <c r="I20" i="224"/>
  <c r="G20" i="224"/>
  <c r="E20" i="224"/>
  <c r="C20" i="224"/>
  <c r="Y19" i="224"/>
  <c r="W19" i="224"/>
  <c r="U19" i="224"/>
  <c r="S19" i="224"/>
  <c r="Q19" i="224"/>
  <c r="O19" i="224"/>
  <c r="M19" i="224"/>
  <c r="K19" i="224"/>
  <c r="I19" i="224"/>
  <c r="G19" i="224"/>
  <c r="E19" i="224"/>
  <c r="C19" i="224"/>
  <c r="Y18" i="224"/>
  <c r="W18" i="224"/>
  <c r="U18" i="224"/>
  <c r="S18" i="224"/>
  <c r="Q18" i="224"/>
  <c r="O18" i="224"/>
  <c r="M18" i="224"/>
  <c r="K18" i="224"/>
  <c r="I18" i="224"/>
  <c r="G18" i="224"/>
  <c r="E18" i="224"/>
  <c r="C18" i="224"/>
  <c r="Y17" i="224"/>
  <c r="W17" i="224"/>
  <c r="U17" i="224"/>
  <c r="S17" i="224"/>
  <c r="Q17" i="224"/>
  <c r="O17" i="224"/>
  <c r="M17" i="224"/>
  <c r="K17" i="224"/>
  <c r="I17" i="224"/>
  <c r="G17" i="224"/>
  <c r="E17" i="224"/>
  <c r="C17" i="224"/>
  <c r="Y16" i="224"/>
  <c r="W16" i="224"/>
  <c r="U16" i="224"/>
  <c r="S16" i="224"/>
  <c r="Q16" i="224"/>
  <c r="O16" i="224"/>
  <c r="M16" i="224"/>
  <c r="K16" i="224"/>
  <c r="I16" i="224"/>
  <c r="G16" i="224"/>
  <c r="E16" i="224"/>
  <c r="C16" i="224"/>
  <c r="Y15" i="224"/>
  <c r="W15" i="224"/>
  <c r="U15" i="224"/>
  <c r="S15" i="224"/>
  <c r="Q15" i="224"/>
  <c r="O15" i="224"/>
  <c r="M15" i="224"/>
  <c r="I15" i="224"/>
  <c r="G15" i="224"/>
  <c r="E15" i="224"/>
  <c r="C15" i="224"/>
  <c r="Y14" i="224"/>
  <c r="W14" i="224"/>
  <c r="U14" i="224"/>
  <c r="S14" i="224"/>
  <c r="Q14" i="224"/>
  <c r="O14" i="224"/>
  <c r="G14" i="224"/>
  <c r="E14" i="224"/>
  <c r="C14" i="224"/>
  <c r="Y13" i="224"/>
  <c r="W13" i="224"/>
  <c r="U13" i="224"/>
  <c r="S13" i="224"/>
  <c r="Q13" i="224"/>
  <c r="O13" i="224"/>
  <c r="M13" i="224"/>
  <c r="K13" i="224"/>
  <c r="I13" i="224"/>
  <c r="G13" i="224"/>
  <c r="E13" i="224"/>
  <c r="C13" i="224"/>
  <c r="Y12" i="224"/>
  <c r="W12" i="224"/>
  <c r="U12" i="224"/>
  <c r="S12" i="224"/>
  <c r="Q12" i="224"/>
  <c r="O12" i="224"/>
  <c r="M12" i="224"/>
  <c r="K12" i="224"/>
  <c r="I12" i="224"/>
  <c r="G12" i="224"/>
  <c r="E12" i="224"/>
  <c r="C12" i="224"/>
  <c r="Y11" i="224"/>
  <c r="W11" i="224"/>
  <c r="U11" i="224"/>
  <c r="S11" i="224"/>
  <c r="Q11" i="224"/>
  <c r="O11" i="224"/>
  <c r="M11" i="224"/>
  <c r="K11" i="224"/>
  <c r="I11" i="224"/>
  <c r="G11" i="224"/>
  <c r="E11" i="224"/>
  <c r="C11" i="224"/>
  <c r="Y10" i="224"/>
  <c r="W10" i="224"/>
  <c r="U10" i="224"/>
  <c r="S10" i="224"/>
  <c r="Q10" i="224"/>
  <c r="O10" i="224"/>
  <c r="M10" i="224"/>
  <c r="K10" i="224"/>
  <c r="I10" i="224"/>
  <c r="G10" i="224"/>
  <c r="E10" i="224"/>
  <c r="C10" i="224"/>
  <c r="Y9" i="224"/>
  <c r="W9" i="224"/>
  <c r="U9" i="224"/>
  <c r="S9" i="224"/>
  <c r="Q9" i="224"/>
  <c r="O9" i="224"/>
  <c r="M9" i="224"/>
  <c r="K9" i="224"/>
  <c r="I9" i="224"/>
  <c r="G9" i="224"/>
  <c r="E9" i="224"/>
  <c r="C9" i="224"/>
  <c r="Y8" i="224"/>
  <c r="W8" i="224"/>
  <c r="U8" i="224"/>
  <c r="S8" i="224"/>
  <c r="Q8" i="224"/>
  <c r="O8" i="224"/>
  <c r="M8" i="224"/>
  <c r="K8" i="224"/>
  <c r="I8" i="224"/>
  <c r="G8" i="224"/>
  <c r="E8" i="224"/>
  <c r="C8" i="224"/>
  <c r="Y7" i="224"/>
  <c r="W7" i="224"/>
  <c r="U7" i="224"/>
  <c r="S7" i="224"/>
  <c r="Q7" i="224"/>
  <c r="O7" i="224"/>
  <c r="M7" i="224"/>
  <c r="K7" i="224"/>
  <c r="I7" i="224"/>
  <c r="G7" i="224"/>
  <c r="E7" i="224"/>
  <c r="C7" i="224"/>
  <c r="Y6" i="224"/>
  <c r="W6" i="224"/>
  <c r="U6" i="224"/>
  <c r="S6" i="224"/>
  <c r="Q6" i="224"/>
  <c r="O6" i="224"/>
  <c r="M6" i="224"/>
  <c r="K6" i="224"/>
  <c r="I6" i="224"/>
  <c r="G6" i="224"/>
  <c r="E6" i="224"/>
  <c r="C6" i="224"/>
  <c r="Y5" i="224"/>
  <c r="W5" i="224"/>
  <c r="U5" i="224"/>
  <c r="S5" i="224"/>
  <c r="Q5" i="224"/>
  <c r="O5" i="224"/>
  <c r="M5" i="224"/>
  <c r="K5" i="224"/>
  <c r="I5" i="224"/>
  <c r="G5" i="224"/>
  <c r="E5" i="224"/>
  <c r="C5" i="224"/>
  <c r="I4" i="223"/>
  <c r="J152" i="223"/>
  <c r="G4" i="223"/>
  <c r="H152" i="223"/>
  <c r="E4" i="223"/>
  <c r="F152" i="223"/>
  <c r="C4" i="223"/>
  <c r="D152" i="223"/>
  <c r="O4" i="223"/>
  <c r="P151" i="223"/>
  <c r="M4" i="223"/>
  <c r="N151" i="223"/>
  <c r="D151" i="223"/>
  <c r="P150" i="223"/>
  <c r="J150" i="223"/>
  <c r="H150" i="223"/>
  <c r="D150" i="223"/>
  <c r="S4" i="223"/>
  <c r="T149" i="223"/>
  <c r="J149" i="223"/>
  <c r="F149" i="223"/>
  <c r="D149" i="223"/>
  <c r="D148" i="223"/>
  <c r="D147" i="223"/>
  <c r="D146" i="223"/>
  <c r="T145" i="223"/>
  <c r="P145" i="223"/>
  <c r="K4" i="223"/>
  <c r="L145" i="223"/>
  <c r="J145" i="223"/>
  <c r="H145" i="223"/>
  <c r="D145" i="223"/>
  <c r="Q76" i="223"/>
  <c r="Q4" i="223"/>
  <c r="R144" i="223"/>
  <c r="P144" i="223"/>
  <c r="N144" i="223"/>
  <c r="L144" i="223"/>
  <c r="J144" i="223"/>
  <c r="H144" i="223"/>
  <c r="F144" i="223"/>
  <c r="D144" i="223"/>
  <c r="R143" i="223"/>
  <c r="L143" i="223"/>
  <c r="R142" i="223"/>
  <c r="D142" i="223"/>
  <c r="D141" i="223"/>
  <c r="R140" i="223"/>
  <c r="P140" i="223"/>
  <c r="D140" i="223"/>
  <c r="T139" i="223"/>
  <c r="R139" i="223"/>
  <c r="P139" i="223"/>
  <c r="L139" i="223"/>
  <c r="J139" i="223"/>
  <c r="H139" i="223"/>
  <c r="F139" i="223"/>
  <c r="D139" i="223"/>
  <c r="N138" i="223"/>
  <c r="L138" i="223"/>
  <c r="T137" i="223"/>
  <c r="R137" i="223"/>
  <c r="N137" i="223"/>
  <c r="J137" i="223"/>
  <c r="H137" i="223"/>
  <c r="F137" i="223"/>
  <c r="D137" i="223"/>
  <c r="J136" i="223"/>
  <c r="H136" i="223"/>
  <c r="D136" i="223"/>
  <c r="L135" i="223"/>
  <c r="R134" i="223"/>
  <c r="F134" i="223"/>
  <c r="D134" i="223"/>
  <c r="D133" i="223"/>
  <c r="F132" i="223"/>
  <c r="R131" i="223"/>
  <c r="P131" i="223"/>
  <c r="N131" i="223"/>
  <c r="H131" i="223"/>
  <c r="F131" i="223"/>
  <c r="D131" i="223"/>
  <c r="P130" i="223"/>
  <c r="F130" i="223"/>
  <c r="T129" i="223"/>
  <c r="N129" i="223"/>
  <c r="T128" i="223"/>
  <c r="H128" i="223"/>
  <c r="F128" i="223"/>
  <c r="H127" i="223"/>
  <c r="P126" i="223"/>
  <c r="L126" i="223"/>
  <c r="J126" i="223"/>
  <c r="H126" i="223"/>
  <c r="D126" i="223"/>
  <c r="J125" i="223"/>
  <c r="F125" i="223"/>
  <c r="L124" i="223"/>
  <c r="P123" i="223"/>
  <c r="N123" i="223"/>
  <c r="L123" i="223"/>
  <c r="D123" i="223"/>
  <c r="H122" i="223"/>
  <c r="N121" i="223"/>
  <c r="H121" i="223"/>
  <c r="T120" i="223"/>
  <c r="R120" i="223"/>
  <c r="R119" i="223"/>
  <c r="J119" i="223"/>
  <c r="H119" i="223"/>
  <c r="F119" i="223"/>
  <c r="R118" i="223"/>
  <c r="N118" i="223"/>
  <c r="L118" i="223"/>
  <c r="J118" i="223"/>
  <c r="F118" i="223"/>
  <c r="T117" i="223"/>
  <c r="P117" i="223"/>
  <c r="N117" i="223"/>
  <c r="L117" i="223"/>
  <c r="J117" i="223"/>
  <c r="H117" i="223"/>
  <c r="F117" i="223"/>
  <c r="D117" i="223"/>
  <c r="P116" i="223"/>
  <c r="N116" i="223"/>
  <c r="L116" i="223"/>
  <c r="J116" i="223"/>
  <c r="H116" i="223"/>
  <c r="F116" i="223"/>
  <c r="D116" i="223"/>
  <c r="T115" i="223"/>
  <c r="R115" i="223"/>
  <c r="N115" i="223"/>
  <c r="L115" i="223"/>
  <c r="H115" i="223"/>
  <c r="F115" i="223"/>
  <c r="D115" i="223"/>
  <c r="P114" i="223"/>
  <c r="D114" i="223"/>
  <c r="N113" i="223"/>
  <c r="J113" i="223"/>
  <c r="H112" i="223"/>
  <c r="F112" i="223"/>
  <c r="N111" i="223"/>
  <c r="D110" i="223"/>
  <c r="D109" i="223"/>
  <c r="L108" i="223"/>
  <c r="U4" i="223"/>
  <c r="V107" i="223"/>
  <c r="T107" i="223"/>
  <c r="R107" i="223"/>
  <c r="P107" i="223"/>
  <c r="N107" i="223"/>
  <c r="L107" i="223"/>
  <c r="J107" i="223"/>
  <c r="H107" i="223"/>
  <c r="F107" i="223"/>
  <c r="D107" i="223"/>
  <c r="V106" i="223"/>
  <c r="T106" i="223"/>
  <c r="R106" i="223"/>
  <c r="H106" i="223"/>
  <c r="D106" i="223"/>
  <c r="V105" i="223"/>
  <c r="V104" i="223"/>
  <c r="T104" i="223"/>
  <c r="R104" i="223"/>
  <c r="N104" i="223"/>
  <c r="L104" i="223"/>
  <c r="H104" i="223"/>
  <c r="F104" i="223"/>
  <c r="V103" i="223"/>
  <c r="V102" i="223"/>
  <c r="T102" i="223"/>
  <c r="P102" i="223"/>
  <c r="N102" i="223"/>
  <c r="H102" i="223"/>
  <c r="F102" i="223"/>
  <c r="D102" i="223"/>
  <c r="V101" i="223"/>
  <c r="V100" i="223"/>
  <c r="P100" i="223"/>
  <c r="F100" i="223"/>
  <c r="V99" i="223"/>
  <c r="T99" i="223"/>
  <c r="R99" i="223"/>
  <c r="P99" i="223"/>
  <c r="J99" i="223"/>
  <c r="H99" i="223"/>
  <c r="D99" i="223"/>
  <c r="V98" i="223"/>
  <c r="R98" i="223"/>
  <c r="L98" i="223"/>
  <c r="J98" i="223"/>
  <c r="F98" i="223"/>
  <c r="V97" i="223"/>
  <c r="T97" i="223"/>
  <c r="R97" i="223"/>
  <c r="J97" i="223"/>
  <c r="H97" i="223"/>
  <c r="F97" i="223"/>
  <c r="V96" i="223"/>
  <c r="F96" i="223"/>
  <c r="V95" i="223"/>
  <c r="T95" i="223"/>
  <c r="R95" i="223"/>
  <c r="N95" i="223"/>
  <c r="J95" i="223"/>
  <c r="H95" i="223"/>
  <c r="F95" i="223"/>
  <c r="D95" i="223"/>
  <c r="V94" i="223"/>
  <c r="T94" i="223"/>
  <c r="R94" i="223"/>
  <c r="P94" i="223"/>
  <c r="N94" i="223"/>
  <c r="L94" i="223"/>
  <c r="H94" i="223"/>
  <c r="F94" i="223"/>
  <c r="V93" i="223"/>
  <c r="R93" i="223"/>
  <c r="P93" i="223"/>
  <c r="N93" i="223"/>
  <c r="L93" i="223"/>
  <c r="J93" i="223"/>
  <c r="H93" i="223"/>
  <c r="D93" i="223"/>
  <c r="V92" i="223"/>
  <c r="T92" i="223"/>
  <c r="R92" i="223"/>
  <c r="P92" i="223"/>
  <c r="N92" i="223"/>
  <c r="L92" i="223"/>
  <c r="J92" i="223"/>
  <c r="F92" i="223"/>
  <c r="D92" i="223"/>
  <c r="V91" i="223"/>
  <c r="T91" i="223"/>
  <c r="R91" i="223"/>
  <c r="P91" i="223"/>
  <c r="N91" i="223"/>
  <c r="L91" i="223"/>
  <c r="J91" i="223"/>
  <c r="H91" i="223"/>
  <c r="F91" i="223"/>
  <c r="D91" i="223"/>
  <c r="V90" i="223"/>
  <c r="P90" i="223"/>
  <c r="F90" i="223"/>
  <c r="D90" i="223"/>
  <c r="V89" i="223"/>
  <c r="D89" i="223"/>
  <c r="V88" i="223"/>
  <c r="T88" i="223"/>
  <c r="R88" i="223"/>
  <c r="P88" i="223"/>
  <c r="N88" i="223"/>
  <c r="L88" i="223"/>
  <c r="J88" i="223"/>
  <c r="H88" i="223"/>
  <c r="F88" i="223"/>
  <c r="D88" i="223"/>
  <c r="V87" i="223"/>
  <c r="T87" i="223"/>
  <c r="R87" i="223"/>
  <c r="P87" i="223"/>
  <c r="N87" i="223"/>
  <c r="L87" i="223"/>
  <c r="J87" i="223"/>
  <c r="V86" i="223"/>
  <c r="T86" i="223"/>
  <c r="R86" i="223"/>
  <c r="P86" i="223"/>
  <c r="N86" i="223"/>
  <c r="L86" i="223"/>
  <c r="J86" i="223"/>
  <c r="H86" i="223"/>
  <c r="F86" i="223"/>
  <c r="D86" i="223"/>
  <c r="V85" i="223"/>
  <c r="T85" i="223"/>
  <c r="P85" i="223"/>
  <c r="N85" i="223"/>
  <c r="J85" i="223"/>
  <c r="F85" i="223"/>
  <c r="D85" i="223"/>
  <c r="V84" i="223"/>
  <c r="T84" i="223"/>
  <c r="R84" i="223"/>
  <c r="P84" i="223"/>
  <c r="N84" i="223"/>
  <c r="L84" i="223"/>
  <c r="H84" i="223"/>
  <c r="F84" i="223"/>
  <c r="D84" i="223"/>
  <c r="V83" i="223"/>
  <c r="R83" i="223"/>
  <c r="P83" i="223"/>
  <c r="L83" i="223"/>
  <c r="J83" i="223"/>
  <c r="F83" i="223"/>
  <c r="D83" i="223"/>
  <c r="V82" i="223"/>
  <c r="R82" i="223"/>
  <c r="L82" i="223"/>
  <c r="H82" i="223"/>
  <c r="V81" i="223"/>
  <c r="T81" i="223"/>
  <c r="R81" i="223"/>
  <c r="P81" i="223"/>
  <c r="N81" i="223"/>
  <c r="L81" i="223"/>
  <c r="J81" i="223"/>
  <c r="H81" i="223"/>
  <c r="F81" i="223"/>
  <c r="D81" i="223"/>
  <c r="V80" i="223"/>
  <c r="T80" i="223"/>
  <c r="R80" i="223"/>
  <c r="P80" i="223"/>
  <c r="N80" i="223"/>
  <c r="L80" i="223"/>
  <c r="J80" i="223"/>
  <c r="H80" i="223"/>
  <c r="D80" i="223"/>
  <c r="V79" i="223"/>
  <c r="T79" i="223"/>
  <c r="P79" i="223"/>
  <c r="N79" i="223"/>
  <c r="H79" i="223"/>
  <c r="F79" i="223"/>
  <c r="V78" i="223"/>
  <c r="T78" i="223"/>
  <c r="R78" i="223"/>
  <c r="P78" i="223"/>
  <c r="N78" i="223"/>
  <c r="L78" i="223"/>
  <c r="J78" i="223"/>
  <c r="H78" i="223"/>
  <c r="F78" i="223"/>
  <c r="D78" i="223"/>
  <c r="V77" i="223"/>
  <c r="T77" i="223"/>
  <c r="R77" i="223"/>
  <c r="P77" i="223"/>
  <c r="N77" i="223"/>
  <c r="L77" i="223"/>
  <c r="J77" i="223"/>
  <c r="H77" i="223"/>
  <c r="F77" i="223"/>
  <c r="D77" i="223"/>
  <c r="V76" i="223"/>
  <c r="R76" i="223"/>
  <c r="P76" i="223"/>
  <c r="N76" i="223"/>
  <c r="L76" i="223"/>
  <c r="J76" i="223"/>
  <c r="V75" i="223"/>
  <c r="T75" i="223"/>
  <c r="R75" i="223"/>
  <c r="P75" i="223"/>
  <c r="N75" i="223"/>
  <c r="L75" i="223"/>
  <c r="J75" i="223"/>
  <c r="H75" i="223"/>
  <c r="F75" i="223"/>
  <c r="D75" i="223"/>
  <c r="V74" i="223"/>
  <c r="T74" i="223"/>
  <c r="R74" i="223"/>
  <c r="P74" i="223"/>
  <c r="N74" i="223"/>
  <c r="L74" i="223"/>
  <c r="J74" i="223"/>
  <c r="H74" i="223"/>
  <c r="F74" i="223"/>
  <c r="D74" i="223"/>
  <c r="V73" i="223"/>
  <c r="T73" i="223"/>
  <c r="R73" i="223"/>
  <c r="P73" i="223"/>
  <c r="L73" i="223"/>
  <c r="J73" i="223"/>
  <c r="H73" i="223"/>
  <c r="F73" i="223"/>
  <c r="D73" i="223"/>
  <c r="V72" i="223"/>
  <c r="T72" i="223"/>
  <c r="R72" i="223"/>
  <c r="P72" i="223"/>
  <c r="L72" i="223"/>
  <c r="J72" i="223"/>
  <c r="H72" i="223"/>
  <c r="F72" i="223"/>
  <c r="D72" i="223"/>
  <c r="V71" i="223"/>
  <c r="T71" i="223"/>
  <c r="R71" i="223"/>
  <c r="L71" i="223"/>
  <c r="J71" i="223"/>
  <c r="H71" i="223"/>
  <c r="F71" i="223"/>
  <c r="D71" i="223"/>
  <c r="V70" i="223"/>
  <c r="T70" i="223"/>
  <c r="R70" i="223"/>
  <c r="P70" i="223"/>
  <c r="L70" i="223"/>
  <c r="V69" i="223"/>
  <c r="T69" i="223"/>
  <c r="R69" i="223"/>
  <c r="P69" i="223"/>
  <c r="N69" i="223"/>
  <c r="L69" i="223"/>
  <c r="H69" i="223"/>
  <c r="D69" i="223"/>
  <c r="V68" i="223"/>
  <c r="T68" i="223"/>
  <c r="R68" i="223"/>
  <c r="P68" i="223"/>
  <c r="N68" i="223"/>
  <c r="L68" i="223"/>
  <c r="J68" i="223"/>
  <c r="H68" i="223"/>
  <c r="F68" i="223"/>
  <c r="D68" i="223"/>
  <c r="V67" i="223"/>
  <c r="T67" i="223"/>
  <c r="R67" i="223"/>
  <c r="P67" i="223"/>
  <c r="N67" i="223"/>
  <c r="L67" i="223"/>
  <c r="J67" i="223"/>
  <c r="H67" i="223"/>
  <c r="F67" i="223"/>
  <c r="D67" i="223"/>
  <c r="V66" i="223"/>
  <c r="T66" i="223"/>
  <c r="R66" i="223"/>
  <c r="P66" i="223"/>
  <c r="N66" i="223"/>
  <c r="L66" i="223"/>
  <c r="J66" i="223"/>
  <c r="H66" i="223"/>
  <c r="F66" i="223"/>
  <c r="D66" i="223"/>
  <c r="V65" i="223"/>
  <c r="T65" i="223"/>
  <c r="R65" i="223"/>
  <c r="P65" i="223"/>
  <c r="N65" i="223"/>
  <c r="L65" i="223"/>
  <c r="J65" i="223"/>
  <c r="H65" i="223"/>
  <c r="F65" i="223"/>
  <c r="D65" i="223"/>
  <c r="V64" i="223"/>
  <c r="T64" i="223"/>
  <c r="R64" i="223"/>
  <c r="P64" i="223"/>
  <c r="N64" i="223"/>
  <c r="L64" i="223"/>
  <c r="J64" i="223"/>
  <c r="V63" i="223"/>
  <c r="T63" i="223"/>
  <c r="R63" i="223"/>
  <c r="P63" i="223"/>
  <c r="N63" i="223"/>
  <c r="L63" i="223"/>
  <c r="J63" i="223"/>
  <c r="H63" i="223"/>
  <c r="F63" i="223"/>
  <c r="D63" i="223"/>
  <c r="V62" i="223"/>
  <c r="T62" i="223"/>
  <c r="R62" i="223"/>
  <c r="P62" i="223"/>
  <c r="N62" i="223"/>
  <c r="L62" i="223"/>
  <c r="J62" i="223"/>
  <c r="H62" i="223"/>
  <c r="F62" i="223"/>
  <c r="D62" i="223"/>
  <c r="V61" i="223"/>
  <c r="T61" i="223"/>
  <c r="R61" i="223"/>
  <c r="P61" i="223"/>
  <c r="N61" i="223"/>
  <c r="L61" i="223"/>
  <c r="J61" i="223"/>
  <c r="H61" i="223"/>
  <c r="F61" i="223"/>
  <c r="D61" i="223"/>
  <c r="V60" i="223"/>
  <c r="T60" i="223"/>
  <c r="R60" i="223"/>
  <c r="P60" i="223"/>
  <c r="N60" i="223"/>
  <c r="L60" i="223"/>
  <c r="J60" i="223"/>
  <c r="H60" i="223"/>
  <c r="F60" i="223"/>
  <c r="D60" i="223"/>
  <c r="V59" i="223"/>
  <c r="T59" i="223"/>
  <c r="R59" i="223"/>
  <c r="P59" i="223"/>
  <c r="N59" i="223"/>
  <c r="L59" i="223"/>
  <c r="J59" i="223"/>
  <c r="H59" i="223"/>
  <c r="F59" i="223"/>
  <c r="D59" i="223"/>
  <c r="V58" i="223"/>
  <c r="T58" i="223"/>
  <c r="R58" i="223"/>
  <c r="P58" i="223"/>
  <c r="N58" i="223"/>
  <c r="L58" i="223"/>
  <c r="J58" i="223"/>
  <c r="H58" i="223"/>
  <c r="F58" i="223"/>
  <c r="D58" i="223"/>
  <c r="V57" i="223"/>
  <c r="T57" i="223"/>
  <c r="R57" i="223"/>
  <c r="P57" i="223"/>
  <c r="N57" i="223"/>
  <c r="L57" i="223"/>
  <c r="J57" i="223"/>
  <c r="H57" i="223"/>
  <c r="F57" i="223"/>
  <c r="D57" i="223"/>
  <c r="V56" i="223"/>
  <c r="T56" i="223"/>
  <c r="R56" i="223"/>
  <c r="P56" i="223"/>
  <c r="N56" i="223"/>
  <c r="L56" i="223"/>
  <c r="J56" i="223"/>
  <c r="H56" i="223"/>
  <c r="F56" i="223"/>
  <c r="D56" i="223"/>
  <c r="V55" i="223"/>
  <c r="T55" i="223"/>
  <c r="R55" i="223"/>
  <c r="P55" i="223"/>
  <c r="N55" i="223"/>
  <c r="L55" i="223"/>
  <c r="J55" i="223"/>
  <c r="H55" i="223"/>
  <c r="F55" i="223"/>
  <c r="D55" i="223"/>
  <c r="V54" i="223"/>
  <c r="T54" i="223"/>
  <c r="R54" i="223"/>
  <c r="P54" i="223"/>
  <c r="N54" i="223"/>
  <c r="L54" i="223"/>
  <c r="J54" i="223"/>
  <c r="H54" i="223"/>
  <c r="F54" i="223"/>
  <c r="D54" i="223"/>
  <c r="V53" i="223"/>
  <c r="T53" i="223"/>
  <c r="R53" i="223"/>
  <c r="P53" i="223"/>
  <c r="L53" i="223"/>
  <c r="J53" i="223"/>
  <c r="H53" i="223"/>
  <c r="F53" i="223"/>
  <c r="D53" i="223"/>
  <c r="V52" i="223"/>
  <c r="T52" i="223"/>
  <c r="R52" i="223"/>
  <c r="P52" i="223"/>
  <c r="N52" i="223"/>
  <c r="L52" i="223"/>
  <c r="J52" i="223"/>
  <c r="H52" i="223"/>
  <c r="F52" i="223"/>
  <c r="D52" i="223"/>
  <c r="V51" i="223"/>
  <c r="T51" i="223"/>
  <c r="R51" i="223"/>
  <c r="P51" i="223"/>
  <c r="N51" i="223"/>
  <c r="L51" i="223"/>
  <c r="J51" i="223"/>
  <c r="H51" i="223"/>
  <c r="F51" i="223"/>
  <c r="D51" i="223"/>
  <c r="V50" i="223"/>
  <c r="T50" i="223"/>
  <c r="R50" i="223"/>
  <c r="P50" i="223"/>
  <c r="N50" i="223"/>
  <c r="L50" i="223"/>
  <c r="J50" i="223"/>
  <c r="H50" i="223"/>
  <c r="F50" i="223"/>
  <c r="D50" i="223"/>
  <c r="V49" i="223"/>
  <c r="T49" i="223"/>
  <c r="R49" i="223"/>
  <c r="P49" i="223"/>
  <c r="N49" i="223"/>
  <c r="L49" i="223"/>
  <c r="H49" i="223"/>
  <c r="F49" i="223"/>
  <c r="D49" i="223"/>
  <c r="V48" i="223"/>
  <c r="T48" i="223"/>
  <c r="R48" i="223"/>
  <c r="P48" i="223"/>
  <c r="N48" i="223"/>
  <c r="L48" i="223"/>
  <c r="J48" i="223"/>
  <c r="H48" i="223"/>
  <c r="F48" i="223"/>
  <c r="D48" i="223"/>
  <c r="V47" i="223"/>
  <c r="T47" i="223"/>
  <c r="R47" i="223"/>
  <c r="P47" i="223"/>
  <c r="N47" i="223"/>
  <c r="L47" i="223"/>
  <c r="J47" i="223"/>
  <c r="H47" i="223"/>
  <c r="F47" i="223"/>
  <c r="D47" i="223"/>
  <c r="V46" i="223"/>
  <c r="T46" i="223"/>
  <c r="R46" i="223"/>
  <c r="P46" i="223"/>
  <c r="N46" i="223"/>
  <c r="L46" i="223"/>
  <c r="J46" i="223"/>
  <c r="H46" i="223"/>
  <c r="F46" i="223"/>
  <c r="D46" i="223"/>
  <c r="V45" i="223"/>
  <c r="T45" i="223"/>
  <c r="R45" i="223"/>
  <c r="P45" i="223"/>
  <c r="N45" i="223"/>
  <c r="L45" i="223"/>
  <c r="J45" i="223"/>
  <c r="H45" i="223"/>
  <c r="F45" i="223"/>
  <c r="D45" i="223"/>
  <c r="V44" i="223"/>
  <c r="T44" i="223"/>
  <c r="R44" i="223"/>
  <c r="P44" i="223"/>
  <c r="N44" i="223"/>
  <c r="L44" i="223"/>
  <c r="J44" i="223"/>
  <c r="H44" i="223"/>
  <c r="F44" i="223"/>
  <c r="D44" i="223"/>
  <c r="V43" i="223"/>
  <c r="T43" i="223"/>
  <c r="R43" i="223"/>
  <c r="P43" i="223"/>
  <c r="N43" i="223"/>
  <c r="L43" i="223"/>
  <c r="J43" i="223"/>
  <c r="H43" i="223"/>
  <c r="F43" i="223"/>
  <c r="D43" i="223"/>
  <c r="V42" i="223"/>
  <c r="T42" i="223"/>
  <c r="R42" i="223"/>
  <c r="P42" i="223"/>
  <c r="N42" i="223"/>
  <c r="L42" i="223"/>
  <c r="J42" i="223"/>
  <c r="H42" i="223"/>
  <c r="F42" i="223"/>
  <c r="D42" i="223"/>
  <c r="V41" i="223"/>
  <c r="T41" i="223"/>
  <c r="R41" i="223"/>
  <c r="P41" i="223"/>
  <c r="N41" i="223"/>
  <c r="L41" i="223"/>
  <c r="J41" i="223"/>
  <c r="H41" i="223"/>
  <c r="F41" i="223"/>
  <c r="D41" i="223"/>
  <c r="V40" i="223"/>
  <c r="T40" i="223"/>
  <c r="R40" i="223"/>
  <c r="P40" i="223"/>
  <c r="N40" i="223"/>
  <c r="L40" i="223"/>
  <c r="J40" i="223"/>
  <c r="H40" i="223"/>
  <c r="F40" i="223"/>
  <c r="D40" i="223"/>
  <c r="V39" i="223"/>
  <c r="T39" i="223"/>
  <c r="R39" i="223"/>
  <c r="P39" i="223"/>
  <c r="N39" i="223"/>
  <c r="L39" i="223"/>
  <c r="J39" i="223"/>
  <c r="H39" i="223"/>
  <c r="F39" i="223"/>
  <c r="D39" i="223"/>
  <c r="V38" i="223"/>
  <c r="T38" i="223"/>
  <c r="R38" i="223"/>
  <c r="P38" i="223"/>
  <c r="N38" i="223"/>
  <c r="L38" i="223"/>
  <c r="J38" i="223"/>
  <c r="H38" i="223"/>
  <c r="F38" i="223"/>
  <c r="D38" i="223"/>
  <c r="V37" i="223"/>
  <c r="T37" i="223"/>
  <c r="R37" i="223"/>
  <c r="P37" i="223"/>
  <c r="N37" i="223"/>
  <c r="L37" i="223"/>
  <c r="J37" i="223"/>
  <c r="H37" i="223"/>
  <c r="F37" i="223"/>
  <c r="D37" i="223"/>
  <c r="V36" i="223"/>
  <c r="T36" i="223"/>
  <c r="R36" i="223"/>
  <c r="P36" i="223"/>
  <c r="N36" i="223"/>
  <c r="L36" i="223"/>
  <c r="J36" i="223"/>
  <c r="H36" i="223"/>
  <c r="F36" i="223"/>
  <c r="D36" i="223"/>
  <c r="V35" i="223"/>
  <c r="T35" i="223"/>
  <c r="R35" i="223"/>
  <c r="P35" i="223"/>
  <c r="N35" i="223"/>
  <c r="L35" i="223"/>
  <c r="J35" i="223"/>
  <c r="H35" i="223"/>
  <c r="F35" i="223"/>
  <c r="D35" i="223"/>
  <c r="V34" i="223"/>
  <c r="T34" i="223"/>
  <c r="R34" i="223"/>
  <c r="P34" i="223"/>
  <c r="N34" i="223"/>
  <c r="L34" i="223"/>
  <c r="J34" i="223"/>
  <c r="H34" i="223"/>
  <c r="F34" i="223"/>
  <c r="D34" i="223"/>
  <c r="V33" i="223"/>
  <c r="T33" i="223"/>
  <c r="R33" i="223"/>
  <c r="P33" i="223"/>
  <c r="N33" i="223"/>
  <c r="L33" i="223"/>
  <c r="J33" i="223"/>
  <c r="H33" i="223"/>
  <c r="F33" i="223"/>
  <c r="D33" i="223"/>
  <c r="V32" i="223"/>
  <c r="T32" i="223"/>
  <c r="R32" i="223"/>
  <c r="P32" i="223"/>
  <c r="N32" i="223"/>
  <c r="L32" i="223"/>
  <c r="J32" i="223"/>
  <c r="H32" i="223"/>
  <c r="F32" i="223"/>
  <c r="D32" i="223"/>
  <c r="V31" i="223"/>
  <c r="T31" i="223"/>
  <c r="R31" i="223"/>
  <c r="P31" i="223"/>
  <c r="N31" i="223"/>
  <c r="L31" i="223"/>
  <c r="J31" i="223"/>
  <c r="H31" i="223"/>
  <c r="F31" i="223"/>
  <c r="D31" i="223"/>
  <c r="V30" i="223"/>
  <c r="T30" i="223"/>
  <c r="R30" i="223"/>
  <c r="P30" i="223"/>
  <c r="N30" i="223"/>
  <c r="L30" i="223"/>
  <c r="J30" i="223"/>
  <c r="H30" i="223"/>
  <c r="F30" i="223"/>
  <c r="D30" i="223"/>
  <c r="V29" i="223"/>
  <c r="T29" i="223"/>
  <c r="R29" i="223"/>
  <c r="P29" i="223"/>
  <c r="N29" i="223"/>
  <c r="L29" i="223"/>
  <c r="J29" i="223"/>
  <c r="H29" i="223"/>
  <c r="F29" i="223"/>
  <c r="D29" i="223"/>
  <c r="V28" i="223"/>
  <c r="T28" i="223"/>
  <c r="R28" i="223"/>
  <c r="P28" i="223"/>
  <c r="N28" i="223"/>
  <c r="L28" i="223"/>
  <c r="J28" i="223"/>
  <c r="H28" i="223"/>
  <c r="F28" i="223"/>
  <c r="D28" i="223"/>
  <c r="V27" i="223"/>
  <c r="T27" i="223"/>
  <c r="R27" i="223"/>
  <c r="P27" i="223"/>
  <c r="N27" i="223"/>
  <c r="L27" i="223"/>
  <c r="J27" i="223"/>
  <c r="H27" i="223"/>
  <c r="F27" i="223"/>
  <c r="D27" i="223"/>
  <c r="V26" i="223"/>
  <c r="T26" i="223"/>
  <c r="R26" i="223"/>
  <c r="P26" i="223"/>
  <c r="N26" i="223"/>
  <c r="L26" i="223"/>
  <c r="J26" i="223"/>
  <c r="H26" i="223"/>
  <c r="F26" i="223"/>
  <c r="D26" i="223"/>
  <c r="V25" i="223"/>
  <c r="T25" i="223"/>
  <c r="R25" i="223"/>
  <c r="P25" i="223"/>
  <c r="N25" i="223"/>
  <c r="L25" i="223"/>
  <c r="J25" i="223"/>
  <c r="H25" i="223"/>
  <c r="F25" i="223"/>
  <c r="D25" i="223"/>
  <c r="V24" i="223"/>
  <c r="T24" i="223"/>
  <c r="R24" i="223"/>
  <c r="P24" i="223"/>
  <c r="N24" i="223"/>
  <c r="L24" i="223"/>
  <c r="J24" i="223"/>
  <c r="H24" i="223"/>
  <c r="F24" i="223"/>
  <c r="D24" i="223"/>
  <c r="V23" i="223"/>
  <c r="T23" i="223"/>
  <c r="R23" i="223"/>
  <c r="P23" i="223"/>
  <c r="N23" i="223"/>
  <c r="L23" i="223"/>
  <c r="J23" i="223"/>
  <c r="H23" i="223"/>
  <c r="F23" i="223"/>
  <c r="D23" i="223"/>
  <c r="V22" i="223"/>
  <c r="T22" i="223"/>
  <c r="R22" i="223"/>
  <c r="P22" i="223"/>
  <c r="N22" i="223"/>
  <c r="L22" i="223"/>
  <c r="J22" i="223"/>
  <c r="H22" i="223"/>
  <c r="F22" i="223"/>
  <c r="D22" i="223"/>
  <c r="V21" i="223"/>
  <c r="T21" i="223"/>
  <c r="R21" i="223"/>
  <c r="P21" i="223"/>
  <c r="N21" i="223"/>
  <c r="L21" i="223"/>
  <c r="J21" i="223"/>
  <c r="H21" i="223"/>
  <c r="F21" i="223"/>
  <c r="D21" i="223"/>
  <c r="V20" i="223"/>
  <c r="T20" i="223"/>
  <c r="R20" i="223"/>
  <c r="P20" i="223"/>
  <c r="N20" i="223"/>
  <c r="L20" i="223"/>
  <c r="J20" i="223"/>
  <c r="H20" i="223"/>
  <c r="F20" i="223"/>
  <c r="D20" i="223"/>
  <c r="V19" i="223"/>
  <c r="T19" i="223"/>
  <c r="R19" i="223"/>
  <c r="P19" i="223"/>
  <c r="N19" i="223"/>
  <c r="L19" i="223"/>
  <c r="J19" i="223"/>
  <c r="H19" i="223"/>
  <c r="F19" i="223"/>
  <c r="D19" i="223"/>
  <c r="V18" i="223"/>
  <c r="T18" i="223"/>
  <c r="R18" i="223"/>
  <c r="P18" i="223"/>
  <c r="N18" i="223"/>
  <c r="L18" i="223"/>
  <c r="J18" i="223"/>
  <c r="H18" i="223"/>
  <c r="F18" i="223"/>
  <c r="D18" i="223"/>
  <c r="V17" i="223"/>
  <c r="T17" i="223"/>
  <c r="R17" i="223"/>
  <c r="P17" i="223"/>
  <c r="N17" i="223"/>
  <c r="L17" i="223"/>
  <c r="J17" i="223"/>
  <c r="H17" i="223"/>
  <c r="F17" i="223"/>
  <c r="D17" i="223"/>
  <c r="V16" i="223"/>
  <c r="T16" i="223"/>
  <c r="R16" i="223"/>
  <c r="P16" i="223"/>
  <c r="N16" i="223"/>
  <c r="L16" i="223"/>
  <c r="J16" i="223"/>
  <c r="H16" i="223"/>
  <c r="F16" i="223"/>
  <c r="D16" i="223"/>
  <c r="V15" i="223"/>
  <c r="T15" i="223"/>
  <c r="R15" i="223"/>
  <c r="P15" i="223"/>
  <c r="N15" i="223"/>
  <c r="L15" i="223"/>
  <c r="J15" i="223"/>
  <c r="H15" i="223"/>
  <c r="F15" i="223"/>
  <c r="D15" i="223"/>
  <c r="V14" i="223"/>
  <c r="T14" i="223"/>
  <c r="R14" i="223"/>
  <c r="P14" i="223"/>
  <c r="N14" i="223"/>
  <c r="L14" i="223"/>
  <c r="J14" i="223"/>
  <c r="H14" i="223"/>
  <c r="F14" i="223"/>
  <c r="D14" i="223"/>
  <c r="V13" i="223"/>
  <c r="T13" i="223"/>
  <c r="R13" i="223"/>
  <c r="P13" i="223"/>
  <c r="N13" i="223"/>
  <c r="L13" i="223"/>
  <c r="J13" i="223"/>
  <c r="H13" i="223"/>
  <c r="F13" i="223"/>
  <c r="D13" i="223"/>
  <c r="V12" i="223"/>
  <c r="T12" i="223"/>
  <c r="R12" i="223"/>
  <c r="P12" i="223"/>
  <c r="N12" i="223"/>
  <c r="L12" i="223"/>
  <c r="J12" i="223"/>
  <c r="H12" i="223"/>
  <c r="F12" i="223"/>
  <c r="D12" i="223"/>
  <c r="V11" i="223"/>
  <c r="T11" i="223"/>
  <c r="R11" i="223"/>
  <c r="P11" i="223"/>
  <c r="N11" i="223"/>
  <c r="L11" i="223"/>
  <c r="J11" i="223"/>
  <c r="H11" i="223"/>
  <c r="F11" i="223"/>
  <c r="D11" i="223"/>
  <c r="V10" i="223"/>
  <c r="T10" i="223"/>
  <c r="R10" i="223"/>
  <c r="P10" i="223"/>
  <c r="N10" i="223"/>
  <c r="L10" i="223"/>
  <c r="J10" i="223"/>
  <c r="H10" i="223"/>
  <c r="F10" i="223"/>
  <c r="D10" i="223"/>
  <c r="V9" i="223"/>
  <c r="T9" i="223"/>
  <c r="R9" i="223"/>
  <c r="P9" i="223"/>
  <c r="N9" i="223"/>
  <c r="L9" i="223"/>
  <c r="J9" i="223"/>
  <c r="H9" i="223"/>
  <c r="F9" i="223"/>
  <c r="D9" i="223"/>
  <c r="V8" i="223"/>
  <c r="T8" i="223"/>
  <c r="R8" i="223"/>
  <c r="P8" i="223"/>
  <c r="N8" i="223"/>
  <c r="L8" i="223"/>
  <c r="J8" i="223"/>
  <c r="H8" i="223"/>
  <c r="F8" i="223"/>
  <c r="D8" i="223"/>
  <c r="V7" i="223"/>
  <c r="T7" i="223"/>
  <c r="R7" i="223"/>
  <c r="P7" i="223"/>
  <c r="N7" i="223"/>
  <c r="L7" i="223"/>
  <c r="J7" i="223"/>
  <c r="H7" i="223"/>
  <c r="F7" i="223"/>
  <c r="D7" i="223"/>
  <c r="V6" i="223"/>
  <c r="T6" i="223"/>
  <c r="R6" i="223"/>
  <c r="P6" i="223"/>
  <c r="N6" i="223"/>
  <c r="L6" i="223"/>
  <c r="J6" i="223"/>
  <c r="H6" i="223"/>
  <c r="F6" i="223"/>
  <c r="D6" i="223"/>
  <c r="V5" i="223"/>
  <c r="T5" i="223"/>
  <c r="R5" i="223"/>
  <c r="P5" i="223"/>
  <c r="N5" i="223"/>
  <c r="L5" i="223"/>
  <c r="J5" i="223"/>
  <c r="H5" i="223"/>
  <c r="F5" i="223"/>
  <c r="D5" i="223"/>
  <c r="V4" i="223"/>
  <c r="T4" i="223"/>
  <c r="R4" i="223"/>
  <c r="P4" i="223"/>
  <c r="N4" i="223"/>
  <c r="L4" i="223"/>
  <c r="J4" i="223"/>
  <c r="H4" i="223"/>
  <c r="F4" i="223"/>
  <c r="D4" i="223"/>
  <c r="H10" i="219"/>
  <c r="E10" i="219"/>
  <c r="H9" i="219"/>
  <c r="E9" i="219"/>
  <c r="H8" i="219"/>
  <c r="E8" i="219"/>
  <c r="H7" i="219"/>
  <c r="E7" i="219"/>
  <c r="H6" i="219"/>
  <c r="E6" i="219"/>
  <c r="H5" i="219"/>
  <c r="E5" i="219"/>
  <c r="H4" i="219"/>
  <c r="E4" i="219"/>
  <c r="X14" i="216"/>
  <c r="V14" i="216"/>
  <c r="T14" i="216"/>
  <c r="R14" i="216"/>
  <c r="P14" i="216"/>
  <c r="X13" i="216"/>
  <c r="V13" i="216"/>
  <c r="T13" i="216"/>
  <c r="R13" i="216"/>
  <c r="P13" i="216"/>
  <c r="X12" i="216"/>
  <c r="V12" i="216"/>
  <c r="T12" i="216"/>
  <c r="R12" i="216"/>
  <c r="P12" i="216"/>
  <c r="X11" i="216"/>
  <c r="V11" i="216"/>
  <c r="T11" i="216"/>
  <c r="R11" i="216"/>
  <c r="P11" i="216"/>
  <c r="X10" i="216"/>
  <c r="V10" i="216"/>
  <c r="T10" i="216"/>
  <c r="R10" i="216"/>
  <c r="P10" i="216"/>
  <c r="X9" i="216"/>
  <c r="V9" i="216"/>
  <c r="T9" i="216"/>
  <c r="R9" i="216"/>
  <c r="P9" i="216"/>
  <c r="X8" i="216"/>
  <c r="V8" i="216"/>
  <c r="T8" i="216"/>
  <c r="R8" i="216"/>
  <c r="P8" i="216"/>
  <c r="X7" i="216"/>
  <c r="V7" i="216"/>
  <c r="T7" i="216"/>
  <c r="R7" i="216"/>
  <c r="P7" i="216"/>
  <c r="X6" i="216"/>
  <c r="V6" i="216"/>
  <c r="T6" i="216"/>
  <c r="R6" i="216"/>
  <c r="P6" i="216"/>
  <c r="X5" i="216"/>
  <c r="V5" i="216"/>
  <c r="T5" i="216"/>
  <c r="R5" i="216"/>
  <c r="P5" i="216"/>
  <c r="E14" i="215"/>
  <c r="G14" i="215"/>
  <c r="E13" i="215"/>
  <c r="G13" i="215"/>
  <c r="E12" i="215"/>
  <c r="G12" i="215"/>
  <c r="E9" i="215"/>
  <c r="G9" i="215"/>
  <c r="E8" i="215"/>
  <c r="G8" i="215"/>
  <c r="E7" i="215"/>
  <c r="G7" i="215"/>
  <c r="E6" i="215"/>
  <c r="G6" i="215"/>
  <c r="E5" i="215"/>
  <c r="G5" i="215"/>
  <c r="H14" i="211"/>
  <c r="H13" i="211"/>
  <c r="H12" i="211"/>
  <c r="H11" i="211"/>
  <c r="H10" i="211"/>
  <c r="H9" i="211"/>
  <c r="H8" i="211"/>
  <c r="H7" i="211"/>
  <c r="H6" i="211"/>
  <c r="H5" i="211"/>
  <c r="O87" i="209"/>
  <c r="N87" i="209"/>
  <c r="P87" i="209"/>
  <c r="L87" i="209"/>
  <c r="K87" i="209"/>
  <c r="M87" i="209"/>
  <c r="I87" i="209"/>
  <c r="H87" i="209"/>
  <c r="J87" i="209"/>
  <c r="F87" i="209"/>
  <c r="E87" i="209"/>
  <c r="G87" i="209"/>
  <c r="C87" i="209"/>
  <c r="B87" i="209"/>
  <c r="D87" i="209"/>
  <c r="P85" i="209"/>
  <c r="M85" i="209"/>
  <c r="J85" i="209"/>
  <c r="G85" i="209"/>
  <c r="D85" i="209"/>
  <c r="P83" i="209"/>
  <c r="M83" i="209"/>
  <c r="J83" i="209"/>
  <c r="G83" i="209"/>
  <c r="D83" i="209"/>
  <c r="K58" i="208"/>
  <c r="I58" i="208"/>
  <c r="G58" i="208"/>
  <c r="E58" i="208"/>
  <c r="C58" i="208"/>
  <c r="K57" i="208"/>
  <c r="I57" i="208"/>
  <c r="G57" i="208"/>
  <c r="E57" i="208"/>
  <c r="C57" i="208"/>
  <c r="K56" i="208"/>
  <c r="I56" i="208"/>
  <c r="G56" i="208"/>
  <c r="E56" i="208"/>
  <c r="C56" i="208"/>
  <c r="K55" i="208"/>
  <c r="I55" i="208"/>
  <c r="G55" i="208"/>
  <c r="E55" i="208"/>
  <c r="C55" i="208"/>
  <c r="K54" i="208"/>
  <c r="I54" i="208"/>
  <c r="G54" i="208"/>
  <c r="E54" i="208"/>
  <c r="C54" i="208"/>
  <c r="K53" i="208"/>
  <c r="I53" i="208"/>
  <c r="G53" i="208"/>
  <c r="E53" i="208"/>
  <c r="C53" i="208"/>
  <c r="K52" i="208"/>
  <c r="I52" i="208"/>
  <c r="G52" i="208"/>
  <c r="E52" i="208"/>
  <c r="C52" i="208"/>
  <c r="K51" i="208"/>
  <c r="I51" i="208"/>
  <c r="G51" i="208"/>
  <c r="E51" i="208"/>
  <c r="C51" i="208"/>
  <c r="K50" i="208"/>
  <c r="I50" i="208"/>
  <c r="G50" i="208"/>
  <c r="E50" i="208"/>
  <c r="C50" i="208"/>
  <c r="K49" i="208"/>
  <c r="I49" i="208"/>
  <c r="G49" i="208"/>
  <c r="E49" i="208"/>
  <c r="C49" i="208"/>
  <c r="K48" i="208"/>
  <c r="I48" i="208"/>
  <c r="E48" i="208"/>
  <c r="C48" i="208"/>
  <c r="K47" i="208"/>
  <c r="I47" i="208"/>
  <c r="G47" i="208"/>
  <c r="E47" i="208"/>
  <c r="C47" i="208"/>
  <c r="K46" i="208"/>
  <c r="I46" i="208"/>
  <c r="G46" i="208"/>
  <c r="E46" i="208"/>
  <c r="C46" i="208"/>
  <c r="K45" i="208"/>
  <c r="I45" i="208"/>
  <c r="G45" i="208"/>
  <c r="E45" i="208"/>
  <c r="C45" i="208"/>
  <c r="K44" i="208"/>
  <c r="I44" i="208"/>
  <c r="G44" i="208"/>
  <c r="E44" i="208"/>
  <c r="C44" i="208"/>
  <c r="K43" i="208"/>
  <c r="G43" i="208"/>
  <c r="E43" i="208"/>
  <c r="C43" i="208"/>
  <c r="K42" i="208"/>
  <c r="I42" i="208"/>
  <c r="G42" i="208"/>
  <c r="E42" i="208"/>
  <c r="C42" i="208"/>
  <c r="K41" i="208"/>
  <c r="K40" i="208"/>
  <c r="I40" i="208"/>
  <c r="G40" i="208"/>
  <c r="E40" i="208"/>
  <c r="C40" i="208"/>
  <c r="K39" i="208"/>
  <c r="I39" i="208"/>
  <c r="G39" i="208"/>
  <c r="E39" i="208"/>
  <c r="C39" i="208"/>
  <c r="K38" i="208"/>
  <c r="I38" i="208"/>
  <c r="G38" i="208"/>
  <c r="E38" i="208"/>
  <c r="C38" i="208"/>
  <c r="K37" i="208"/>
  <c r="I37" i="208"/>
  <c r="G37" i="208"/>
  <c r="E37" i="208"/>
  <c r="C37" i="208"/>
  <c r="K36" i="208"/>
  <c r="I36" i="208"/>
  <c r="G36" i="208"/>
  <c r="E36" i="208"/>
  <c r="C36" i="208"/>
  <c r="K35" i="208"/>
  <c r="I35" i="208"/>
  <c r="G35" i="208"/>
  <c r="E35" i="208"/>
  <c r="C35" i="208"/>
  <c r="K34" i="208"/>
  <c r="I34" i="208"/>
  <c r="G34" i="208"/>
  <c r="E34" i="208"/>
  <c r="C34" i="208"/>
  <c r="K33" i="208"/>
  <c r="I33" i="208"/>
  <c r="K32" i="208"/>
  <c r="I32" i="208"/>
  <c r="G32" i="208"/>
  <c r="E32" i="208"/>
  <c r="C32" i="208"/>
  <c r="K31" i="208"/>
  <c r="I31" i="208"/>
  <c r="G31" i="208"/>
  <c r="E31" i="208"/>
  <c r="C31" i="208"/>
  <c r="K30" i="208"/>
  <c r="I30" i="208"/>
  <c r="G30" i="208"/>
  <c r="E30" i="208"/>
  <c r="C30" i="208"/>
  <c r="K29" i="208"/>
  <c r="I29" i="208"/>
  <c r="G29" i="208"/>
  <c r="E29" i="208"/>
  <c r="C29" i="208"/>
  <c r="K28" i="208"/>
  <c r="I28" i="208"/>
  <c r="G28" i="208"/>
  <c r="E28" i="208"/>
  <c r="C28" i="208"/>
  <c r="K27" i="208"/>
  <c r="I27" i="208"/>
  <c r="G27" i="208"/>
  <c r="E27" i="208"/>
  <c r="C27" i="208"/>
  <c r="K26" i="208"/>
  <c r="I26" i="208"/>
  <c r="G26" i="208"/>
  <c r="E26" i="208"/>
  <c r="C26" i="208"/>
  <c r="K25" i="208"/>
  <c r="I25" i="208"/>
  <c r="G25" i="208"/>
  <c r="E25" i="208"/>
  <c r="C25" i="208"/>
  <c r="K24" i="208"/>
  <c r="I24" i="208"/>
  <c r="G24" i="208"/>
  <c r="E24" i="208"/>
  <c r="C24" i="208"/>
  <c r="K23" i="208"/>
  <c r="I23" i="208"/>
  <c r="G23" i="208"/>
  <c r="E23" i="208"/>
  <c r="C23" i="208"/>
  <c r="K22" i="208"/>
  <c r="I22" i="208"/>
  <c r="G22" i="208"/>
  <c r="E22" i="208"/>
  <c r="C22" i="208"/>
  <c r="K21" i="208"/>
  <c r="I21" i="208"/>
  <c r="G21" i="208"/>
  <c r="E21" i="208"/>
  <c r="C21" i="208"/>
  <c r="K20" i="208"/>
  <c r="I20" i="208"/>
  <c r="G20" i="208"/>
  <c r="E20" i="208"/>
  <c r="C20" i="208"/>
  <c r="K19" i="208"/>
  <c r="I19" i="208"/>
  <c r="G19" i="208"/>
  <c r="E19" i="208"/>
  <c r="C19" i="208"/>
  <c r="K18" i="208"/>
  <c r="I18" i="208"/>
  <c r="G18" i="208"/>
  <c r="E18" i="208"/>
  <c r="C18" i="208"/>
  <c r="K17" i="208"/>
  <c r="I17" i="208"/>
  <c r="G17" i="208"/>
  <c r="E17" i="208"/>
  <c r="C17" i="208"/>
  <c r="K16" i="208"/>
  <c r="I16" i="208"/>
  <c r="G16" i="208"/>
  <c r="E16" i="208"/>
  <c r="C16" i="208"/>
  <c r="K15" i="208"/>
  <c r="I15" i="208"/>
  <c r="G15" i="208"/>
  <c r="E15" i="208"/>
  <c r="C15" i="208"/>
  <c r="K14" i="208"/>
  <c r="I14" i="208"/>
  <c r="G14" i="208"/>
  <c r="E14" i="208"/>
  <c r="C14" i="208"/>
  <c r="K13" i="208"/>
  <c r="I13" i="208"/>
  <c r="G13" i="208"/>
  <c r="E13" i="208"/>
  <c r="C13" i="208"/>
  <c r="K12" i="208"/>
  <c r="I12" i="208"/>
  <c r="G12" i="208"/>
  <c r="E12" i="208"/>
  <c r="C12" i="208"/>
  <c r="K11" i="208"/>
  <c r="I11" i="208"/>
  <c r="G11" i="208"/>
  <c r="E11" i="208"/>
  <c r="C11" i="208"/>
  <c r="K10" i="208"/>
  <c r="I10" i="208"/>
  <c r="G10" i="208"/>
  <c r="E10" i="208"/>
  <c r="C10" i="208"/>
  <c r="K9" i="208"/>
  <c r="I9" i="208"/>
  <c r="G9" i="208"/>
  <c r="E9" i="208"/>
  <c r="C9" i="208"/>
  <c r="K8" i="208"/>
  <c r="I8" i="208"/>
  <c r="G8" i="208"/>
  <c r="E8" i="208"/>
  <c r="C8" i="208"/>
  <c r="K7" i="208"/>
  <c r="I7" i="208"/>
  <c r="G7" i="208"/>
  <c r="E7" i="208"/>
  <c r="C7" i="208"/>
  <c r="K6" i="208"/>
  <c r="I6" i="208"/>
  <c r="G6" i="208"/>
  <c r="E6" i="208"/>
  <c r="C6" i="208"/>
  <c r="K5" i="208"/>
  <c r="I5" i="208"/>
  <c r="G5" i="208"/>
  <c r="E5" i="208"/>
  <c r="C5" i="208"/>
  <c r="K4" i="208"/>
  <c r="I4" i="208"/>
  <c r="G4" i="208"/>
  <c r="E4" i="208"/>
  <c r="C4" i="208"/>
  <c r="K41" i="207"/>
  <c r="I41" i="207"/>
  <c r="G41" i="207"/>
  <c r="E41" i="207"/>
  <c r="C41" i="207"/>
  <c r="K40" i="207"/>
  <c r="I40" i="207"/>
  <c r="G40" i="207"/>
  <c r="E40" i="207"/>
  <c r="C40" i="207"/>
  <c r="K39" i="207"/>
  <c r="I39" i="207"/>
  <c r="G39" i="207"/>
  <c r="E39" i="207"/>
  <c r="C39" i="207"/>
  <c r="K38" i="207"/>
  <c r="I38" i="207"/>
  <c r="G38" i="207"/>
  <c r="E38" i="207"/>
  <c r="C38" i="207"/>
  <c r="K37" i="207"/>
  <c r="I37" i="207"/>
  <c r="G37" i="207"/>
  <c r="E37" i="207"/>
  <c r="C37" i="207"/>
  <c r="K36" i="207"/>
  <c r="I36" i="207"/>
  <c r="G36" i="207"/>
  <c r="E36" i="207"/>
  <c r="C36" i="207"/>
  <c r="K35" i="207"/>
  <c r="I35" i="207"/>
  <c r="G35" i="207"/>
  <c r="E35" i="207"/>
  <c r="C35" i="207"/>
  <c r="K34" i="207"/>
  <c r="I34" i="207"/>
  <c r="G34" i="207"/>
  <c r="E34" i="207"/>
  <c r="C34" i="207"/>
  <c r="K33" i="207"/>
  <c r="I33" i="207"/>
  <c r="G33" i="207"/>
  <c r="E33" i="207"/>
  <c r="C33" i="207"/>
  <c r="K32" i="207"/>
  <c r="I32" i="207"/>
  <c r="G32" i="207"/>
  <c r="E32" i="207"/>
  <c r="C32" i="207"/>
  <c r="K31" i="207"/>
  <c r="I31" i="207"/>
  <c r="G31" i="207"/>
  <c r="E31" i="207"/>
  <c r="C31" i="207"/>
  <c r="K30" i="207"/>
  <c r="I30" i="207"/>
  <c r="G30" i="207"/>
  <c r="E30" i="207"/>
  <c r="C30" i="207"/>
  <c r="K29" i="207"/>
  <c r="I29" i="207"/>
  <c r="G29" i="207"/>
  <c r="E29" i="207"/>
  <c r="C29" i="207"/>
  <c r="K28" i="207"/>
  <c r="I28" i="207"/>
  <c r="G28" i="207"/>
  <c r="E28" i="207"/>
  <c r="C28" i="207"/>
  <c r="K27" i="207"/>
  <c r="I27" i="207"/>
  <c r="G27" i="207"/>
  <c r="E27" i="207"/>
  <c r="C27" i="207"/>
  <c r="K26" i="207"/>
  <c r="I26" i="207"/>
  <c r="G26" i="207"/>
  <c r="E26" i="207"/>
  <c r="C26" i="207"/>
  <c r="K25" i="207"/>
  <c r="I25" i="207"/>
  <c r="G25" i="207"/>
  <c r="E25" i="207"/>
  <c r="C25" i="207"/>
  <c r="K24" i="207"/>
  <c r="I24" i="207"/>
  <c r="G24" i="207"/>
  <c r="E24" i="207"/>
  <c r="C24" i="207"/>
  <c r="K23" i="207"/>
  <c r="I23" i="207"/>
  <c r="G23" i="207"/>
  <c r="E23" i="207"/>
  <c r="C23" i="207"/>
  <c r="K22" i="207"/>
  <c r="I22" i="207"/>
  <c r="G22" i="207"/>
  <c r="E22" i="207"/>
  <c r="C22" i="207"/>
  <c r="K21" i="207"/>
  <c r="I21" i="207"/>
  <c r="G21" i="207"/>
  <c r="E21" i="207"/>
  <c r="C21" i="207"/>
  <c r="K20" i="207"/>
  <c r="I20" i="207"/>
  <c r="G20" i="207"/>
  <c r="E20" i="207"/>
  <c r="C20" i="207"/>
  <c r="K19" i="207"/>
  <c r="I19" i="207"/>
  <c r="G19" i="207"/>
  <c r="E19" i="207"/>
  <c r="C19" i="207"/>
  <c r="K18" i="207"/>
  <c r="I18" i="207"/>
  <c r="G18" i="207"/>
  <c r="E18" i="207"/>
  <c r="C18" i="207"/>
  <c r="K17" i="207"/>
  <c r="I17" i="207"/>
  <c r="G17" i="207"/>
  <c r="E17" i="207"/>
  <c r="C17" i="207"/>
  <c r="K16" i="207"/>
  <c r="I16" i="207"/>
  <c r="G16" i="207"/>
  <c r="E16" i="207"/>
  <c r="C16" i="207"/>
  <c r="K15" i="207"/>
  <c r="I15" i="207"/>
  <c r="G15" i="207"/>
  <c r="E15" i="207"/>
  <c r="C15" i="207"/>
  <c r="K14" i="207"/>
  <c r="I14" i="207"/>
  <c r="G14" i="207"/>
  <c r="E14" i="207"/>
  <c r="C14" i="207"/>
  <c r="K13" i="207"/>
  <c r="I13" i="207"/>
  <c r="G13" i="207"/>
  <c r="E13" i="207"/>
  <c r="C13" i="207"/>
  <c r="K12" i="207"/>
  <c r="I12" i="207"/>
  <c r="G12" i="207"/>
  <c r="E12" i="207"/>
  <c r="C12" i="207"/>
  <c r="K11" i="207"/>
  <c r="I11" i="207"/>
  <c r="G11" i="207"/>
  <c r="E11" i="207"/>
  <c r="C11" i="207"/>
  <c r="K10" i="207"/>
  <c r="I10" i="207"/>
  <c r="G10" i="207"/>
  <c r="E10" i="207"/>
  <c r="C10" i="207"/>
  <c r="K9" i="207"/>
  <c r="I9" i="207"/>
  <c r="G9" i="207"/>
  <c r="E9" i="207"/>
  <c r="C9" i="207"/>
  <c r="K8" i="207"/>
  <c r="I8" i="207"/>
  <c r="G8" i="207"/>
  <c r="E8" i="207"/>
  <c r="C8" i="207"/>
  <c r="K7" i="207"/>
  <c r="I7" i="207"/>
  <c r="G7" i="207"/>
  <c r="E7" i="207"/>
  <c r="C7" i="207"/>
  <c r="K6" i="207"/>
  <c r="I6" i="207"/>
  <c r="G6" i="207"/>
  <c r="E6" i="207"/>
  <c r="C6" i="207"/>
  <c r="K5" i="207"/>
  <c r="I5" i="207"/>
  <c r="G5" i="207"/>
  <c r="E5" i="207"/>
  <c r="C5" i="207"/>
  <c r="K4" i="207"/>
  <c r="I4" i="207"/>
  <c r="G4" i="207"/>
  <c r="E4" i="207"/>
  <c r="C4" i="207"/>
  <c r="Q4" i="202"/>
  <c r="P4" i="202"/>
  <c r="O4" i="202"/>
  <c r="N4" i="202"/>
  <c r="M4" i="202"/>
  <c r="L4" i="202"/>
  <c r="K4" i="202"/>
  <c r="J4" i="202"/>
  <c r="I4" i="202"/>
  <c r="H4" i="202"/>
  <c r="G4" i="202"/>
  <c r="F4" i="202"/>
  <c r="E4" i="202"/>
  <c r="D4" i="202"/>
  <c r="C4" i="202"/>
  <c r="Q5" i="201"/>
  <c r="P5" i="201"/>
  <c r="O5" i="201"/>
  <c r="N5" i="201"/>
  <c r="M5" i="201"/>
  <c r="L5" i="201"/>
  <c r="K5" i="201"/>
  <c r="J5" i="201"/>
  <c r="I5" i="201"/>
  <c r="H5" i="201"/>
  <c r="G5" i="201"/>
  <c r="F5" i="201"/>
  <c r="E5" i="201"/>
  <c r="D5" i="201"/>
  <c r="C5" i="201"/>
  <c r="Q4" i="201"/>
  <c r="P4" i="201"/>
  <c r="O4" i="201"/>
  <c r="N4" i="201"/>
  <c r="M4" i="201"/>
  <c r="L4" i="201"/>
  <c r="K4" i="201"/>
  <c r="J4" i="201"/>
  <c r="I4" i="201"/>
  <c r="H4" i="201"/>
  <c r="G4" i="201"/>
  <c r="F4" i="201"/>
  <c r="E4" i="201"/>
  <c r="D4" i="201"/>
  <c r="C4" i="201"/>
  <c r="Q5" i="200"/>
  <c r="P5" i="200"/>
  <c r="O5" i="200"/>
  <c r="N5" i="200"/>
  <c r="M5" i="200"/>
  <c r="L5" i="200"/>
  <c r="K5" i="200"/>
  <c r="J5" i="200"/>
  <c r="I5" i="200"/>
  <c r="H5" i="200"/>
  <c r="G5" i="200"/>
  <c r="F5" i="200"/>
  <c r="E5" i="200"/>
  <c r="D5" i="200"/>
  <c r="C5" i="200"/>
  <c r="Q4" i="200"/>
  <c r="P4" i="200"/>
  <c r="O4" i="200"/>
  <c r="N4" i="200"/>
  <c r="M4" i="200"/>
  <c r="L4" i="200"/>
  <c r="K4" i="200"/>
  <c r="J4" i="200"/>
  <c r="I4" i="200"/>
  <c r="H4" i="200"/>
  <c r="G4" i="200"/>
  <c r="F4" i="200"/>
  <c r="E4" i="200"/>
  <c r="D4" i="200"/>
  <c r="C4" i="200"/>
  <c r="Q5" i="199"/>
  <c r="P5" i="199"/>
  <c r="O5" i="199"/>
  <c r="N5" i="199"/>
  <c r="M5" i="199"/>
  <c r="L5" i="199"/>
  <c r="K5" i="199"/>
  <c r="J5" i="199"/>
  <c r="I5" i="199"/>
  <c r="H5" i="199"/>
  <c r="G5" i="199"/>
  <c r="F5" i="199"/>
  <c r="E5" i="199"/>
  <c r="D5" i="199"/>
  <c r="C5" i="199"/>
  <c r="Q4" i="199"/>
  <c r="P4" i="199"/>
  <c r="O4" i="199"/>
  <c r="N4" i="199"/>
  <c r="M4" i="199"/>
  <c r="L4" i="199"/>
  <c r="K4" i="199"/>
  <c r="J4" i="199"/>
  <c r="I4" i="199"/>
  <c r="H4" i="199"/>
  <c r="G4" i="199"/>
  <c r="F4" i="199"/>
  <c r="E4" i="199"/>
  <c r="D4" i="199"/>
  <c r="C4" i="199"/>
  <c r="P4" i="198"/>
  <c r="P11" i="198"/>
  <c r="O4" i="198"/>
  <c r="O11" i="198"/>
  <c r="M4" i="198"/>
  <c r="M11" i="198"/>
  <c r="L4" i="198"/>
  <c r="L11" i="198"/>
  <c r="J4" i="198"/>
  <c r="J11" i="198"/>
  <c r="I4" i="198"/>
  <c r="I11" i="198"/>
  <c r="G4" i="198"/>
  <c r="G11" i="198"/>
  <c r="F4" i="198"/>
  <c r="F11" i="198"/>
  <c r="D4" i="198"/>
  <c r="D11" i="198"/>
  <c r="C4" i="198"/>
  <c r="C11" i="198"/>
  <c r="Q4" i="198"/>
  <c r="Q9" i="198"/>
  <c r="P9" i="198"/>
  <c r="O9" i="198"/>
  <c r="N4" i="198"/>
  <c r="N9" i="198"/>
  <c r="M9" i="198"/>
  <c r="L9" i="198"/>
  <c r="K4" i="198"/>
  <c r="K9" i="198"/>
  <c r="J9" i="198"/>
  <c r="I9" i="198"/>
  <c r="H4" i="198"/>
  <c r="H9" i="198"/>
  <c r="G9" i="198"/>
  <c r="F9" i="198"/>
  <c r="E4" i="198"/>
  <c r="E9" i="198"/>
  <c r="D9" i="198"/>
  <c r="C9" i="198"/>
  <c r="P7" i="198"/>
  <c r="O7" i="198"/>
  <c r="N7" i="198"/>
  <c r="M7" i="198"/>
  <c r="L7" i="198"/>
  <c r="J7" i="198"/>
  <c r="I7" i="198"/>
  <c r="G7" i="198"/>
  <c r="F7" i="198"/>
  <c r="D7" i="198"/>
  <c r="C7" i="198"/>
  <c r="Q5" i="198"/>
  <c r="P5" i="198"/>
  <c r="O5" i="198"/>
  <c r="N5" i="198"/>
  <c r="M5" i="198"/>
  <c r="L5" i="198"/>
  <c r="K5" i="198"/>
  <c r="J5" i="198"/>
  <c r="I5" i="198"/>
  <c r="H5" i="198"/>
  <c r="G5" i="198"/>
  <c r="F5" i="198"/>
  <c r="E5" i="198"/>
  <c r="D5" i="198"/>
  <c r="C5" i="198"/>
  <c r="P4" i="197"/>
  <c r="P7" i="197"/>
  <c r="O4" i="197"/>
  <c r="O7" i="197"/>
  <c r="M4" i="197"/>
  <c r="M7" i="197"/>
  <c r="L4" i="197"/>
  <c r="L7" i="197"/>
  <c r="J4" i="197"/>
  <c r="J7" i="197"/>
  <c r="I4" i="197"/>
  <c r="I7" i="197"/>
  <c r="G4" i="197"/>
  <c r="G7" i="197"/>
  <c r="F4" i="197"/>
  <c r="F7" i="197"/>
  <c r="D4" i="197"/>
  <c r="D7" i="197"/>
  <c r="C4" i="197"/>
  <c r="C7" i="197"/>
  <c r="Q5" i="197"/>
  <c r="P5" i="197"/>
  <c r="O5" i="197"/>
  <c r="N5" i="197"/>
  <c r="M5" i="197"/>
  <c r="L5" i="197"/>
  <c r="K5" i="197"/>
  <c r="J5" i="197"/>
  <c r="I5" i="197"/>
  <c r="H5" i="197"/>
  <c r="G5" i="197"/>
  <c r="F5" i="197"/>
  <c r="E5" i="197"/>
  <c r="D5" i="197"/>
  <c r="C5" i="197"/>
  <c r="Q4" i="197"/>
  <c r="N4" i="197"/>
  <c r="K4" i="197"/>
  <c r="H4" i="197"/>
  <c r="E4" i="197"/>
  <c r="Q4" i="196"/>
  <c r="Q21" i="196"/>
  <c r="P4" i="196"/>
  <c r="P21" i="196"/>
  <c r="O4" i="196"/>
  <c r="O21" i="196"/>
  <c r="N4" i="196"/>
  <c r="N21" i="196"/>
  <c r="M4" i="196"/>
  <c r="M21" i="196"/>
  <c r="L4" i="196"/>
  <c r="L21" i="196"/>
  <c r="K4" i="196"/>
  <c r="K21" i="196"/>
  <c r="J4" i="196"/>
  <c r="J21" i="196"/>
  <c r="I4" i="196"/>
  <c r="I21" i="196"/>
  <c r="H4" i="196"/>
  <c r="H21" i="196"/>
  <c r="G4" i="196"/>
  <c r="G21" i="196"/>
  <c r="F4" i="196"/>
  <c r="F21" i="196"/>
  <c r="E4" i="196"/>
  <c r="E21" i="196"/>
  <c r="D4" i="196"/>
  <c r="D21" i="196"/>
  <c r="C4" i="196"/>
  <c r="C21" i="196"/>
  <c r="Q19" i="196"/>
  <c r="P19" i="196"/>
  <c r="O19" i="196"/>
  <c r="N19" i="196"/>
  <c r="M19" i="196"/>
  <c r="L19" i="196"/>
  <c r="K19" i="196"/>
  <c r="J19" i="196"/>
  <c r="I19" i="196"/>
  <c r="H19" i="196"/>
  <c r="G19" i="196"/>
  <c r="F19" i="196"/>
  <c r="E19" i="196"/>
  <c r="D19" i="196"/>
  <c r="C19" i="196"/>
  <c r="Q17" i="196"/>
  <c r="P17" i="196"/>
  <c r="O17" i="196"/>
  <c r="N17" i="196"/>
  <c r="M17" i="196"/>
  <c r="L17" i="196"/>
  <c r="K17" i="196"/>
  <c r="J17" i="196"/>
  <c r="I17" i="196"/>
  <c r="H17" i="196"/>
  <c r="G17" i="196"/>
  <c r="F17" i="196"/>
  <c r="E17" i="196"/>
  <c r="D17" i="196"/>
  <c r="C17" i="196"/>
  <c r="Q15" i="196"/>
  <c r="P15" i="196"/>
  <c r="O15" i="196"/>
  <c r="N15" i="196"/>
  <c r="M15" i="196"/>
  <c r="L15" i="196"/>
  <c r="K15" i="196"/>
  <c r="J15" i="196"/>
  <c r="I15" i="196"/>
  <c r="H15" i="196"/>
  <c r="G15" i="196"/>
  <c r="F15" i="196"/>
  <c r="E15" i="196"/>
  <c r="D15" i="196"/>
  <c r="C15" i="196"/>
  <c r="Q13" i="196"/>
  <c r="P13" i="196"/>
  <c r="O13" i="196"/>
  <c r="N13" i="196"/>
  <c r="M13" i="196"/>
  <c r="L13" i="196"/>
  <c r="K13" i="196"/>
  <c r="J13" i="196"/>
  <c r="I13" i="196"/>
  <c r="H13" i="196"/>
  <c r="G13" i="196"/>
  <c r="F13" i="196"/>
  <c r="E13" i="196"/>
  <c r="D13" i="196"/>
  <c r="C13" i="196"/>
  <c r="Q5" i="196"/>
  <c r="P5" i="196"/>
  <c r="O5" i="196"/>
  <c r="N5" i="196"/>
  <c r="M5" i="196"/>
  <c r="L5" i="196"/>
  <c r="K5" i="196"/>
  <c r="J5" i="196"/>
  <c r="I5" i="196"/>
  <c r="H5" i="196"/>
  <c r="G5" i="196"/>
  <c r="F5" i="196"/>
  <c r="E5" i="196"/>
  <c r="D5" i="196"/>
  <c r="C5" i="196"/>
  <c r="Q4" i="195"/>
  <c r="Q15" i="195"/>
  <c r="P4" i="195"/>
  <c r="P15" i="195"/>
  <c r="O4" i="195"/>
  <c r="O15" i="195"/>
  <c r="M4" i="195"/>
  <c r="M15" i="195"/>
  <c r="L4" i="195"/>
  <c r="L15" i="195"/>
  <c r="K4" i="195"/>
  <c r="K15" i="195"/>
  <c r="J4" i="195"/>
  <c r="J15" i="195"/>
  <c r="I4" i="195"/>
  <c r="I15" i="195"/>
  <c r="P13" i="195"/>
  <c r="O13" i="195"/>
  <c r="N4" i="195"/>
  <c r="N13" i="195"/>
  <c r="M13" i="195"/>
  <c r="L13" i="195"/>
  <c r="K13" i="195"/>
  <c r="J13" i="195"/>
  <c r="I13" i="195"/>
  <c r="H4" i="195"/>
  <c r="H13" i="195"/>
  <c r="G4" i="195"/>
  <c r="G13" i="195"/>
  <c r="F4" i="195"/>
  <c r="F13" i="195"/>
  <c r="E4" i="195"/>
  <c r="E13" i="195"/>
  <c r="D4" i="195"/>
  <c r="D13" i="195"/>
  <c r="C4" i="195"/>
  <c r="C13" i="195"/>
  <c r="Q11" i="195"/>
  <c r="P11" i="195"/>
  <c r="O11" i="195"/>
  <c r="N11" i="195"/>
  <c r="M11" i="195"/>
  <c r="L11" i="195"/>
  <c r="K11" i="195"/>
  <c r="J11" i="195"/>
  <c r="I11" i="195"/>
  <c r="H11" i="195"/>
  <c r="G11" i="195"/>
  <c r="F11" i="195"/>
  <c r="E11" i="195"/>
  <c r="D11" i="195"/>
  <c r="C11" i="195"/>
  <c r="Q9" i="195"/>
  <c r="P9" i="195"/>
  <c r="O9" i="195"/>
  <c r="N9" i="195"/>
  <c r="M9" i="195"/>
  <c r="L9" i="195"/>
  <c r="K9" i="195"/>
  <c r="J9" i="195"/>
  <c r="I9" i="195"/>
  <c r="H9" i="195"/>
  <c r="G9" i="195"/>
  <c r="F9" i="195"/>
  <c r="E9" i="195"/>
  <c r="D9" i="195"/>
  <c r="C9" i="195"/>
  <c r="Q7" i="195"/>
  <c r="P7" i="195"/>
  <c r="O7" i="195"/>
  <c r="N7" i="195"/>
  <c r="M7" i="195"/>
  <c r="L7" i="195"/>
  <c r="K7" i="195"/>
  <c r="J7" i="195"/>
  <c r="I7" i="195"/>
  <c r="H7" i="195"/>
  <c r="G7" i="195"/>
  <c r="F7" i="195"/>
  <c r="E7" i="195"/>
  <c r="D7" i="195"/>
  <c r="C7" i="195"/>
  <c r="Q5" i="195"/>
  <c r="P5" i="195"/>
  <c r="O5" i="195"/>
  <c r="N5" i="195"/>
  <c r="M5" i="195"/>
  <c r="L5" i="195"/>
  <c r="K5" i="195"/>
  <c r="J5" i="195"/>
  <c r="I5" i="195"/>
  <c r="H5" i="195"/>
  <c r="G5" i="195"/>
  <c r="F5" i="195"/>
  <c r="E5" i="195"/>
  <c r="D5" i="195"/>
  <c r="C5" i="195"/>
  <c r="M4" i="194"/>
  <c r="M19" i="194"/>
  <c r="L4" i="194"/>
  <c r="L19" i="194"/>
  <c r="J4" i="194"/>
  <c r="J19" i="194"/>
  <c r="I4" i="194"/>
  <c r="I19" i="194"/>
  <c r="D4" i="194"/>
  <c r="D19" i="194"/>
  <c r="C4" i="194"/>
  <c r="C19" i="194"/>
  <c r="Q4" i="194"/>
  <c r="Q15" i="194"/>
  <c r="P4" i="194"/>
  <c r="P15" i="194"/>
  <c r="O4" i="194"/>
  <c r="O15" i="194"/>
  <c r="N4" i="194"/>
  <c r="N15" i="194"/>
  <c r="M15" i="194"/>
  <c r="L15" i="194"/>
  <c r="K4" i="194"/>
  <c r="K15" i="194"/>
  <c r="J15" i="194"/>
  <c r="I15" i="194"/>
  <c r="H4" i="194"/>
  <c r="H15" i="194"/>
  <c r="G4" i="194"/>
  <c r="G15" i="194"/>
  <c r="F4" i="194"/>
  <c r="F15" i="194"/>
  <c r="E4" i="194"/>
  <c r="E15" i="194"/>
  <c r="D15" i="194"/>
  <c r="C15" i="194"/>
  <c r="Q13" i="194"/>
  <c r="P13" i="194"/>
  <c r="O13" i="194"/>
  <c r="N13" i="194"/>
  <c r="M13" i="194"/>
  <c r="L13" i="194"/>
  <c r="K13" i="194"/>
  <c r="J13" i="194"/>
  <c r="I13" i="194"/>
  <c r="H13" i="194"/>
  <c r="G13" i="194"/>
  <c r="F13" i="194"/>
  <c r="E13" i="194"/>
  <c r="D13" i="194"/>
  <c r="C13" i="194"/>
  <c r="Q11" i="194"/>
  <c r="P11" i="194"/>
  <c r="O11" i="194"/>
  <c r="N11" i="194"/>
  <c r="M11" i="194"/>
  <c r="L11" i="194"/>
  <c r="K11" i="194"/>
  <c r="J11" i="194"/>
  <c r="I11" i="194"/>
  <c r="H11" i="194"/>
  <c r="G11" i="194"/>
  <c r="F11" i="194"/>
  <c r="E11" i="194"/>
  <c r="D11" i="194"/>
  <c r="C11" i="194"/>
  <c r="Q9" i="194"/>
  <c r="P9" i="194"/>
  <c r="O9" i="194"/>
  <c r="N9" i="194"/>
  <c r="M9" i="194"/>
  <c r="L9" i="194"/>
  <c r="K9" i="194"/>
  <c r="J9" i="194"/>
  <c r="I9" i="194"/>
  <c r="H9" i="194"/>
  <c r="G9" i="194"/>
  <c r="F9" i="194"/>
  <c r="E9" i="194"/>
  <c r="D9" i="194"/>
  <c r="C9" i="194"/>
  <c r="P7" i="194"/>
  <c r="O7" i="194"/>
  <c r="Q5" i="194"/>
  <c r="P5" i="194"/>
  <c r="O5" i="194"/>
  <c r="N5" i="194"/>
  <c r="M5" i="194"/>
  <c r="L5" i="194"/>
  <c r="K5" i="194"/>
  <c r="J5" i="194"/>
  <c r="I5" i="194"/>
  <c r="H5" i="194"/>
  <c r="G5" i="194"/>
  <c r="F5" i="194"/>
  <c r="E5" i="194"/>
  <c r="D5" i="194"/>
  <c r="C5" i="194"/>
  <c r="Q4" i="193"/>
  <c r="Q21" i="193"/>
  <c r="P4" i="193"/>
  <c r="P21" i="193"/>
  <c r="O4" i="193"/>
  <c r="O21" i="193"/>
  <c r="N4" i="193"/>
  <c r="N21" i="193"/>
  <c r="M4" i="193"/>
  <c r="M21" i="193"/>
  <c r="L4" i="193"/>
  <c r="L21" i="193"/>
  <c r="K4" i="193"/>
  <c r="K21" i="193"/>
  <c r="J4" i="193"/>
  <c r="J21" i="193"/>
  <c r="I4" i="193"/>
  <c r="I21" i="193"/>
  <c r="H4" i="193"/>
  <c r="H21" i="193"/>
  <c r="G4" i="193"/>
  <c r="G21" i="193"/>
  <c r="F4" i="193"/>
  <c r="F21" i="193"/>
  <c r="E4" i="193"/>
  <c r="E21" i="193"/>
  <c r="D4" i="193"/>
  <c r="D21" i="193"/>
  <c r="C4" i="193"/>
  <c r="C21" i="193"/>
  <c r="Q19" i="193"/>
  <c r="P19" i="193"/>
  <c r="O19" i="193"/>
  <c r="N19" i="193"/>
  <c r="M19" i="193"/>
  <c r="L19" i="193"/>
  <c r="K19" i="193"/>
  <c r="J19" i="193"/>
  <c r="I19" i="193"/>
  <c r="H19" i="193"/>
  <c r="G19" i="193"/>
  <c r="F19" i="193"/>
  <c r="E19" i="193"/>
  <c r="D19" i="193"/>
  <c r="C19" i="193"/>
  <c r="Q17" i="193"/>
  <c r="P17" i="193"/>
  <c r="O17" i="193"/>
  <c r="N17" i="193"/>
  <c r="M17" i="193"/>
  <c r="L17" i="193"/>
  <c r="K17" i="193"/>
  <c r="J17" i="193"/>
  <c r="I17" i="193"/>
  <c r="H17" i="193"/>
  <c r="G17" i="193"/>
  <c r="F17" i="193"/>
  <c r="E17" i="193"/>
  <c r="D17" i="193"/>
  <c r="C17" i="193"/>
  <c r="Q15" i="193"/>
  <c r="P15" i="193"/>
  <c r="O15" i="193"/>
  <c r="N15" i="193"/>
  <c r="M15" i="193"/>
  <c r="L15" i="193"/>
  <c r="K15" i="193"/>
  <c r="J15" i="193"/>
  <c r="I15" i="193"/>
  <c r="H15" i="193"/>
  <c r="G15" i="193"/>
  <c r="F15" i="193"/>
  <c r="E15" i="193"/>
  <c r="D15" i="193"/>
  <c r="C15" i="193"/>
  <c r="Q13" i="193"/>
  <c r="P13" i="193"/>
  <c r="O13" i="193"/>
  <c r="N13" i="193"/>
  <c r="M13" i="193"/>
  <c r="L13" i="193"/>
  <c r="K13" i="193"/>
  <c r="J13" i="193"/>
  <c r="I13" i="193"/>
  <c r="H13" i="193"/>
  <c r="G13" i="193"/>
  <c r="F13" i="193"/>
  <c r="E13" i="193"/>
  <c r="D13" i="193"/>
  <c r="C13" i="193"/>
  <c r="Q11" i="193"/>
  <c r="P11" i="193"/>
  <c r="O11" i="193"/>
  <c r="N11" i="193"/>
  <c r="M11" i="193"/>
  <c r="L11" i="193"/>
  <c r="K11" i="193"/>
  <c r="J11" i="193"/>
  <c r="I11" i="193"/>
  <c r="H11" i="193"/>
  <c r="G11" i="193"/>
  <c r="F11" i="193"/>
  <c r="E11" i="193"/>
  <c r="D11" i="193"/>
  <c r="C11" i="193"/>
  <c r="Q9" i="193"/>
  <c r="P9" i="193"/>
  <c r="O9" i="193"/>
  <c r="N9" i="193"/>
  <c r="M9" i="193"/>
  <c r="L9" i="193"/>
  <c r="K9" i="193"/>
  <c r="J9" i="193"/>
  <c r="I9" i="193"/>
  <c r="H9" i="193"/>
  <c r="G9" i="193"/>
  <c r="F9" i="193"/>
  <c r="E9" i="193"/>
  <c r="D9" i="193"/>
  <c r="C9" i="193"/>
  <c r="P7" i="193"/>
  <c r="O7" i="193"/>
  <c r="N7" i="193"/>
  <c r="M7" i="193"/>
  <c r="L7" i="193"/>
  <c r="J7" i="193"/>
  <c r="I7" i="193"/>
  <c r="H7" i="193"/>
  <c r="G7" i="193"/>
  <c r="F7" i="193"/>
  <c r="E7" i="193"/>
  <c r="D7" i="193"/>
  <c r="C7" i="193"/>
  <c r="Q5" i="193"/>
  <c r="P5" i="193"/>
  <c r="O5" i="193"/>
  <c r="N5" i="193"/>
  <c r="M5" i="193"/>
  <c r="L5" i="193"/>
  <c r="K5" i="193"/>
  <c r="J5" i="193"/>
  <c r="I5" i="193"/>
  <c r="H5" i="193"/>
  <c r="G5" i="193"/>
  <c r="F5" i="193"/>
  <c r="E5" i="193"/>
  <c r="D5" i="193"/>
  <c r="C5" i="193"/>
  <c r="G22" i="192"/>
  <c r="F22" i="192"/>
  <c r="E22" i="192"/>
  <c r="D22" i="192"/>
  <c r="C22" i="192"/>
  <c r="G20" i="192"/>
  <c r="F20" i="192"/>
  <c r="E20" i="192"/>
  <c r="D20" i="192"/>
  <c r="C20" i="192"/>
  <c r="G8" i="192"/>
  <c r="F8" i="192"/>
  <c r="E8" i="192"/>
  <c r="D8" i="192"/>
  <c r="C8" i="192"/>
  <c r="G6" i="192"/>
  <c r="F6" i="192"/>
  <c r="E6" i="192"/>
  <c r="D6" i="192"/>
  <c r="C6" i="192"/>
  <c r="Q15" i="190"/>
  <c r="O15" i="190"/>
  <c r="M15" i="190"/>
  <c r="K15" i="190"/>
  <c r="I15" i="190"/>
  <c r="G15" i="190"/>
  <c r="Q14" i="190"/>
  <c r="O14" i="190"/>
  <c r="M14" i="190"/>
  <c r="K14" i="190"/>
  <c r="I14" i="190"/>
  <c r="G14" i="190"/>
  <c r="Q13" i="190"/>
  <c r="N13" i="190"/>
  <c r="O13" i="190"/>
  <c r="M13" i="190"/>
  <c r="K13" i="190"/>
  <c r="I13" i="190"/>
  <c r="G13" i="190"/>
  <c r="Q12" i="190"/>
  <c r="N12" i="190"/>
  <c r="O12" i="190"/>
  <c r="M12" i="190"/>
  <c r="K12" i="190"/>
  <c r="I12" i="190"/>
  <c r="G12" i="190"/>
  <c r="Q11" i="190"/>
  <c r="O11" i="190"/>
  <c r="M11" i="190"/>
  <c r="K11" i="190"/>
  <c r="I11" i="190"/>
  <c r="G11" i="190"/>
  <c r="Q10" i="190"/>
  <c r="O10" i="190"/>
  <c r="M10" i="190"/>
  <c r="K10" i="190"/>
  <c r="I10" i="190"/>
  <c r="G10" i="190"/>
  <c r="Q9" i="190"/>
  <c r="O9" i="190"/>
  <c r="M9" i="190"/>
  <c r="K9" i="190"/>
  <c r="I9" i="190"/>
  <c r="G9" i="190"/>
  <c r="Q8" i="190"/>
  <c r="O8" i="190"/>
  <c r="M8" i="190"/>
  <c r="K8" i="190"/>
  <c r="I8" i="190"/>
  <c r="G8" i="190"/>
  <c r="Q7" i="190"/>
  <c r="O7" i="190"/>
  <c r="M7" i="190"/>
  <c r="K7" i="190"/>
  <c r="I7" i="190"/>
  <c r="G7" i="190"/>
  <c r="Q6" i="190"/>
  <c r="O6" i="190"/>
  <c r="M6" i="190"/>
  <c r="K6" i="190"/>
  <c r="I6" i="190"/>
  <c r="G6" i="190"/>
  <c r="Q5" i="190"/>
  <c r="O5" i="190"/>
  <c r="M5" i="190"/>
  <c r="K5" i="190"/>
  <c r="I5" i="190"/>
  <c r="G5" i="190"/>
  <c r="P4" i="190"/>
  <c r="B4" i="190"/>
  <c r="Q4" i="190"/>
  <c r="N4" i="190"/>
  <c r="O4" i="190"/>
  <c r="L4" i="190"/>
  <c r="M4" i="190"/>
  <c r="J4" i="190"/>
  <c r="K4" i="190"/>
  <c r="H4" i="190"/>
  <c r="I4" i="190"/>
  <c r="F4" i="190"/>
  <c r="G4" i="190"/>
  <c r="D4" i="190"/>
  <c r="C4" i="190"/>
  <c r="J14" i="187"/>
  <c r="K21" i="187"/>
  <c r="H14" i="187"/>
  <c r="I21" i="187"/>
  <c r="K20" i="187"/>
  <c r="I20" i="187"/>
  <c r="F14" i="187"/>
  <c r="G20" i="187"/>
  <c r="D14" i="187"/>
  <c r="E20" i="187"/>
  <c r="B14" i="187"/>
  <c r="C20" i="187"/>
  <c r="K19" i="187"/>
  <c r="I19" i="187"/>
  <c r="G19" i="187"/>
  <c r="E19" i="187"/>
  <c r="C19" i="187"/>
  <c r="K18" i="187"/>
  <c r="I18" i="187"/>
  <c r="G18" i="187"/>
  <c r="E18" i="187"/>
  <c r="C18" i="187"/>
  <c r="K17" i="187"/>
  <c r="I17" i="187"/>
  <c r="G17" i="187"/>
  <c r="E17" i="187"/>
  <c r="C17" i="187"/>
  <c r="K16" i="187"/>
  <c r="I16" i="187"/>
  <c r="G16" i="187"/>
  <c r="E16" i="187"/>
  <c r="C16" i="187"/>
  <c r="K15" i="187"/>
  <c r="I15" i="187"/>
  <c r="G15" i="187"/>
  <c r="E15" i="187"/>
  <c r="C15" i="187"/>
  <c r="K14" i="187"/>
  <c r="I14" i="187"/>
  <c r="G14" i="187"/>
  <c r="E14" i="187"/>
  <c r="C14" i="187"/>
  <c r="J4" i="187"/>
  <c r="K10" i="187"/>
  <c r="H4" i="187"/>
  <c r="I10" i="187"/>
  <c r="F4" i="187"/>
  <c r="G10" i="187"/>
  <c r="D4" i="187"/>
  <c r="E10" i="187"/>
  <c r="B4" i="187"/>
  <c r="C10" i="187"/>
  <c r="K9" i="187"/>
  <c r="I9" i="187"/>
  <c r="G9" i="187"/>
  <c r="E9" i="187"/>
  <c r="C9" i="187"/>
  <c r="K8" i="187"/>
  <c r="I8" i="187"/>
  <c r="G8" i="187"/>
  <c r="E8" i="187"/>
  <c r="C8" i="187"/>
  <c r="K7" i="187"/>
  <c r="I7" i="187"/>
  <c r="G7" i="187"/>
  <c r="E7" i="187"/>
  <c r="C7" i="187"/>
  <c r="K6" i="187"/>
  <c r="I6" i="187"/>
  <c r="G6" i="187"/>
  <c r="E6" i="187"/>
  <c r="C6" i="187"/>
  <c r="K5" i="187"/>
  <c r="I5" i="187"/>
  <c r="G5" i="187"/>
  <c r="E5" i="187"/>
  <c r="C5" i="187"/>
  <c r="K4" i="187"/>
  <c r="I4" i="187"/>
  <c r="G4" i="187"/>
  <c r="E4" i="187"/>
  <c r="C4" i="187"/>
  <c r="R19" i="186"/>
  <c r="S14" i="186"/>
  <c r="T14" i="186"/>
  <c r="R14" i="186"/>
  <c r="U19" i="186"/>
  <c r="N19" i="186"/>
  <c r="O14" i="186"/>
  <c r="P14" i="186"/>
  <c r="N14" i="186"/>
  <c r="Q19" i="186"/>
  <c r="J19" i="186"/>
  <c r="K14" i="186"/>
  <c r="L14" i="186"/>
  <c r="J14" i="186"/>
  <c r="M19" i="186"/>
  <c r="F19" i="186"/>
  <c r="G14" i="186"/>
  <c r="H14" i="186"/>
  <c r="F14" i="186"/>
  <c r="I19" i="186"/>
  <c r="B19" i="186"/>
  <c r="C14" i="186"/>
  <c r="D14" i="186"/>
  <c r="B14" i="186"/>
  <c r="E19" i="186"/>
  <c r="R18" i="186"/>
  <c r="U18" i="186"/>
  <c r="N18" i="186"/>
  <c r="Q18" i="186"/>
  <c r="J18" i="186"/>
  <c r="M18" i="186"/>
  <c r="F18" i="186"/>
  <c r="I18" i="186"/>
  <c r="B18" i="186"/>
  <c r="E18" i="186"/>
  <c r="R17" i="186"/>
  <c r="U17" i="186"/>
  <c r="N17" i="186"/>
  <c r="Q17" i="186"/>
  <c r="J17" i="186"/>
  <c r="M17" i="186"/>
  <c r="F17" i="186"/>
  <c r="I17" i="186"/>
  <c r="B17" i="186"/>
  <c r="E17" i="186"/>
  <c r="R16" i="186"/>
  <c r="U16" i="186"/>
  <c r="N16" i="186"/>
  <c r="Q16" i="186"/>
  <c r="J16" i="186"/>
  <c r="M16" i="186"/>
  <c r="F16" i="186"/>
  <c r="I16" i="186"/>
  <c r="B16" i="186"/>
  <c r="E16" i="186"/>
  <c r="R15" i="186"/>
  <c r="U15" i="186"/>
  <c r="N15" i="186"/>
  <c r="Q15" i="186"/>
  <c r="J15" i="186"/>
  <c r="M15" i="186"/>
  <c r="F15" i="186"/>
  <c r="I15" i="186"/>
  <c r="B15" i="186"/>
  <c r="E15" i="186"/>
  <c r="U14" i="186"/>
  <c r="Q14" i="186"/>
  <c r="M14" i="186"/>
  <c r="I14" i="186"/>
  <c r="E14" i="186"/>
  <c r="R10" i="186"/>
  <c r="S5" i="186"/>
  <c r="T5" i="186"/>
  <c r="R5" i="186"/>
  <c r="U10" i="186"/>
  <c r="N10" i="186"/>
  <c r="O5" i="186"/>
  <c r="P5" i="186"/>
  <c r="N5" i="186"/>
  <c r="Q10" i="186"/>
  <c r="J10" i="186"/>
  <c r="K5" i="186"/>
  <c r="L5" i="186"/>
  <c r="J5" i="186"/>
  <c r="M10" i="186"/>
  <c r="F10" i="186"/>
  <c r="G5" i="186"/>
  <c r="H5" i="186"/>
  <c r="F5" i="186"/>
  <c r="I10" i="186"/>
  <c r="B10" i="186"/>
  <c r="C5" i="186"/>
  <c r="D5" i="186"/>
  <c r="B5" i="186"/>
  <c r="E10" i="186"/>
  <c r="R9" i="186"/>
  <c r="U9" i="186"/>
  <c r="N9" i="186"/>
  <c r="Q9" i="186"/>
  <c r="J9" i="186"/>
  <c r="M9" i="186"/>
  <c r="F9" i="186"/>
  <c r="I9" i="186"/>
  <c r="B9" i="186"/>
  <c r="E9" i="186"/>
  <c r="R8" i="186"/>
  <c r="U8" i="186"/>
  <c r="N8" i="186"/>
  <c r="Q8" i="186"/>
  <c r="J8" i="186"/>
  <c r="M8" i="186"/>
  <c r="F8" i="186"/>
  <c r="I8" i="186"/>
  <c r="B8" i="186"/>
  <c r="E8" i="186"/>
  <c r="R7" i="186"/>
  <c r="U7" i="186"/>
  <c r="N7" i="186"/>
  <c r="Q7" i="186"/>
  <c r="J7" i="186"/>
  <c r="M7" i="186"/>
  <c r="F7" i="186"/>
  <c r="I7" i="186"/>
  <c r="B7" i="186"/>
  <c r="E7" i="186"/>
  <c r="R6" i="186"/>
  <c r="U6" i="186"/>
  <c r="N6" i="186"/>
  <c r="Q6" i="186"/>
  <c r="J6" i="186"/>
  <c r="M6" i="186"/>
  <c r="F6" i="186"/>
  <c r="I6" i="186"/>
  <c r="B6" i="186"/>
  <c r="E6" i="186"/>
  <c r="U5" i="186"/>
  <c r="Q5" i="186"/>
  <c r="M5" i="186"/>
  <c r="I5" i="186"/>
  <c r="E5" i="186"/>
  <c r="K23" i="185"/>
  <c r="K22" i="185"/>
  <c r="K21" i="185"/>
  <c r="K20" i="185"/>
  <c r="K19" i="185"/>
  <c r="K18" i="185"/>
  <c r="K17" i="185"/>
  <c r="K16" i="185"/>
  <c r="K15" i="185"/>
  <c r="J16" i="184"/>
  <c r="K18" i="184"/>
  <c r="H16" i="184"/>
  <c r="I18" i="184"/>
  <c r="F16" i="184"/>
  <c r="G18" i="184"/>
  <c r="D16" i="184"/>
  <c r="E18" i="184"/>
  <c r="B16" i="184"/>
  <c r="C18" i="184"/>
  <c r="K17" i="184"/>
  <c r="I17" i="184"/>
  <c r="G17" i="184"/>
  <c r="E17" i="184"/>
  <c r="C17" i="184"/>
  <c r="K16" i="184"/>
  <c r="I16" i="184"/>
  <c r="G16" i="184"/>
  <c r="E16" i="184"/>
  <c r="C16" i="184"/>
  <c r="J4" i="184"/>
  <c r="K6" i="184"/>
  <c r="H4" i="184"/>
  <c r="I6" i="184"/>
  <c r="F4" i="184"/>
  <c r="G6" i="184"/>
  <c r="D4" i="184"/>
  <c r="E6" i="184"/>
  <c r="B4" i="184"/>
  <c r="C6" i="184"/>
  <c r="K5" i="184"/>
  <c r="I5" i="184"/>
  <c r="G5" i="184"/>
  <c r="E5" i="184"/>
  <c r="C5" i="184"/>
  <c r="K4" i="184"/>
  <c r="I4" i="184"/>
  <c r="G4" i="184"/>
  <c r="E4" i="184"/>
  <c r="C4" i="184"/>
  <c r="U12" i="183"/>
  <c r="Q12" i="183"/>
  <c r="M12" i="183"/>
  <c r="I12" i="183"/>
  <c r="B12" i="183"/>
  <c r="E12" i="183"/>
  <c r="U11" i="183"/>
  <c r="Q11" i="183"/>
  <c r="M11" i="183"/>
  <c r="I11" i="183"/>
  <c r="B11" i="183"/>
  <c r="E11" i="183"/>
  <c r="U10" i="183"/>
  <c r="Q10" i="183"/>
  <c r="M10" i="183"/>
  <c r="I10" i="183"/>
  <c r="B10" i="183"/>
  <c r="E10" i="183"/>
  <c r="Q9" i="183"/>
  <c r="M9" i="183"/>
  <c r="I9" i="183"/>
  <c r="B9" i="183"/>
  <c r="E9" i="183"/>
  <c r="U8" i="183"/>
  <c r="Q8" i="183"/>
  <c r="M8" i="183"/>
  <c r="I8" i="183"/>
  <c r="B8" i="183"/>
  <c r="E8" i="183"/>
  <c r="U7" i="183"/>
  <c r="Q7" i="183"/>
  <c r="M7" i="183"/>
  <c r="I7" i="183"/>
  <c r="B7" i="183"/>
  <c r="E7" i="183"/>
  <c r="U6" i="183"/>
  <c r="Q6" i="183"/>
  <c r="M6" i="183"/>
  <c r="I6" i="183"/>
  <c r="B6" i="183"/>
  <c r="E6" i="183"/>
  <c r="U5" i="183"/>
  <c r="Q5" i="183"/>
  <c r="M5" i="183"/>
  <c r="I5" i="183"/>
  <c r="E5" i="183"/>
  <c r="J14" i="180"/>
  <c r="K21" i="180"/>
  <c r="H14" i="180"/>
  <c r="I21" i="180"/>
  <c r="K20" i="180"/>
  <c r="I20" i="180"/>
  <c r="F14" i="180"/>
  <c r="G20" i="180"/>
  <c r="D14" i="180"/>
  <c r="E20" i="180"/>
  <c r="B14" i="180"/>
  <c r="C20" i="180"/>
  <c r="K19" i="180"/>
  <c r="I19" i="180"/>
  <c r="G19" i="180"/>
  <c r="E19" i="180"/>
  <c r="C19" i="180"/>
  <c r="K18" i="180"/>
  <c r="I18" i="180"/>
  <c r="G18" i="180"/>
  <c r="E18" i="180"/>
  <c r="C18" i="180"/>
  <c r="K17" i="180"/>
  <c r="I17" i="180"/>
  <c r="G17" i="180"/>
  <c r="E17" i="180"/>
  <c r="C17" i="180"/>
  <c r="K16" i="180"/>
  <c r="I16" i="180"/>
  <c r="G16" i="180"/>
  <c r="E16" i="180"/>
  <c r="C16" i="180"/>
  <c r="K15" i="180"/>
  <c r="I15" i="180"/>
  <c r="G15" i="180"/>
  <c r="E15" i="180"/>
  <c r="C15" i="180"/>
  <c r="J4" i="180"/>
  <c r="K10" i="180"/>
  <c r="H4" i="180"/>
  <c r="I10" i="180"/>
  <c r="F4" i="180"/>
  <c r="G10" i="180"/>
  <c r="D4" i="180"/>
  <c r="E10" i="180"/>
  <c r="B4" i="180"/>
  <c r="C10" i="180"/>
  <c r="K9" i="180"/>
  <c r="I9" i="180"/>
  <c r="G9" i="180"/>
  <c r="E9" i="180"/>
  <c r="C9" i="180"/>
  <c r="K8" i="180"/>
  <c r="I8" i="180"/>
  <c r="G8" i="180"/>
  <c r="E8" i="180"/>
  <c r="C8" i="180"/>
  <c r="K7" i="180"/>
  <c r="I7" i="180"/>
  <c r="G7" i="180"/>
  <c r="E7" i="180"/>
  <c r="C7" i="180"/>
  <c r="K6" i="180"/>
  <c r="I6" i="180"/>
  <c r="G6" i="180"/>
  <c r="E6" i="180"/>
  <c r="C6" i="180"/>
  <c r="K5" i="180"/>
  <c r="I5" i="180"/>
  <c r="G5" i="180"/>
  <c r="E5" i="180"/>
  <c r="C5" i="180"/>
  <c r="R19" i="179"/>
  <c r="R14" i="179"/>
  <c r="U19" i="179"/>
  <c r="N19" i="179"/>
  <c r="N14" i="179"/>
  <c r="Q19" i="179"/>
  <c r="J19" i="179"/>
  <c r="J14" i="179"/>
  <c r="M19" i="179"/>
  <c r="I19" i="179"/>
  <c r="E19" i="179"/>
  <c r="R18" i="179"/>
  <c r="U18" i="179"/>
  <c r="N18" i="179"/>
  <c r="Q18" i="179"/>
  <c r="J18" i="179"/>
  <c r="M18" i="179"/>
  <c r="I18" i="179"/>
  <c r="E18" i="179"/>
  <c r="R17" i="179"/>
  <c r="U17" i="179"/>
  <c r="N17" i="179"/>
  <c r="Q17" i="179"/>
  <c r="J17" i="179"/>
  <c r="M17" i="179"/>
  <c r="I17" i="179"/>
  <c r="E17" i="179"/>
  <c r="R16" i="179"/>
  <c r="U16" i="179"/>
  <c r="N16" i="179"/>
  <c r="Q16" i="179"/>
  <c r="J16" i="179"/>
  <c r="M16" i="179"/>
  <c r="I16" i="179"/>
  <c r="E16" i="179"/>
  <c r="R15" i="179"/>
  <c r="U15" i="179"/>
  <c r="N15" i="179"/>
  <c r="Q15" i="179"/>
  <c r="J15" i="179"/>
  <c r="M15" i="179"/>
  <c r="I15" i="179"/>
  <c r="E15" i="179"/>
  <c r="U14" i="179"/>
  <c r="Q14" i="179"/>
  <c r="M14" i="179"/>
  <c r="I14" i="179"/>
  <c r="E14" i="179"/>
  <c r="U10" i="179"/>
  <c r="Q10" i="179"/>
  <c r="M10" i="179"/>
  <c r="I10" i="179"/>
  <c r="E10" i="179"/>
  <c r="U9" i="179"/>
  <c r="Q9" i="179"/>
  <c r="M9" i="179"/>
  <c r="I9" i="179"/>
  <c r="E9" i="179"/>
  <c r="U8" i="179"/>
  <c r="Q8" i="179"/>
  <c r="M8" i="179"/>
  <c r="I8" i="179"/>
  <c r="E8" i="179"/>
  <c r="U7" i="179"/>
  <c r="Q7" i="179"/>
  <c r="M7" i="179"/>
  <c r="I7" i="179"/>
  <c r="E7" i="179"/>
  <c r="U6" i="179"/>
  <c r="Q6" i="179"/>
  <c r="M6" i="179"/>
  <c r="I6" i="179"/>
  <c r="E6" i="179"/>
  <c r="U5" i="179"/>
  <c r="Q5" i="179"/>
  <c r="M5" i="179"/>
  <c r="I5" i="179"/>
  <c r="E5" i="179"/>
  <c r="K23" i="178"/>
  <c r="I23" i="178"/>
  <c r="K22" i="178"/>
  <c r="I22" i="178"/>
  <c r="K21" i="178"/>
  <c r="I21" i="178"/>
  <c r="K20" i="178"/>
  <c r="I20" i="178"/>
  <c r="K19" i="178"/>
  <c r="I19" i="178"/>
  <c r="K18" i="178"/>
  <c r="I17" i="178"/>
  <c r="I12" i="178"/>
  <c r="G12" i="178"/>
  <c r="E12" i="178"/>
  <c r="C12" i="178"/>
  <c r="K11" i="178"/>
  <c r="I11" i="178"/>
  <c r="G11" i="178"/>
  <c r="E11" i="178"/>
  <c r="B11" i="178"/>
  <c r="C11" i="178"/>
  <c r="K10" i="178"/>
  <c r="I10" i="178"/>
  <c r="G10" i="178"/>
  <c r="E10" i="178"/>
  <c r="C10" i="178"/>
  <c r="K9" i="178"/>
  <c r="I9" i="178"/>
  <c r="G9" i="178"/>
  <c r="E9" i="178"/>
  <c r="B9" i="178"/>
  <c r="C9" i="178"/>
  <c r="K8" i="178"/>
  <c r="I8" i="178"/>
  <c r="G8" i="178"/>
  <c r="E8" i="178"/>
  <c r="C8" i="178"/>
  <c r="I7" i="178"/>
  <c r="G7" i="178"/>
  <c r="E7" i="178"/>
  <c r="K6" i="178"/>
  <c r="G6" i="178"/>
  <c r="K4" i="178"/>
  <c r="I4" i="178"/>
  <c r="G4" i="178"/>
  <c r="E4" i="178"/>
  <c r="C4" i="178"/>
  <c r="H4" i="177"/>
  <c r="I20" i="177"/>
  <c r="B4" i="177"/>
  <c r="C20" i="177"/>
  <c r="J4" i="177"/>
  <c r="K19" i="177"/>
  <c r="C19" i="177"/>
  <c r="K18" i="177"/>
  <c r="C18" i="177"/>
  <c r="K17" i="177"/>
  <c r="I17" i="177"/>
  <c r="C17" i="177"/>
  <c r="K16" i="177"/>
  <c r="I16" i="177"/>
  <c r="F4" i="177"/>
  <c r="G16" i="177"/>
  <c r="C16" i="177"/>
  <c r="K15" i="177"/>
  <c r="I15" i="177"/>
  <c r="D4" i="177"/>
  <c r="E15" i="177"/>
  <c r="C15" i="177"/>
  <c r="K14" i="177"/>
  <c r="I14" i="177"/>
  <c r="C14" i="177"/>
  <c r="K13" i="177"/>
  <c r="I13" i="177"/>
  <c r="G13" i="177"/>
  <c r="C13" i="177"/>
  <c r="K12" i="177"/>
  <c r="E12" i="177"/>
  <c r="C12" i="177"/>
  <c r="K11" i="177"/>
  <c r="I11" i="177"/>
  <c r="G11" i="177"/>
  <c r="C11" i="177"/>
  <c r="K10" i="177"/>
  <c r="I10" i="177"/>
  <c r="C10" i="177"/>
  <c r="K9" i="177"/>
  <c r="I9" i="177"/>
  <c r="G9" i="177"/>
  <c r="E9" i="177"/>
  <c r="C9" i="177"/>
  <c r="K8" i="177"/>
  <c r="I8" i="177"/>
  <c r="G8" i="177"/>
  <c r="E8" i="177"/>
  <c r="C8" i="177"/>
  <c r="K7" i="177"/>
  <c r="I7" i="177"/>
  <c r="G7" i="177"/>
  <c r="E7" i="177"/>
  <c r="C7" i="177"/>
  <c r="K6" i="177"/>
  <c r="I6" i="177"/>
  <c r="G6" i="177"/>
  <c r="E6" i="177"/>
  <c r="C6" i="177"/>
  <c r="K5" i="177"/>
  <c r="I5" i="177"/>
  <c r="G5" i="177"/>
  <c r="E5" i="177"/>
  <c r="C5" i="177"/>
  <c r="K4" i="177"/>
  <c r="I4" i="177"/>
  <c r="G4" i="177"/>
  <c r="E4" i="177"/>
  <c r="C4" i="177"/>
  <c r="I30" i="175"/>
  <c r="R4" i="175"/>
  <c r="S29" i="175"/>
  <c r="G28" i="175"/>
  <c r="I27" i="175"/>
  <c r="D4" i="175"/>
  <c r="E27" i="175"/>
  <c r="K26" i="175"/>
  <c r="I26" i="175"/>
  <c r="K25" i="175"/>
  <c r="N4" i="175"/>
  <c r="O24" i="175"/>
  <c r="K24" i="175"/>
  <c r="I24" i="175"/>
  <c r="G24" i="175"/>
  <c r="B4" i="175"/>
  <c r="C24" i="175"/>
  <c r="K23" i="175"/>
  <c r="E23" i="175"/>
  <c r="M22" i="175"/>
  <c r="K22" i="175"/>
  <c r="I22" i="175"/>
  <c r="E22" i="175"/>
  <c r="S21" i="175"/>
  <c r="P4" i="175"/>
  <c r="Q21" i="175"/>
  <c r="O21" i="175"/>
  <c r="M21" i="175"/>
  <c r="K21" i="175"/>
  <c r="I21" i="175"/>
  <c r="G21" i="175"/>
  <c r="E21" i="175"/>
  <c r="C21" i="175"/>
  <c r="T4" i="175"/>
  <c r="U20" i="175"/>
  <c r="Q20" i="175"/>
  <c r="M20" i="175"/>
  <c r="K20" i="175"/>
  <c r="I20" i="175"/>
  <c r="U19" i="175"/>
  <c r="K19" i="175"/>
  <c r="G19" i="175"/>
  <c r="E19" i="175"/>
  <c r="U18" i="175"/>
  <c r="S18" i="175"/>
  <c r="U17" i="175"/>
  <c r="S17" i="175"/>
  <c r="Q17" i="175"/>
  <c r="O17" i="175"/>
  <c r="M17" i="175"/>
  <c r="K17" i="175"/>
  <c r="I17" i="175"/>
  <c r="G17" i="175"/>
  <c r="E17" i="175"/>
  <c r="C17" i="175"/>
  <c r="U16" i="175"/>
  <c r="S16" i="175"/>
  <c r="Q16" i="175"/>
  <c r="O16" i="175"/>
  <c r="M16" i="175"/>
  <c r="K16" i="175"/>
  <c r="I16" i="175"/>
  <c r="G16" i="175"/>
  <c r="E16" i="175"/>
  <c r="C16" i="175"/>
  <c r="U15" i="175"/>
  <c r="S15" i="175"/>
  <c r="Q15" i="175"/>
  <c r="M15" i="175"/>
  <c r="K15" i="175"/>
  <c r="U14" i="175"/>
  <c r="S14" i="175"/>
  <c r="Q14" i="175"/>
  <c r="O14" i="175"/>
  <c r="M14" i="175"/>
  <c r="K14" i="175"/>
  <c r="I14" i="175"/>
  <c r="G14" i="175"/>
  <c r="E14" i="175"/>
  <c r="C14" i="175"/>
  <c r="U13" i="175"/>
  <c r="S13" i="175"/>
  <c r="Q13" i="175"/>
  <c r="O13" i="175"/>
  <c r="M13" i="175"/>
  <c r="K13" i="175"/>
  <c r="I13" i="175"/>
  <c r="G13" i="175"/>
  <c r="E13" i="175"/>
  <c r="C13" i="175"/>
  <c r="U12" i="175"/>
  <c r="S12" i="175"/>
  <c r="Q12" i="175"/>
  <c r="O12" i="175"/>
  <c r="M12" i="175"/>
  <c r="K12" i="175"/>
  <c r="I12" i="175"/>
  <c r="G12" i="175"/>
  <c r="E12" i="175"/>
  <c r="C12" i="175"/>
  <c r="U11" i="175"/>
  <c r="S11" i="175"/>
  <c r="Q11" i="175"/>
  <c r="O11" i="175"/>
  <c r="M11" i="175"/>
  <c r="K11" i="175"/>
  <c r="I11" i="175"/>
  <c r="G11" i="175"/>
  <c r="E11" i="175"/>
  <c r="C11" i="175"/>
  <c r="U10" i="175"/>
  <c r="S10" i="175"/>
  <c r="Q10" i="175"/>
  <c r="O10" i="175"/>
  <c r="M10" i="175"/>
  <c r="K10" i="175"/>
  <c r="I10" i="175"/>
  <c r="E10" i="175"/>
  <c r="C10" i="175"/>
  <c r="U9" i="175"/>
  <c r="S9" i="175"/>
  <c r="Q9" i="175"/>
  <c r="O9" i="175"/>
  <c r="M9" i="175"/>
  <c r="K9" i="175"/>
  <c r="I9" i="175"/>
  <c r="G9" i="175"/>
  <c r="E9" i="175"/>
  <c r="C9" i="175"/>
  <c r="U8" i="175"/>
  <c r="S8" i="175"/>
  <c r="Q8" i="175"/>
  <c r="O8" i="175"/>
  <c r="M8" i="175"/>
  <c r="K8" i="175"/>
  <c r="I8" i="175"/>
  <c r="G8" i="175"/>
  <c r="E8" i="175"/>
  <c r="C8" i="175"/>
  <c r="U7" i="175"/>
  <c r="S7" i="175"/>
  <c r="Q7" i="175"/>
  <c r="O7" i="175"/>
  <c r="M7" i="175"/>
  <c r="K7" i="175"/>
  <c r="I7" i="175"/>
  <c r="G7" i="175"/>
  <c r="E7" i="175"/>
  <c r="C7" i="175"/>
  <c r="U6" i="175"/>
  <c r="S6" i="175"/>
  <c r="Q6" i="175"/>
  <c r="O6" i="175"/>
  <c r="K6" i="175"/>
  <c r="I6" i="175"/>
  <c r="G6" i="175"/>
  <c r="E6" i="175"/>
  <c r="C6" i="175"/>
  <c r="U5" i="175"/>
  <c r="S5" i="175"/>
  <c r="Q5" i="175"/>
  <c r="O5" i="175"/>
  <c r="K5" i="175"/>
  <c r="I5" i="175"/>
  <c r="G5" i="175"/>
  <c r="E5" i="175"/>
  <c r="C5" i="175"/>
  <c r="U4" i="175"/>
  <c r="S4" i="175"/>
  <c r="Q4" i="175"/>
  <c r="O4" i="175"/>
  <c r="K4" i="175"/>
  <c r="I4" i="175"/>
  <c r="G4" i="175"/>
  <c r="E4" i="175"/>
  <c r="C4" i="175"/>
  <c r="J14" i="172"/>
  <c r="K21" i="172"/>
  <c r="I21" i="172"/>
  <c r="K20" i="172"/>
  <c r="H14" i="172"/>
  <c r="I20" i="172"/>
  <c r="F14" i="172"/>
  <c r="G20" i="172"/>
  <c r="D14" i="172"/>
  <c r="E20" i="172"/>
  <c r="B14" i="172"/>
  <c r="C20" i="172"/>
  <c r="K19" i="172"/>
  <c r="I19" i="172"/>
  <c r="G19" i="172"/>
  <c r="E19" i="172"/>
  <c r="C19" i="172"/>
  <c r="K18" i="172"/>
  <c r="I18" i="172"/>
  <c r="G18" i="172"/>
  <c r="E18" i="172"/>
  <c r="C18" i="172"/>
  <c r="K17" i="172"/>
  <c r="I17" i="172"/>
  <c r="G17" i="172"/>
  <c r="E17" i="172"/>
  <c r="C17" i="172"/>
  <c r="K16" i="172"/>
  <c r="I16" i="172"/>
  <c r="G16" i="172"/>
  <c r="E16" i="172"/>
  <c r="C16" i="172"/>
  <c r="K15" i="172"/>
  <c r="I15" i="172"/>
  <c r="G15" i="172"/>
  <c r="E15" i="172"/>
  <c r="C15" i="172"/>
  <c r="K14" i="172"/>
  <c r="I14" i="172"/>
  <c r="G14" i="172"/>
  <c r="E14" i="172"/>
  <c r="C14" i="172"/>
  <c r="J4" i="172"/>
  <c r="K10" i="172"/>
  <c r="H4" i="172"/>
  <c r="I10" i="172"/>
  <c r="F4" i="172"/>
  <c r="G10" i="172"/>
  <c r="D4" i="172"/>
  <c r="E10" i="172"/>
  <c r="B4" i="172"/>
  <c r="C10" i="172"/>
  <c r="K9" i="172"/>
  <c r="I9" i="172"/>
  <c r="G9" i="172"/>
  <c r="E9" i="172"/>
  <c r="C9" i="172"/>
  <c r="K8" i="172"/>
  <c r="I8" i="172"/>
  <c r="G8" i="172"/>
  <c r="E8" i="172"/>
  <c r="C8" i="172"/>
  <c r="K7" i="172"/>
  <c r="I7" i="172"/>
  <c r="G7" i="172"/>
  <c r="E7" i="172"/>
  <c r="C7" i="172"/>
  <c r="K6" i="172"/>
  <c r="I6" i="172"/>
  <c r="G6" i="172"/>
  <c r="E6" i="172"/>
  <c r="C6" i="172"/>
  <c r="K5" i="172"/>
  <c r="I5" i="172"/>
  <c r="G5" i="172"/>
  <c r="E5" i="172"/>
  <c r="C5" i="172"/>
  <c r="K4" i="172"/>
  <c r="I4" i="172"/>
  <c r="G4" i="172"/>
  <c r="E4" i="172"/>
  <c r="C4" i="172"/>
  <c r="R19" i="171"/>
  <c r="R14" i="171"/>
  <c r="U19" i="171"/>
  <c r="N19" i="171"/>
  <c r="N14" i="171"/>
  <c r="Q19" i="171"/>
  <c r="J19" i="171"/>
  <c r="J14" i="171"/>
  <c r="M19" i="171"/>
  <c r="F19" i="171"/>
  <c r="F14" i="171"/>
  <c r="I19" i="171"/>
  <c r="B19" i="171"/>
  <c r="B14" i="171"/>
  <c r="E19" i="171"/>
  <c r="R18" i="171"/>
  <c r="U18" i="171"/>
  <c r="N18" i="171"/>
  <c r="Q18" i="171"/>
  <c r="J18" i="171"/>
  <c r="M18" i="171"/>
  <c r="F18" i="171"/>
  <c r="I18" i="171"/>
  <c r="B18" i="171"/>
  <c r="E18" i="171"/>
  <c r="R17" i="171"/>
  <c r="U17" i="171"/>
  <c r="N17" i="171"/>
  <c r="Q17" i="171"/>
  <c r="J17" i="171"/>
  <c r="M17" i="171"/>
  <c r="F17" i="171"/>
  <c r="I17" i="171"/>
  <c r="B17" i="171"/>
  <c r="E17" i="171"/>
  <c r="R16" i="171"/>
  <c r="U16" i="171"/>
  <c r="N16" i="171"/>
  <c r="Q16" i="171"/>
  <c r="J16" i="171"/>
  <c r="M16" i="171"/>
  <c r="F16" i="171"/>
  <c r="I16" i="171"/>
  <c r="B16" i="171"/>
  <c r="E16" i="171"/>
  <c r="R15" i="171"/>
  <c r="U15" i="171"/>
  <c r="N15" i="171"/>
  <c r="Q15" i="171"/>
  <c r="J15" i="171"/>
  <c r="M15" i="171"/>
  <c r="F15" i="171"/>
  <c r="I15" i="171"/>
  <c r="B15" i="171"/>
  <c r="E15" i="171"/>
  <c r="U14" i="171"/>
  <c r="Q14" i="171"/>
  <c r="M14" i="171"/>
  <c r="I14" i="171"/>
  <c r="E14" i="171"/>
  <c r="R10" i="171"/>
  <c r="R5" i="171"/>
  <c r="U10" i="171"/>
  <c r="N10" i="171"/>
  <c r="N5" i="171"/>
  <c r="Q10" i="171"/>
  <c r="J10" i="171"/>
  <c r="J5" i="171"/>
  <c r="M10" i="171"/>
  <c r="F10" i="171"/>
  <c r="F5" i="171"/>
  <c r="I10" i="171"/>
  <c r="B10" i="171"/>
  <c r="B5" i="171"/>
  <c r="E10" i="171"/>
  <c r="R9" i="171"/>
  <c r="U9" i="171"/>
  <c r="N9" i="171"/>
  <c r="Q9" i="171"/>
  <c r="J9" i="171"/>
  <c r="M9" i="171"/>
  <c r="F9" i="171"/>
  <c r="I9" i="171"/>
  <c r="B9" i="171"/>
  <c r="E9" i="171"/>
  <c r="R8" i="171"/>
  <c r="U8" i="171"/>
  <c r="N8" i="171"/>
  <c r="Q8" i="171"/>
  <c r="J8" i="171"/>
  <c r="M8" i="171"/>
  <c r="F8" i="171"/>
  <c r="I8" i="171"/>
  <c r="B8" i="171"/>
  <c r="E8" i="171"/>
  <c r="R7" i="171"/>
  <c r="U7" i="171"/>
  <c r="N7" i="171"/>
  <c r="Q7" i="171"/>
  <c r="J7" i="171"/>
  <c r="M7" i="171"/>
  <c r="F7" i="171"/>
  <c r="I7" i="171"/>
  <c r="B7" i="171"/>
  <c r="E7" i="171"/>
  <c r="R6" i="171"/>
  <c r="U6" i="171"/>
  <c r="N6" i="171"/>
  <c r="Q6" i="171"/>
  <c r="J6" i="171"/>
  <c r="M6" i="171"/>
  <c r="F6" i="171"/>
  <c r="I6" i="171"/>
  <c r="B6" i="171"/>
  <c r="E6" i="171"/>
  <c r="U5" i="171"/>
  <c r="Q5" i="171"/>
  <c r="M5" i="171"/>
  <c r="I5" i="171"/>
  <c r="E5" i="171"/>
  <c r="J5" i="169"/>
  <c r="J6" i="169"/>
  <c r="J8" i="169"/>
  <c r="J9" i="169"/>
  <c r="J10" i="169"/>
  <c r="J15" i="169"/>
  <c r="J16" i="169"/>
  <c r="J20" i="169"/>
  <c r="J4" i="169"/>
  <c r="K47" i="169"/>
  <c r="B47" i="169"/>
  <c r="F5" i="169"/>
  <c r="H5" i="169"/>
  <c r="L5" i="169"/>
  <c r="N5" i="169"/>
  <c r="P5" i="169"/>
  <c r="B5" i="169"/>
  <c r="F6" i="169"/>
  <c r="H6" i="169"/>
  <c r="L6" i="169"/>
  <c r="N6" i="169"/>
  <c r="P6" i="169"/>
  <c r="B6" i="169"/>
  <c r="L7" i="169"/>
  <c r="N7" i="169"/>
  <c r="P7" i="169"/>
  <c r="B7" i="169"/>
  <c r="F8" i="169"/>
  <c r="H8" i="169"/>
  <c r="L8" i="169"/>
  <c r="N8" i="169"/>
  <c r="P8" i="169"/>
  <c r="B8" i="169"/>
  <c r="L9" i="169"/>
  <c r="N9" i="169"/>
  <c r="P9" i="169"/>
  <c r="B9" i="169"/>
  <c r="H10" i="169"/>
  <c r="L10" i="169"/>
  <c r="N10" i="169"/>
  <c r="P10" i="169"/>
  <c r="B10" i="169"/>
  <c r="B11" i="169"/>
  <c r="B12" i="169"/>
  <c r="B13" i="169"/>
  <c r="B14" i="169"/>
  <c r="F15" i="169"/>
  <c r="H15" i="169"/>
  <c r="L15" i="169"/>
  <c r="N15" i="169"/>
  <c r="P15" i="169"/>
  <c r="B15" i="169"/>
  <c r="H16" i="169"/>
  <c r="L16" i="169"/>
  <c r="N16" i="169"/>
  <c r="P16" i="169"/>
  <c r="B16" i="169"/>
  <c r="B17" i="169"/>
  <c r="H18" i="169"/>
  <c r="N18" i="169"/>
  <c r="P18" i="169"/>
  <c r="B18" i="169"/>
  <c r="B19" i="169"/>
  <c r="N20" i="169"/>
  <c r="P20" i="169"/>
  <c r="B20" i="169"/>
  <c r="B21" i="169"/>
  <c r="B22" i="169"/>
  <c r="B23" i="169"/>
  <c r="B24" i="169"/>
  <c r="B25" i="169"/>
  <c r="B26" i="169"/>
  <c r="B27" i="169"/>
  <c r="B28" i="169"/>
  <c r="B29" i="169"/>
  <c r="B30" i="169"/>
  <c r="P31" i="169"/>
  <c r="B31" i="169"/>
  <c r="B32" i="169"/>
  <c r="L33" i="169"/>
  <c r="N33" i="169"/>
  <c r="B33" i="169"/>
  <c r="B34" i="169"/>
  <c r="B35" i="169"/>
  <c r="B36" i="169"/>
  <c r="B37" i="169"/>
  <c r="B38" i="169"/>
  <c r="B39" i="169"/>
  <c r="B40" i="169"/>
  <c r="B41" i="169"/>
  <c r="B42" i="169"/>
  <c r="B43" i="169"/>
  <c r="B44" i="169"/>
  <c r="B45" i="169"/>
  <c r="B46" i="169"/>
  <c r="B4" i="169"/>
  <c r="C47" i="169"/>
  <c r="P4" i="169"/>
  <c r="Q46" i="169"/>
  <c r="C46" i="169"/>
  <c r="N4" i="169"/>
  <c r="O45" i="169"/>
  <c r="C45" i="169"/>
  <c r="O44" i="169"/>
  <c r="C44" i="169"/>
  <c r="O43" i="169"/>
  <c r="C43" i="169"/>
  <c r="Q42" i="169"/>
  <c r="O42" i="169"/>
  <c r="C42" i="169"/>
  <c r="Q41" i="169"/>
  <c r="L4" i="169"/>
  <c r="M41" i="169"/>
  <c r="C41" i="169"/>
  <c r="Q40" i="169"/>
  <c r="O40" i="169"/>
  <c r="C40" i="169"/>
  <c r="Q39" i="169"/>
  <c r="O39" i="169"/>
  <c r="H4" i="169"/>
  <c r="I39" i="169"/>
  <c r="C39" i="169"/>
  <c r="Q38" i="169"/>
  <c r="O38" i="169"/>
  <c r="C38" i="169"/>
  <c r="Q37" i="169"/>
  <c r="O37" i="169"/>
  <c r="C37" i="169"/>
  <c r="Q36" i="169"/>
  <c r="O36" i="169"/>
  <c r="M36" i="169"/>
  <c r="K36" i="169"/>
  <c r="I36" i="169"/>
  <c r="C36" i="169"/>
  <c r="Q35" i="169"/>
  <c r="O35" i="169"/>
  <c r="M35" i="169"/>
  <c r="C35" i="169"/>
  <c r="Q34" i="169"/>
  <c r="M34" i="169"/>
  <c r="C34" i="169"/>
  <c r="Q33" i="169"/>
  <c r="O33" i="169"/>
  <c r="M33" i="169"/>
  <c r="K33" i="169"/>
  <c r="C33" i="169"/>
  <c r="Q32" i="169"/>
  <c r="O32" i="169"/>
  <c r="M32" i="169"/>
  <c r="K32" i="169"/>
  <c r="F4" i="169"/>
  <c r="G32" i="169"/>
  <c r="C32" i="169"/>
  <c r="Q31" i="169"/>
  <c r="O31" i="169"/>
  <c r="M31" i="169"/>
  <c r="K31" i="169"/>
  <c r="I31" i="169"/>
  <c r="C31" i="169"/>
  <c r="Q30" i="169"/>
  <c r="O30" i="169"/>
  <c r="M30" i="169"/>
  <c r="K30" i="169"/>
  <c r="I30" i="169"/>
  <c r="G30" i="169"/>
  <c r="C30" i="169"/>
  <c r="Q29" i="169"/>
  <c r="O29" i="169"/>
  <c r="M29" i="169"/>
  <c r="C29" i="169"/>
  <c r="Q28" i="169"/>
  <c r="O28" i="169"/>
  <c r="M28" i="169"/>
  <c r="I28" i="169"/>
  <c r="C28" i="169"/>
  <c r="Q27" i="169"/>
  <c r="O27" i="169"/>
  <c r="M27" i="169"/>
  <c r="C27" i="169"/>
  <c r="Q26" i="169"/>
  <c r="O26" i="169"/>
  <c r="M26" i="169"/>
  <c r="K26" i="169"/>
  <c r="C26" i="169"/>
  <c r="Q25" i="169"/>
  <c r="O25" i="169"/>
  <c r="M25" i="169"/>
  <c r="K25" i="169"/>
  <c r="C25" i="169"/>
  <c r="Q24" i="169"/>
  <c r="O24" i="169"/>
  <c r="M24" i="169"/>
  <c r="K24" i="169"/>
  <c r="I24" i="169"/>
  <c r="G24" i="169"/>
  <c r="C24" i="169"/>
  <c r="Q23" i="169"/>
  <c r="O23" i="169"/>
  <c r="M23" i="169"/>
  <c r="K23" i="169"/>
  <c r="I23" i="169"/>
  <c r="G23" i="169"/>
  <c r="C23" i="169"/>
  <c r="Q22" i="169"/>
  <c r="O22" i="169"/>
  <c r="M22" i="169"/>
  <c r="K22" i="169"/>
  <c r="I22" i="169"/>
  <c r="G22" i="169"/>
  <c r="C22" i="169"/>
  <c r="Q21" i="169"/>
  <c r="O21" i="169"/>
  <c r="M21" i="169"/>
  <c r="K21" i="169"/>
  <c r="I21" i="169"/>
  <c r="G21" i="169"/>
  <c r="C21" i="169"/>
  <c r="Q20" i="169"/>
  <c r="O20" i="169"/>
  <c r="M20" i="169"/>
  <c r="K20" i="169"/>
  <c r="C20" i="169"/>
  <c r="Q19" i="169"/>
  <c r="O19" i="169"/>
  <c r="M19" i="169"/>
  <c r="K19" i="169"/>
  <c r="I19" i="169"/>
  <c r="G19" i="169"/>
  <c r="C19" i="169"/>
  <c r="Q18" i="169"/>
  <c r="O18" i="169"/>
  <c r="M18" i="169"/>
  <c r="K18" i="169"/>
  <c r="I18" i="169"/>
  <c r="C18" i="169"/>
  <c r="Q17" i="169"/>
  <c r="O17" i="169"/>
  <c r="M17" i="169"/>
  <c r="K17" i="169"/>
  <c r="I17" i="169"/>
  <c r="G17" i="169"/>
  <c r="C17" i="169"/>
  <c r="Q16" i="169"/>
  <c r="O16" i="169"/>
  <c r="M16" i="169"/>
  <c r="K16" i="169"/>
  <c r="I16" i="169"/>
  <c r="C16" i="169"/>
  <c r="Q15" i="169"/>
  <c r="O15" i="169"/>
  <c r="M15" i="169"/>
  <c r="K15" i="169"/>
  <c r="I15" i="169"/>
  <c r="G15" i="169"/>
  <c r="C15" i="169"/>
  <c r="Q14" i="169"/>
  <c r="O14" i="169"/>
  <c r="M14" i="169"/>
  <c r="K14" i="169"/>
  <c r="I14" i="169"/>
  <c r="G14" i="169"/>
  <c r="C14" i="169"/>
  <c r="Q13" i="169"/>
  <c r="O13" i="169"/>
  <c r="M13" i="169"/>
  <c r="K13" i="169"/>
  <c r="I13" i="169"/>
  <c r="G13" i="169"/>
  <c r="C13" i="169"/>
  <c r="Q12" i="169"/>
  <c r="O12" i="169"/>
  <c r="M12" i="169"/>
  <c r="K12" i="169"/>
  <c r="I12" i="169"/>
  <c r="G12" i="169"/>
  <c r="C12" i="169"/>
  <c r="Q11" i="169"/>
  <c r="O11" i="169"/>
  <c r="M11" i="169"/>
  <c r="K11" i="169"/>
  <c r="I11" i="169"/>
  <c r="G11" i="169"/>
  <c r="C11" i="169"/>
  <c r="Q10" i="169"/>
  <c r="O10" i="169"/>
  <c r="M10" i="169"/>
  <c r="K10" i="169"/>
  <c r="I10" i="169"/>
  <c r="G10" i="169"/>
  <c r="C10" i="169"/>
  <c r="Q9" i="169"/>
  <c r="O9" i="169"/>
  <c r="M9" i="169"/>
  <c r="K9" i="169"/>
  <c r="I9" i="169"/>
  <c r="G9" i="169"/>
  <c r="C9" i="169"/>
  <c r="Q8" i="169"/>
  <c r="O8" i="169"/>
  <c r="M8" i="169"/>
  <c r="K8" i="169"/>
  <c r="I8" i="169"/>
  <c r="G8" i="169"/>
  <c r="D4" i="169"/>
  <c r="E8" i="169"/>
  <c r="C8" i="169"/>
  <c r="Q7" i="169"/>
  <c r="O7" i="169"/>
  <c r="M7" i="169"/>
  <c r="K7" i="169"/>
  <c r="I7" i="169"/>
  <c r="G7" i="169"/>
  <c r="E7" i="169"/>
  <c r="C7" i="169"/>
  <c r="Q6" i="169"/>
  <c r="O6" i="169"/>
  <c r="M6" i="169"/>
  <c r="K6" i="169"/>
  <c r="I6" i="169"/>
  <c r="G6" i="169"/>
  <c r="E6" i="169"/>
  <c r="C6" i="169"/>
  <c r="Q5" i="169"/>
  <c r="O5" i="169"/>
  <c r="M5" i="169"/>
  <c r="K5" i="169"/>
  <c r="I5" i="169"/>
  <c r="G5" i="169"/>
  <c r="C5" i="169"/>
  <c r="Q4" i="169"/>
  <c r="O4" i="169"/>
  <c r="M4" i="169"/>
  <c r="K4" i="169"/>
  <c r="I4" i="169"/>
  <c r="G4" i="169"/>
  <c r="E4" i="169"/>
  <c r="C4" i="169"/>
  <c r="J16" i="168"/>
  <c r="K25" i="168"/>
  <c r="H16" i="168"/>
  <c r="I25" i="168"/>
  <c r="F16" i="168"/>
  <c r="G25" i="168"/>
  <c r="D16" i="168"/>
  <c r="E25" i="168"/>
  <c r="B16" i="168"/>
  <c r="C25" i="168"/>
  <c r="K24" i="168"/>
  <c r="I24" i="168"/>
  <c r="G24" i="168"/>
  <c r="E24" i="168"/>
  <c r="C24" i="168"/>
  <c r="K23" i="168"/>
  <c r="I23" i="168"/>
  <c r="G23" i="168"/>
  <c r="E23" i="168"/>
  <c r="C23" i="168"/>
  <c r="K22" i="168"/>
  <c r="I22" i="168"/>
  <c r="G22" i="168"/>
  <c r="E22" i="168"/>
  <c r="C22" i="168"/>
  <c r="K21" i="168"/>
  <c r="I21" i="168"/>
  <c r="G21" i="168"/>
  <c r="E21" i="168"/>
  <c r="C21" i="168"/>
  <c r="K20" i="168"/>
  <c r="I20" i="168"/>
  <c r="G20" i="168"/>
  <c r="E20" i="168"/>
  <c r="C20" i="168"/>
  <c r="K19" i="168"/>
  <c r="I19" i="168"/>
  <c r="G19" i="168"/>
  <c r="E19" i="168"/>
  <c r="C19" i="168"/>
  <c r="K18" i="168"/>
  <c r="I18" i="168"/>
  <c r="G18" i="168"/>
  <c r="E18" i="168"/>
  <c r="C18" i="168"/>
  <c r="K17" i="168"/>
  <c r="I17" i="168"/>
  <c r="G17" i="168"/>
  <c r="E17" i="168"/>
  <c r="C17" i="168"/>
  <c r="K16" i="168"/>
  <c r="I16" i="168"/>
  <c r="G16" i="168"/>
  <c r="E16" i="168"/>
  <c r="C16" i="168"/>
  <c r="J4" i="168"/>
  <c r="K13" i="168"/>
  <c r="H4" i="168"/>
  <c r="I13" i="168"/>
  <c r="F4" i="168"/>
  <c r="G13" i="168"/>
  <c r="D4" i="168"/>
  <c r="E13" i="168"/>
  <c r="B5" i="168"/>
  <c r="B6" i="168"/>
  <c r="B4" i="168"/>
  <c r="C13" i="168"/>
  <c r="K12" i="168"/>
  <c r="I12" i="168"/>
  <c r="G12" i="168"/>
  <c r="E12" i="168"/>
  <c r="C12" i="168"/>
  <c r="K11" i="168"/>
  <c r="I11" i="168"/>
  <c r="G11" i="168"/>
  <c r="E11" i="168"/>
  <c r="C11" i="168"/>
  <c r="K10" i="168"/>
  <c r="I10" i="168"/>
  <c r="G10" i="168"/>
  <c r="E10" i="168"/>
  <c r="C10" i="168"/>
  <c r="K9" i="168"/>
  <c r="I9" i="168"/>
  <c r="G9" i="168"/>
  <c r="E9" i="168"/>
  <c r="C9" i="168"/>
  <c r="K8" i="168"/>
  <c r="I8" i="168"/>
  <c r="G8" i="168"/>
  <c r="E8" i="168"/>
  <c r="C8" i="168"/>
  <c r="K7" i="168"/>
  <c r="I7" i="168"/>
  <c r="G7" i="168"/>
  <c r="E7" i="168"/>
  <c r="C7" i="168"/>
  <c r="K6" i="168"/>
  <c r="I6" i="168"/>
  <c r="G6" i="168"/>
  <c r="E6" i="168"/>
  <c r="C6" i="168"/>
  <c r="K5" i="168"/>
  <c r="I5" i="168"/>
  <c r="G5" i="168"/>
  <c r="E5" i="168"/>
  <c r="C5" i="168"/>
  <c r="K4" i="168"/>
  <c r="I4" i="168"/>
  <c r="G4" i="168"/>
  <c r="E4" i="168"/>
  <c r="C4" i="168"/>
  <c r="R5" i="167"/>
  <c r="R6" i="167"/>
  <c r="R7" i="167"/>
  <c r="R8" i="167"/>
  <c r="R9" i="167"/>
  <c r="R10" i="167"/>
  <c r="R11" i="167"/>
  <c r="R12" i="167"/>
  <c r="R13" i="167"/>
  <c r="R14" i="167"/>
  <c r="R15" i="167"/>
  <c r="R16" i="167"/>
  <c r="R17" i="167"/>
  <c r="R18" i="167"/>
  <c r="R19" i="167"/>
  <c r="R20" i="167"/>
  <c r="R21" i="167"/>
  <c r="R22" i="167"/>
  <c r="R23" i="167"/>
  <c r="R24" i="167"/>
  <c r="R25" i="167"/>
  <c r="R26" i="167"/>
  <c r="R27" i="167"/>
  <c r="R28" i="167"/>
  <c r="R29" i="167"/>
  <c r="R30" i="167"/>
  <c r="R31" i="167"/>
  <c r="R32" i="167"/>
  <c r="R33" i="167"/>
  <c r="R34" i="167"/>
  <c r="R35" i="167"/>
  <c r="R36" i="167"/>
  <c r="R37" i="167"/>
  <c r="R38" i="167"/>
  <c r="R43" i="167"/>
  <c r="R45" i="167"/>
  <c r="R47" i="167"/>
  <c r="R64" i="167"/>
  <c r="R4" i="167"/>
  <c r="S70" i="167"/>
  <c r="P5" i="167"/>
  <c r="P6" i="167"/>
  <c r="P7" i="167"/>
  <c r="P8" i="167"/>
  <c r="P9" i="167"/>
  <c r="P10" i="167"/>
  <c r="P11" i="167"/>
  <c r="P12" i="167"/>
  <c r="P13" i="167"/>
  <c r="P14" i="167"/>
  <c r="P15" i="167"/>
  <c r="P16" i="167"/>
  <c r="P17" i="167"/>
  <c r="P18" i="167"/>
  <c r="P20" i="167"/>
  <c r="P21" i="167"/>
  <c r="P22" i="167"/>
  <c r="P23" i="167"/>
  <c r="P24" i="167"/>
  <c r="P25" i="167"/>
  <c r="P26" i="167"/>
  <c r="P28" i="167"/>
  <c r="P30" i="167"/>
  <c r="P31" i="167"/>
  <c r="P32" i="167"/>
  <c r="P33" i="167"/>
  <c r="P34" i="167"/>
  <c r="P35" i="167"/>
  <c r="P36" i="167"/>
  <c r="P38" i="167"/>
  <c r="P39" i="167"/>
  <c r="P40" i="167"/>
  <c r="P41" i="167"/>
  <c r="P48" i="167"/>
  <c r="P67" i="167"/>
  <c r="P4" i="167"/>
  <c r="Q70" i="167"/>
  <c r="D5" i="167"/>
  <c r="D6" i="167"/>
  <c r="D7" i="167"/>
  <c r="D8" i="167"/>
  <c r="D9" i="167"/>
  <c r="D10" i="167"/>
  <c r="D11" i="167"/>
  <c r="D12" i="167"/>
  <c r="D13" i="167"/>
  <c r="D14" i="167"/>
  <c r="D15" i="167"/>
  <c r="D16" i="167"/>
  <c r="D17" i="167"/>
  <c r="D18" i="167"/>
  <c r="D20" i="167"/>
  <c r="D21" i="167"/>
  <c r="D22" i="167"/>
  <c r="D23" i="167"/>
  <c r="D25" i="167"/>
  <c r="D26" i="167"/>
  <c r="D27" i="167"/>
  <c r="D28" i="167"/>
  <c r="D30" i="167"/>
  <c r="D31" i="167"/>
  <c r="D32" i="167"/>
  <c r="D33" i="167"/>
  <c r="D34" i="167"/>
  <c r="D36" i="167"/>
  <c r="D38" i="167"/>
  <c r="D39" i="167"/>
  <c r="D40" i="167"/>
  <c r="D42" i="167"/>
  <c r="D43" i="167"/>
  <c r="D45" i="167"/>
  <c r="D54" i="167"/>
  <c r="D64" i="167"/>
  <c r="D65" i="167"/>
  <c r="D4" i="167"/>
  <c r="E69" i="167"/>
  <c r="Q68" i="167"/>
  <c r="L5" i="167"/>
  <c r="L6" i="167"/>
  <c r="L7" i="167"/>
  <c r="L8" i="167"/>
  <c r="L9" i="167"/>
  <c r="L10" i="167"/>
  <c r="L11" i="167"/>
  <c r="L12" i="167"/>
  <c r="L13" i="167"/>
  <c r="L14" i="167"/>
  <c r="L15" i="167"/>
  <c r="L16" i="167"/>
  <c r="L17" i="167"/>
  <c r="L18" i="167"/>
  <c r="L19" i="167"/>
  <c r="L21" i="167"/>
  <c r="L22" i="167"/>
  <c r="L23" i="167"/>
  <c r="L24" i="167"/>
  <c r="L25" i="167"/>
  <c r="L26" i="167"/>
  <c r="L27" i="167"/>
  <c r="L30" i="167"/>
  <c r="L31" i="167"/>
  <c r="L32" i="167"/>
  <c r="L33" i="167"/>
  <c r="L34" i="167"/>
  <c r="L35" i="167"/>
  <c r="L36" i="167"/>
  <c r="L38" i="167"/>
  <c r="L39" i="167"/>
  <c r="L40" i="167"/>
  <c r="L46" i="167"/>
  <c r="L4" i="167"/>
  <c r="M68" i="167"/>
  <c r="S67" i="167"/>
  <c r="Q67" i="167"/>
  <c r="N67" i="167"/>
  <c r="N5" i="167"/>
  <c r="N6" i="167"/>
  <c r="N7" i="167"/>
  <c r="N8" i="167"/>
  <c r="N9" i="167"/>
  <c r="N10" i="167"/>
  <c r="N11" i="167"/>
  <c r="N12" i="167"/>
  <c r="N13" i="167"/>
  <c r="N14" i="167"/>
  <c r="N15" i="167"/>
  <c r="N16" i="167"/>
  <c r="N17" i="167"/>
  <c r="N18" i="167"/>
  <c r="N20" i="167"/>
  <c r="N21" i="167"/>
  <c r="N22" i="167"/>
  <c r="N23" i="167"/>
  <c r="N24" i="167"/>
  <c r="N25" i="167"/>
  <c r="N28" i="167"/>
  <c r="N30" i="167"/>
  <c r="N31" i="167"/>
  <c r="N32" i="167"/>
  <c r="N33" i="167"/>
  <c r="N34" i="167"/>
  <c r="N35" i="167"/>
  <c r="N36" i="167"/>
  <c r="N37" i="167"/>
  <c r="N39" i="167"/>
  <c r="N40" i="167"/>
  <c r="N42" i="167"/>
  <c r="N54" i="167"/>
  <c r="N4" i="167"/>
  <c r="O67" i="167"/>
  <c r="F5" i="167"/>
  <c r="F6" i="167"/>
  <c r="F7" i="167"/>
  <c r="F8" i="167"/>
  <c r="F9" i="167"/>
  <c r="F10" i="167"/>
  <c r="F11" i="167"/>
  <c r="F12" i="167"/>
  <c r="F13" i="167"/>
  <c r="F14" i="167"/>
  <c r="F15" i="167"/>
  <c r="F16" i="167"/>
  <c r="F17" i="167"/>
  <c r="F18" i="167"/>
  <c r="F20" i="167"/>
  <c r="F21" i="167"/>
  <c r="F22" i="167"/>
  <c r="F23" i="167"/>
  <c r="F24" i="167"/>
  <c r="F25" i="167"/>
  <c r="F26" i="167"/>
  <c r="F28" i="167"/>
  <c r="F30" i="167"/>
  <c r="F31" i="167"/>
  <c r="F32" i="167"/>
  <c r="F33" i="167"/>
  <c r="F34" i="167"/>
  <c r="F35" i="167"/>
  <c r="F38" i="167"/>
  <c r="F39" i="167"/>
  <c r="F40" i="167"/>
  <c r="F42" i="167"/>
  <c r="F45" i="167"/>
  <c r="F4" i="167"/>
  <c r="G67" i="167"/>
  <c r="E67" i="167"/>
  <c r="B67" i="167"/>
  <c r="B5" i="167"/>
  <c r="B6" i="167"/>
  <c r="B7" i="167"/>
  <c r="B8" i="167"/>
  <c r="B9" i="167"/>
  <c r="B10" i="167"/>
  <c r="B11" i="167"/>
  <c r="B12" i="167"/>
  <c r="B13" i="167"/>
  <c r="B14" i="167"/>
  <c r="B15" i="167"/>
  <c r="B16" i="167"/>
  <c r="B17" i="167"/>
  <c r="B18" i="167"/>
  <c r="B19" i="167"/>
  <c r="B20" i="167"/>
  <c r="B21" i="167"/>
  <c r="B22" i="167"/>
  <c r="B25" i="167"/>
  <c r="B26" i="167"/>
  <c r="B27" i="167"/>
  <c r="B28" i="167"/>
  <c r="B30" i="167"/>
  <c r="B31" i="167"/>
  <c r="B32" i="167"/>
  <c r="B33" i="167"/>
  <c r="B34" i="167"/>
  <c r="B35" i="167"/>
  <c r="B36" i="167"/>
  <c r="B37" i="167"/>
  <c r="B38" i="167"/>
  <c r="B39" i="167"/>
  <c r="B40" i="167"/>
  <c r="B42" i="167"/>
  <c r="B43" i="167"/>
  <c r="B44" i="167"/>
  <c r="B45" i="167"/>
  <c r="B54" i="167"/>
  <c r="B64" i="167"/>
  <c r="B65" i="167"/>
  <c r="B4" i="167"/>
  <c r="C67" i="167"/>
  <c r="M66" i="167"/>
  <c r="S65" i="167"/>
  <c r="M65" i="167"/>
  <c r="H5" i="167"/>
  <c r="H6" i="167"/>
  <c r="H7" i="167"/>
  <c r="H8" i="167"/>
  <c r="H9" i="167"/>
  <c r="H10" i="167"/>
  <c r="H11" i="167"/>
  <c r="H12" i="167"/>
  <c r="H13" i="167"/>
  <c r="H14" i="167"/>
  <c r="H15" i="167"/>
  <c r="H16" i="167"/>
  <c r="H17" i="167"/>
  <c r="H18" i="167"/>
  <c r="H20" i="167"/>
  <c r="H21" i="167"/>
  <c r="H22" i="167"/>
  <c r="H23" i="167"/>
  <c r="H24" i="167"/>
  <c r="H25" i="167"/>
  <c r="H26" i="167"/>
  <c r="H27" i="167"/>
  <c r="H28" i="167"/>
  <c r="H30" i="167"/>
  <c r="H31" i="167"/>
  <c r="H33" i="167"/>
  <c r="H35" i="167"/>
  <c r="H36" i="167"/>
  <c r="H39" i="167"/>
  <c r="H40" i="167"/>
  <c r="H44" i="167"/>
  <c r="H45" i="167"/>
  <c r="H4" i="167"/>
  <c r="I65" i="167"/>
  <c r="G65" i="167"/>
  <c r="E65" i="167"/>
  <c r="C65" i="167"/>
  <c r="S64" i="167"/>
  <c r="G64" i="167"/>
  <c r="E64" i="167"/>
  <c r="C64" i="167"/>
  <c r="O63" i="167"/>
  <c r="E63" i="167"/>
  <c r="C63" i="167"/>
  <c r="Q62" i="167"/>
  <c r="C62" i="167"/>
  <c r="C61" i="167"/>
  <c r="C60" i="167"/>
  <c r="G59" i="167"/>
  <c r="C59" i="167"/>
  <c r="Q58" i="167"/>
  <c r="O58" i="167"/>
  <c r="J5" i="167"/>
  <c r="J6" i="167"/>
  <c r="J7" i="167"/>
  <c r="J8" i="167"/>
  <c r="J9" i="167"/>
  <c r="J10" i="167"/>
  <c r="J11" i="167"/>
  <c r="J12" i="167"/>
  <c r="J13" i="167"/>
  <c r="J14" i="167"/>
  <c r="J15" i="167"/>
  <c r="J16" i="167"/>
  <c r="J17" i="167"/>
  <c r="J18" i="167"/>
  <c r="J20" i="167"/>
  <c r="J21" i="167"/>
  <c r="J22" i="167"/>
  <c r="J23" i="167"/>
  <c r="J24" i="167"/>
  <c r="J25" i="167"/>
  <c r="J26" i="167"/>
  <c r="J27" i="167"/>
  <c r="J28" i="167"/>
  <c r="J30" i="167"/>
  <c r="J31" i="167"/>
  <c r="J32" i="167"/>
  <c r="J33" i="167"/>
  <c r="J34" i="167"/>
  <c r="J35" i="167"/>
  <c r="J36" i="167"/>
  <c r="J38" i="167"/>
  <c r="J39" i="167"/>
  <c r="J40" i="167"/>
  <c r="J42" i="167"/>
  <c r="J44" i="167"/>
  <c r="J45" i="167"/>
  <c r="J4" i="167"/>
  <c r="K58" i="167"/>
  <c r="I58" i="167"/>
  <c r="G58" i="167"/>
  <c r="M57" i="167"/>
  <c r="I56" i="167"/>
  <c r="S55" i="167"/>
  <c r="M55" i="167"/>
  <c r="C55" i="167"/>
  <c r="S54" i="167"/>
  <c r="Q54" i="167"/>
  <c r="O54" i="167"/>
  <c r="M54" i="167"/>
  <c r="K54" i="167"/>
  <c r="E54" i="167"/>
  <c r="C54" i="167"/>
  <c r="Q53" i="167"/>
  <c r="O53" i="167"/>
  <c r="M53" i="167"/>
  <c r="O52" i="167"/>
  <c r="M52" i="167"/>
  <c r="G52" i="167"/>
  <c r="C51" i="167"/>
  <c r="M50" i="167"/>
  <c r="O49" i="167"/>
  <c r="M49" i="167"/>
  <c r="I49" i="167"/>
  <c r="E49" i="167"/>
  <c r="Q48" i="167"/>
  <c r="I48" i="167"/>
  <c r="E48" i="167"/>
  <c r="T47" i="167"/>
  <c r="T5" i="167"/>
  <c r="T6" i="167"/>
  <c r="T7" i="167"/>
  <c r="T8" i="167"/>
  <c r="T9" i="167"/>
  <c r="T10" i="167"/>
  <c r="T11" i="167"/>
  <c r="T12" i="167"/>
  <c r="T13" i="167"/>
  <c r="T14" i="167"/>
  <c r="T15" i="167"/>
  <c r="T16" i="167"/>
  <c r="T17" i="167"/>
  <c r="T18" i="167"/>
  <c r="T19" i="167"/>
  <c r="T20" i="167"/>
  <c r="T21" i="167"/>
  <c r="T22" i="167"/>
  <c r="T23" i="167"/>
  <c r="T24" i="167"/>
  <c r="T25" i="167"/>
  <c r="T26" i="167"/>
  <c r="T27" i="167"/>
  <c r="T28" i="167"/>
  <c r="T29" i="167"/>
  <c r="T30" i="167"/>
  <c r="T31" i="167"/>
  <c r="T32" i="167"/>
  <c r="T33" i="167"/>
  <c r="T34" i="167"/>
  <c r="T35" i="167"/>
  <c r="T36" i="167"/>
  <c r="T37" i="167"/>
  <c r="T38" i="167"/>
  <c r="T39" i="167"/>
  <c r="T40" i="167"/>
  <c r="T41" i="167"/>
  <c r="T42" i="167"/>
  <c r="T43" i="167"/>
  <c r="T44" i="167"/>
  <c r="T45" i="167"/>
  <c r="T46" i="167"/>
  <c r="T4" i="167"/>
  <c r="U47" i="167"/>
  <c r="S47" i="167"/>
  <c r="Q47" i="167"/>
  <c r="U46" i="167"/>
  <c r="M46" i="167"/>
  <c r="K46" i="167"/>
  <c r="G46" i="167"/>
  <c r="C46" i="167"/>
  <c r="U45" i="167"/>
  <c r="S45" i="167"/>
  <c r="O45" i="167"/>
  <c r="M45" i="167"/>
  <c r="K45" i="167"/>
  <c r="I45" i="167"/>
  <c r="G45" i="167"/>
  <c r="E45" i="167"/>
  <c r="C45" i="167"/>
  <c r="U44" i="167"/>
  <c r="Q44" i="167"/>
  <c r="O44" i="167"/>
  <c r="M44" i="167"/>
  <c r="K44" i="167"/>
  <c r="I44" i="167"/>
  <c r="G44" i="167"/>
  <c r="E44" i="167"/>
  <c r="C44" i="167"/>
  <c r="U43" i="167"/>
  <c r="S43" i="167"/>
  <c r="Q43" i="167"/>
  <c r="O43" i="167"/>
  <c r="M43" i="167"/>
  <c r="I43" i="167"/>
  <c r="G43" i="167"/>
  <c r="E43" i="167"/>
  <c r="C43" i="167"/>
  <c r="U42" i="167"/>
  <c r="Q42" i="167"/>
  <c r="O42" i="167"/>
  <c r="M42" i="167"/>
  <c r="K42" i="167"/>
  <c r="I42" i="167"/>
  <c r="G42" i="167"/>
  <c r="E42" i="167"/>
  <c r="C42" i="167"/>
  <c r="U41" i="167"/>
  <c r="S41" i="167"/>
  <c r="Q41" i="167"/>
  <c r="M41" i="167"/>
  <c r="U40" i="167"/>
  <c r="S40" i="167"/>
  <c r="Q40" i="167"/>
  <c r="O40" i="167"/>
  <c r="M40" i="167"/>
  <c r="K40" i="167"/>
  <c r="I40" i="167"/>
  <c r="G40" i="167"/>
  <c r="E40" i="167"/>
  <c r="C40" i="167"/>
  <c r="U39" i="167"/>
  <c r="S39" i="167"/>
  <c r="Q39" i="167"/>
  <c r="O39" i="167"/>
  <c r="M39" i="167"/>
  <c r="K39" i="167"/>
  <c r="I39" i="167"/>
  <c r="G39" i="167"/>
  <c r="E39" i="167"/>
  <c r="C39" i="167"/>
  <c r="U38" i="167"/>
  <c r="S38" i="167"/>
  <c r="Q38" i="167"/>
  <c r="O38" i="167"/>
  <c r="M38" i="167"/>
  <c r="K38" i="167"/>
  <c r="I38" i="167"/>
  <c r="G38" i="167"/>
  <c r="E38" i="167"/>
  <c r="C38" i="167"/>
  <c r="U37" i="167"/>
  <c r="S37" i="167"/>
  <c r="Q37" i="167"/>
  <c r="O37" i="167"/>
  <c r="M37" i="167"/>
  <c r="K37" i="167"/>
  <c r="I37" i="167"/>
  <c r="G37" i="167"/>
  <c r="E37" i="167"/>
  <c r="C37" i="167"/>
  <c r="U36" i="167"/>
  <c r="S36" i="167"/>
  <c r="Q36" i="167"/>
  <c r="O36" i="167"/>
  <c r="M36" i="167"/>
  <c r="K36" i="167"/>
  <c r="I36" i="167"/>
  <c r="G36" i="167"/>
  <c r="E36" i="167"/>
  <c r="C36" i="167"/>
  <c r="U35" i="167"/>
  <c r="S35" i="167"/>
  <c r="Q35" i="167"/>
  <c r="O35" i="167"/>
  <c r="M35" i="167"/>
  <c r="K35" i="167"/>
  <c r="I35" i="167"/>
  <c r="G35" i="167"/>
  <c r="E35" i="167"/>
  <c r="C35" i="167"/>
  <c r="U34" i="167"/>
  <c r="S34" i="167"/>
  <c r="Q34" i="167"/>
  <c r="O34" i="167"/>
  <c r="M34" i="167"/>
  <c r="K34" i="167"/>
  <c r="I34" i="167"/>
  <c r="G34" i="167"/>
  <c r="E34" i="167"/>
  <c r="C34" i="167"/>
  <c r="U33" i="167"/>
  <c r="S33" i="167"/>
  <c r="Q33" i="167"/>
  <c r="O33" i="167"/>
  <c r="M33" i="167"/>
  <c r="K33" i="167"/>
  <c r="I33" i="167"/>
  <c r="G33" i="167"/>
  <c r="E33" i="167"/>
  <c r="C33" i="167"/>
  <c r="U32" i="167"/>
  <c r="S32" i="167"/>
  <c r="Q32" i="167"/>
  <c r="O32" i="167"/>
  <c r="M32" i="167"/>
  <c r="K32" i="167"/>
  <c r="I32" i="167"/>
  <c r="G32" i="167"/>
  <c r="E32" i="167"/>
  <c r="C32" i="167"/>
  <c r="U31" i="167"/>
  <c r="S31" i="167"/>
  <c r="Q31" i="167"/>
  <c r="O31" i="167"/>
  <c r="M31" i="167"/>
  <c r="K31" i="167"/>
  <c r="I31" i="167"/>
  <c r="G31" i="167"/>
  <c r="E31" i="167"/>
  <c r="C31" i="167"/>
  <c r="U30" i="167"/>
  <c r="S30" i="167"/>
  <c r="Q30" i="167"/>
  <c r="O30" i="167"/>
  <c r="M30" i="167"/>
  <c r="K30" i="167"/>
  <c r="I30" i="167"/>
  <c r="G30" i="167"/>
  <c r="E30" i="167"/>
  <c r="C30" i="167"/>
  <c r="U29" i="167"/>
  <c r="S29" i="167"/>
  <c r="U28" i="167"/>
  <c r="S28" i="167"/>
  <c r="Q28" i="167"/>
  <c r="O28" i="167"/>
  <c r="M28" i="167"/>
  <c r="K28" i="167"/>
  <c r="I28" i="167"/>
  <c r="G28" i="167"/>
  <c r="E28" i="167"/>
  <c r="C28" i="167"/>
  <c r="U27" i="167"/>
  <c r="S27" i="167"/>
  <c r="Q27" i="167"/>
  <c r="O27" i="167"/>
  <c r="M27" i="167"/>
  <c r="K27" i="167"/>
  <c r="I27" i="167"/>
  <c r="G27" i="167"/>
  <c r="E27" i="167"/>
  <c r="C27" i="167"/>
  <c r="U26" i="167"/>
  <c r="S26" i="167"/>
  <c r="Q26" i="167"/>
  <c r="O26" i="167"/>
  <c r="M26" i="167"/>
  <c r="K26" i="167"/>
  <c r="I26" i="167"/>
  <c r="G26" i="167"/>
  <c r="E26" i="167"/>
  <c r="C26" i="167"/>
  <c r="U25" i="167"/>
  <c r="S25" i="167"/>
  <c r="Q25" i="167"/>
  <c r="O25" i="167"/>
  <c r="M25" i="167"/>
  <c r="K25" i="167"/>
  <c r="I25" i="167"/>
  <c r="G25" i="167"/>
  <c r="E25" i="167"/>
  <c r="C25" i="167"/>
  <c r="U24" i="167"/>
  <c r="S24" i="167"/>
  <c r="Q24" i="167"/>
  <c r="O24" i="167"/>
  <c r="M24" i="167"/>
  <c r="K24" i="167"/>
  <c r="I24" i="167"/>
  <c r="G24" i="167"/>
  <c r="E24" i="167"/>
  <c r="C24" i="167"/>
  <c r="U23" i="167"/>
  <c r="S23" i="167"/>
  <c r="Q23" i="167"/>
  <c r="O23" i="167"/>
  <c r="M23" i="167"/>
  <c r="K23" i="167"/>
  <c r="I23" i="167"/>
  <c r="G23" i="167"/>
  <c r="E23" i="167"/>
  <c r="C23" i="167"/>
  <c r="U22" i="167"/>
  <c r="S22" i="167"/>
  <c r="Q22" i="167"/>
  <c r="O22" i="167"/>
  <c r="M22" i="167"/>
  <c r="K22" i="167"/>
  <c r="I22" i="167"/>
  <c r="G22" i="167"/>
  <c r="E22" i="167"/>
  <c r="C22" i="167"/>
  <c r="U21" i="167"/>
  <c r="S21" i="167"/>
  <c r="Q21" i="167"/>
  <c r="O21" i="167"/>
  <c r="M21" i="167"/>
  <c r="K21" i="167"/>
  <c r="I21" i="167"/>
  <c r="G21" i="167"/>
  <c r="E21" i="167"/>
  <c r="C21" i="167"/>
  <c r="U20" i="167"/>
  <c r="S20" i="167"/>
  <c r="Q20" i="167"/>
  <c r="O20" i="167"/>
  <c r="M20" i="167"/>
  <c r="K20" i="167"/>
  <c r="I20" i="167"/>
  <c r="G20" i="167"/>
  <c r="E20" i="167"/>
  <c r="C20" i="167"/>
  <c r="U19" i="167"/>
  <c r="S19" i="167"/>
  <c r="Q19" i="167"/>
  <c r="O19" i="167"/>
  <c r="M19" i="167"/>
  <c r="K19" i="167"/>
  <c r="I19" i="167"/>
  <c r="G19" i="167"/>
  <c r="E19" i="167"/>
  <c r="C19" i="167"/>
  <c r="U18" i="167"/>
  <c r="S18" i="167"/>
  <c r="Q18" i="167"/>
  <c r="O18" i="167"/>
  <c r="M18" i="167"/>
  <c r="K18" i="167"/>
  <c r="I18" i="167"/>
  <c r="G18" i="167"/>
  <c r="E18" i="167"/>
  <c r="C18" i="167"/>
  <c r="U17" i="167"/>
  <c r="S17" i="167"/>
  <c r="Q17" i="167"/>
  <c r="O17" i="167"/>
  <c r="M17" i="167"/>
  <c r="K17" i="167"/>
  <c r="I17" i="167"/>
  <c r="G17" i="167"/>
  <c r="E17" i="167"/>
  <c r="C17" i="167"/>
  <c r="U16" i="167"/>
  <c r="S16" i="167"/>
  <c r="Q16" i="167"/>
  <c r="O16" i="167"/>
  <c r="M16" i="167"/>
  <c r="K16" i="167"/>
  <c r="I16" i="167"/>
  <c r="G16" i="167"/>
  <c r="E16" i="167"/>
  <c r="C16" i="167"/>
  <c r="U15" i="167"/>
  <c r="S15" i="167"/>
  <c r="Q15" i="167"/>
  <c r="O15" i="167"/>
  <c r="M15" i="167"/>
  <c r="K15" i="167"/>
  <c r="I15" i="167"/>
  <c r="G15" i="167"/>
  <c r="E15" i="167"/>
  <c r="C15" i="167"/>
  <c r="U14" i="167"/>
  <c r="S14" i="167"/>
  <c r="Q14" i="167"/>
  <c r="O14" i="167"/>
  <c r="M14" i="167"/>
  <c r="K14" i="167"/>
  <c r="I14" i="167"/>
  <c r="G14" i="167"/>
  <c r="E14" i="167"/>
  <c r="C14" i="167"/>
  <c r="U13" i="167"/>
  <c r="S13" i="167"/>
  <c r="Q13" i="167"/>
  <c r="O13" i="167"/>
  <c r="M13" i="167"/>
  <c r="K13" i="167"/>
  <c r="I13" i="167"/>
  <c r="G13" i="167"/>
  <c r="E13" i="167"/>
  <c r="C13" i="167"/>
  <c r="U12" i="167"/>
  <c r="S12" i="167"/>
  <c r="Q12" i="167"/>
  <c r="O12" i="167"/>
  <c r="M12" i="167"/>
  <c r="K12" i="167"/>
  <c r="I12" i="167"/>
  <c r="G12" i="167"/>
  <c r="E12" i="167"/>
  <c r="C12" i="167"/>
  <c r="U11" i="167"/>
  <c r="S11" i="167"/>
  <c r="Q11" i="167"/>
  <c r="O11" i="167"/>
  <c r="M11" i="167"/>
  <c r="K11" i="167"/>
  <c r="I11" i="167"/>
  <c r="G11" i="167"/>
  <c r="E11" i="167"/>
  <c r="C11" i="167"/>
  <c r="U10" i="167"/>
  <c r="S10" i="167"/>
  <c r="Q10" i="167"/>
  <c r="O10" i="167"/>
  <c r="M10" i="167"/>
  <c r="K10" i="167"/>
  <c r="I10" i="167"/>
  <c r="G10" i="167"/>
  <c r="E10" i="167"/>
  <c r="C10" i="167"/>
  <c r="U9" i="167"/>
  <c r="S9" i="167"/>
  <c r="Q9" i="167"/>
  <c r="O9" i="167"/>
  <c r="M9" i="167"/>
  <c r="K9" i="167"/>
  <c r="I9" i="167"/>
  <c r="G9" i="167"/>
  <c r="E9" i="167"/>
  <c r="C9" i="167"/>
  <c r="U8" i="167"/>
  <c r="S8" i="167"/>
  <c r="Q8" i="167"/>
  <c r="O8" i="167"/>
  <c r="M8" i="167"/>
  <c r="K8" i="167"/>
  <c r="I8" i="167"/>
  <c r="G8" i="167"/>
  <c r="E8" i="167"/>
  <c r="C8" i="167"/>
  <c r="U7" i="167"/>
  <c r="S7" i="167"/>
  <c r="Q7" i="167"/>
  <c r="O7" i="167"/>
  <c r="M7" i="167"/>
  <c r="K7" i="167"/>
  <c r="I7" i="167"/>
  <c r="G7" i="167"/>
  <c r="E7" i="167"/>
  <c r="C7" i="167"/>
  <c r="U6" i="167"/>
  <c r="S6" i="167"/>
  <c r="Q6" i="167"/>
  <c r="O6" i="167"/>
  <c r="M6" i="167"/>
  <c r="K6" i="167"/>
  <c r="I6" i="167"/>
  <c r="G6" i="167"/>
  <c r="E6" i="167"/>
  <c r="C6" i="167"/>
  <c r="U5" i="167"/>
  <c r="S5" i="167"/>
  <c r="Q5" i="167"/>
  <c r="O5" i="167"/>
  <c r="M5" i="167"/>
  <c r="K5" i="167"/>
  <c r="I5" i="167"/>
  <c r="G5" i="167"/>
  <c r="E5" i="167"/>
  <c r="C5" i="167"/>
  <c r="U4" i="167"/>
  <c r="S4" i="167"/>
  <c r="Q4" i="167"/>
  <c r="O4" i="167"/>
  <c r="M4" i="167"/>
  <c r="K4" i="167"/>
  <c r="I4" i="167"/>
  <c r="G4" i="167"/>
  <c r="E4" i="167"/>
  <c r="C4" i="167"/>
  <c r="M6" i="166"/>
  <c r="M15" i="166"/>
  <c r="P15" i="166"/>
  <c r="C15" i="166"/>
  <c r="D15" i="166"/>
  <c r="B15" i="166"/>
  <c r="L15" i="166"/>
  <c r="K15" i="166"/>
  <c r="I15" i="166"/>
  <c r="H15" i="166"/>
  <c r="C6" i="166"/>
  <c r="D6" i="166"/>
  <c r="B6" i="166"/>
  <c r="E15" i="166"/>
  <c r="M14" i="166"/>
  <c r="P14" i="166"/>
  <c r="C14" i="166"/>
  <c r="D14" i="166"/>
  <c r="B14" i="166"/>
  <c r="L14" i="166"/>
  <c r="K14" i="166"/>
  <c r="I14" i="166"/>
  <c r="H14" i="166"/>
  <c r="E14" i="166"/>
  <c r="M13" i="166"/>
  <c r="P13" i="166"/>
  <c r="C13" i="166"/>
  <c r="D13" i="166"/>
  <c r="B13" i="166"/>
  <c r="L13" i="166"/>
  <c r="K13" i="166"/>
  <c r="I13" i="166"/>
  <c r="H13" i="166"/>
  <c r="E13" i="166"/>
  <c r="M12" i="166"/>
  <c r="P12" i="166"/>
  <c r="C12" i="166"/>
  <c r="D12" i="166"/>
  <c r="B12" i="166"/>
  <c r="L12" i="166"/>
  <c r="K12" i="166"/>
  <c r="I12" i="166"/>
  <c r="H12" i="166"/>
  <c r="F12" i="166"/>
  <c r="E12" i="166"/>
  <c r="M11" i="166"/>
  <c r="P11" i="166"/>
  <c r="C11" i="166"/>
  <c r="D11" i="166"/>
  <c r="B11" i="166"/>
  <c r="L11" i="166"/>
  <c r="K11" i="166"/>
  <c r="I11" i="166"/>
  <c r="H11" i="166"/>
  <c r="E11" i="166"/>
  <c r="M10" i="166"/>
  <c r="P10" i="166"/>
  <c r="C10" i="166"/>
  <c r="D10" i="166"/>
  <c r="B10" i="166"/>
  <c r="L10" i="166"/>
  <c r="K10" i="166"/>
  <c r="I10" i="166"/>
  <c r="H10" i="166"/>
  <c r="E10" i="166"/>
  <c r="M9" i="166"/>
  <c r="P9" i="166"/>
  <c r="C9" i="166"/>
  <c r="D9" i="166"/>
  <c r="B9" i="166"/>
  <c r="L9" i="166"/>
  <c r="K9" i="166"/>
  <c r="I9" i="166"/>
  <c r="H9" i="166"/>
  <c r="E9" i="166"/>
  <c r="M8" i="166"/>
  <c r="P8" i="166"/>
  <c r="C8" i="166"/>
  <c r="D8" i="166"/>
  <c r="B8" i="166"/>
  <c r="L8" i="166"/>
  <c r="K8" i="166"/>
  <c r="I8" i="166"/>
  <c r="H8" i="166"/>
  <c r="E8" i="166"/>
  <c r="M7" i="166"/>
  <c r="P7" i="166"/>
  <c r="C7" i="166"/>
  <c r="D7" i="166"/>
  <c r="B7" i="166"/>
  <c r="L7" i="166"/>
  <c r="K7" i="166"/>
  <c r="I7" i="166"/>
  <c r="H7" i="166"/>
  <c r="E7" i="166"/>
  <c r="L6" i="166"/>
  <c r="K6" i="166"/>
  <c r="I6" i="166"/>
  <c r="H6" i="166"/>
  <c r="E6" i="166"/>
  <c r="I15" i="164"/>
  <c r="H15" i="164"/>
  <c r="G15" i="164"/>
  <c r="C15" i="164"/>
  <c r="I14" i="164"/>
  <c r="H14" i="164"/>
  <c r="G14" i="164"/>
  <c r="C14" i="164"/>
  <c r="I13" i="164"/>
  <c r="H13" i="164"/>
  <c r="G13" i="164"/>
  <c r="C13" i="164"/>
  <c r="I12" i="164"/>
  <c r="H12" i="164"/>
  <c r="G12" i="164"/>
  <c r="C12" i="164"/>
  <c r="I11" i="164"/>
  <c r="H11" i="164"/>
  <c r="G11" i="164"/>
  <c r="C11" i="164"/>
  <c r="I10" i="164"/>
  <c r="H10" i="164"/>
  <c r="G10" i="164"/>
  <c r="C10" i="164"/>
  <c r="I9" i="164"/>
  <c r="H9" i="164"/>
  <c r="G9" i="164"/>
  <c r="C9" i="164"/>
  <c r="I8" i="164"/>
  <c r="H8" i="164"/>
  <c r="G8" i="164"/>
  <c r="C8" i="164"/>
  <c r="I7" i="164"/>
  <c r="H7" i="164"/>
  <c r="G7" i="164"/>
  <c r="C7" i="164"/>
  <c r="G6" i="164"/>
  <c r="C6" i="164"/>
  <c r="U46" i="162"/>
  <c r="S46" i="162"/>
  <c r="Q46" i="162"/>
  <c r="O46" i="162"/>
  <c r="M46" i="162"/>
  <c r="K46" i="162"/>
  <c r="I46" i="162"/>
  <c r="G46" i="162"/>
  <c r="E46" i="162"/>
  <c r="C46" i="162"/>
  <c r="S45" i="162"/>
  <c r="O45" i="162"/>
  <c r="G45" i="162"/>
  <c r="E45" i="162"/>
  <c r="S44" i="162"/>
  <c r="M44" i="162"/>
  <c r="C44" i="162"/>
  <c r="S43" i="162"/>
  <c r="O43" i="162"/>
  <c r="G43" i="162"/>
  <c r="C43" i="162"/>
  <c r="U42" i="162"/>
  <c r="Q42" i="162"/>
  <c r="O42" i="162"/>
  <c r="M42" i="162"/>
  <c r="K42" i="162"/>
  <c r="I42" i="162"/>
  <c r="G42" i="162"/>
  <c r="E42" i="162"/>
  <c r="C42" i="162"/>
  <c r="U41" i="162"/>
  <c r="Q41" i="162"/>
  <c r="O41" i="162"/>
  <c r="M41" i="162"/>
  <c r="K41" i="162"/>
  <c r="I41" i="162"/>
  <c r="G41" i="162"/>
  <c r="E41" i="162"/>
  <c r="C41" i="162"/>
  <c r="U40" i="162"/>
  <c r="Q40" i="162"/>
  <c r="M40" i="162"/>
  <c r="I40" i="162"/>
  <c r="G40" i="162"/>
  <c r="E40" i="162"/>
  <c r="U39" i="162"/>
  <c r="S39" i="162"/>
  <c r="O39" i="162"/>
  <c r="M39" i="162"/>
  <c r="K39" i="162"/>
  <c r="U38" i="162"/>
  <c r="S38" i="162"/>
  <c r="Q38" i="162"/>
  <c r="O38" i="162"/>
  <c r="M38" i="162"/>
  <c r="K38" i="162"/>
  <c r="I38" i="162"/>
  <c r="G38" i="162"/>
  <c r="C38" i="162"/>
  <c r="U37" i="162"/>
  <c r="S37" i="162"/>
  <c r="Q37" i="162"/>
  <c r="O37" i="162"/>
  <c r="K37" i="162"/>
  <c r="I37" i="162"/>
  <c r="G37" i="162"/>
  <c r="E37" i="162"/>
  <c r="C37" i="162"/>
  <c r="U36" i="162"/>
  <c r="S36" i="162"/>
  <c r="M36" i="162"/>
  <c r="K36" i="162"/>
  <c r="G36" i="162"/>
  <c r="E36" i="162"/>
  <c r="C36" i="162"/>
  <c r="U35" i="162"/>
  <c r="Q35" i="162"/>
  <c r="O35" i="162"/>
  <c r="M35" i="162"/>
  <c r="K35" i="162"/>
  <c r="I35" i="162"/>
  <c r="G35" i="162"/>
  <c r="E35" i="162"/>
  <c r="C35" i="162"/>
  <c r="U34" i="162"/>
  <c r="O34" i="162"/>
  <c r="M34" i="162"/>
  <c r="K34" i="162"/>
  <c r="G34" i="162"/>
  <c r="E34" i="162"/>
  <c r="C34" i="162"/>
  <c r="U33" i="162"/>
  <c r="S33" i="162"/>
  <c r="Q33" i="162"/>
  <c r="O33" i="162"/>
  <c r="M33" i="162"/>
  <c r="K33" i="162"/>
  <c r="I33" i="162"/>
  <c r="G33" i="162"/>
  <c r="E33" i="162"/>
  <c r="C33" i="162"/>
  <c r="U32" i="162"/>
  <c r="S32" i="162"/>
  <c r="Q32" i="162"/>
  <c r="O32" i="162"/>
  <c r="M32" i="162"/>
  <c r="K32" i="162"/>
  <c r="I32" i="162"/>
  <c r="G32" i="162"/>
  <c r="E32" i="162"/>
  <c r="C32" i="162"/>
  <c r="U31" i="162"/>
  <c r="S31" i="162"/>
  <c r="Q31" i="162"/>
  <c r="O31" i="162"/>
  <c r="M31" i="162"/>
  <c r="K31" i="162"/>
  <c r="I31" i="162"/>
  <c r="G31" i="162"/>
  <c r="E31" i="162"/>
  <c r="C31" i="162"/>
  <c r="U30" i="162"/>
  <c r="S30" i="162"/>
  <c r="Q30" i="162"/>
  <c r="O30" i="162"/>
  <c r="M30" i="162"/>
  <c r="K30" i="162"/>
  <c r="I30" i="162"/>
  <c r="G30" i="162"/>
  <c r="E30" i="162"/>
  <c r="C30" i="162"/>
  <c r="U29" i="162"/>
  <c r="S29" i="162"/>
  <c r="Q29" i="162"/>
  <c r="O29" i="162"/>
  <c r="M29" i="162"/>
  <c r="K29" i="162"/>
  <c r="I29" i="162"/>
  <c r="G29" i="162"/>
  <c r="E29" i="162"/>
  <c r="C29" i="162"/>
  <c r="U28" i="162"/>
  <c r="S28" i="162"/>
  <c r="Q28" i="162"/>
  <c r="O28" i="162"/>
  <c r="M28" i="162"/>
  <c r="K28" i="162"/>
  <c r="I28" i="162"/>
  <c r="G28" i="162"/>
  <c r="E28" i="162"/>
  <c r="C28" i="162"/>
  <c r="U27" i="162"/>
  <c r="S27" i="162"/>
  <c r="Q27" i="162"/>
  <c r="O27" i="162"/>
  <c r="M27" i="162"/>
  <c r="K27" i="162"/>
  <c r="I27" i="162"/>
  <c r="G27" i="162"/>
  <c r="E27" i="162"/>
  <c r="C27" i="162"/>
  <c r="U26" i="162"/>
  <c r="S26" i="162"/>
  <c r="Q26" i="162"/>
  <c r="O26" i="162"/>
  <c r="M26" i="162"/>
  <c r="K26" i="162"/>
  <c r="I26" i="162"/>
  <c r="G26" i="162"/>
  <c r="E26" i="162"/>
  <c r="C26" i="162"/>
  <c r="U25" i="162"/>
  <c r="S25" i="162"/>
  <c r="Q25" i="162"/>
  <c r="O25" i="162"/>
  <c r="M25" i="162"/>
  <c r="K25" i="162"/>
  <c r="I25" i="162"/>
  <c r="G25" i="162"/>
  <c r="E25" i="162"/>
  <c r="C25" i="162"/>
  <c r="U24" i="162"/>
  <c r="S24" i="162"/>
  <c r="Q24" i="162"/>
  <c r="O24" i="162"/>
  <c r="M24" i="162"/>
  <c r="K24" i="162"/>
  <c r="I24" i="162"/>
  <c r="G24" i="162"/>
  <c r="E24" i="162"/>
  <c r="C24" i="162"/>
  <c r="U23" i="162"/>
  <c r="S23" i="162"/>
  <c r="Q23" i="162"/>
  <c r="O23" i="162"/>
  <c r="M23" i="162"/>
  <c r="K23" i="162"/>
  <c r="I23" i="162"/>
  <c r="G23" i="162"/>
  <c r="E23" i="162"/>
  <c r="C23" i="162"/>
  <c r="U22" i="162"/>
  <c r="S22" i="162"/>
  <c r="Q22" i="162"/>
  <c r="O22" i="162"/>
  <c r="M22" i="162"/>
  <c r="K22" i="162"/>
  <c r="I22" i="162"/>
  <c r="G22" i="162"/>
  <c r="E22" i="162"/>
  <c r="C22" i="162"/>
  <c r="U21" i="162"/>
  <c r="S21" i="162"/>
  <c r="Q21" i="162"/>
  <c r="O21" i="162"/>
  <c r="M21" i="162"/>
  <c r="K21" i="162"/>
  <c r="I21" i="162"/>
  <c r="G21" i="162"/>
  <c r="E21" i="162"/>
  <c r="C21" i="162"/>
  <c r="U20" i="162"/>
  <c r="S20" i="162"/>
  <c r="Q20" i="162"/>
  <c r="O20" i="162"/>
  <c r="M20" i="162"/>
  <c r="K20" i="162"/>
  <c r="I20" i="162"/>
  <c r="G20" i="162"/>
  <c r="E20" i="162"/>
  <c r="C20" i="162"/>
  <c r="U19" i="162"/>
  <c r="S19" i="162"/>
  <c r="Q19" i="162"/>
  <c r="O19" i="162"/>
  <c r="M19" i="162"/>
  <c r="K19" i="162"/>
  <c r="I19" i="162"/>
  <c r="G19" i="162"/>
  <c r="E19" i="162"/>
  <c r="C19" i="162"/>
  <c r="U18" i="162"/>
  <c r="S18" i="162"/>
  <c r="Q18" i="162"/>
  <c r="O18" i="162"/>
  <c r="M18" i="162"/>
  <c r="K18" i="162"/>
  <c r="I18" i="162"/>
  <c r="G18" i="162"/>
  <c r="E18" i="162"/>
  <c r="C18" i="162"/>
  <c r="U17" i="162"/>
  <c r="S17" i="162"/>
  <c r="Q17" i="162"/>
  <c r="O17" i="162"/>
  <c r="M17" i="162"/>
  <c r="K17" i="162"/>
  <c r="I17" i="162"/>
  <c r="G17" i="162"/>
  <c r="E17" i="162"/>
  <c r="C17" i="162"/>
  <c r="U16" i="162"/>
  <c r="S16" i="162"/>
  <c r="Q16" i="162"/>
  <c r="O16" i="162"/>
  <c r="M16" i="162"/>
  <c r="K16" i="162"/>
  <c r="I16" i="162"/>
  <c r="G16" i="162"/>
  <c r="E16" i="162"/>
  <c r="C16" i="162"/>
  <c r="U15" i="162"/>
  <c r="S15" i="162"/>
  <c r="Q15" i="162"/>
  <c r="O15" i="162"/>
  <c r="M15" i="162"/>
  <c r="K15" i="162"/>
  <c r="I15" i="162"/>
  <c r="G15" i="162"/>
  <c r="E15" i="162"/>
  <c r="U14" i="162"/>
  <c r="S14" i="162"/>
  <c r="Q14" i="162"/>
  <c r="O14" i="162"/>
  <c r="M14" i="162"/>
  <c r="K14" i="162"/>
  <c r="I14" i="162"/>
  <c r="G14" i="162"/>
  <c r="E14" i="162"/>
  <c r="C14" i="162"/>
  <c r="U13" i="162"/>
  <c r="S13" i="162"/>
  <c r="Q13" i="162"/>
  <c r="O13" i="162"/>
  <c r="M13" i="162"/>
  <c r="K13" i="162"/>
  <c r="I13" i="162"/>
  <c r="G13" i="162"/>
  <c r="E13" i="162"/>
  <c r="C13" i="162"/>
  <c r="U12" i="162"/>
  <c r="S12" i="162"/>
  <c r="Q12" i="162"/>
  <c r="O12" i="162"/>
  <c r="M12" i="162"/>
  <c r="K12" i="162"/>
  <c r="I12" i="162"/>
  <c r="G12" i="162"/>
  <c r="E12" i="162"/>
  <c r="C12" i="162"/>
  <c r="U11" i="162"/>
  <c r="S11" i="162"/>
  <c r="Q11" i="162"/>
  <c r="O11" i="162"/>
  <c r="M11" i="162"/>
  <c r="K11" i="162"/>
  <c r="I11" i="162"/>
  <c r="G11" i="162"/>
  <c r="E11" i="162"/>
  <c r="C11" i="162"/>
  <c r="U10" i="162"/>
  <c r="S10" i="162"/>
  <c r="Q10" i="162"/>
  <c r="O10" i="162"/>
  <c r="M10" i="162"/>
  <c r="K10" i="162"/>
  <c r="I10" i="162"/>
  <c r="G10" i="162"/>
  <c r="E10" i="162"/>
  <c r="C10" i="162"/>
  <c r="U9" i="162"/>
  <c r="S9" i="162"/>
  <c r="Q9" i="162"/>
  <c r="O9" i="162"/>
  <c r="M9" i="162"/>
  <c r="K9" i="162"/>
  <c r="I9" i="162"/>
  <c r="G9" i="162"/>
  <c r="E9" i="162"/>
  <c r="C9" i="162"/>
  <c r="U8" i="162"/>
  <c r="S8" i="162"/>
  <c r="Q8" i="162"/>
  <c r="O8" i="162"/>
  <c r="M8" i="162"/>
  <c r="K8" i="162"/>
  <c r="I8" i="162"/>
  <c r="G8" i="162"/>
  <c r="E8" i="162"/>
  <c r="C8" i="162"/>
  <c r="U7" i="162"/>
  <c r="S7" i="162"/>
  <c r="Q7" i="162"/>
  <c r="O7" i="162"/>
  <c r="M7" i="162"/>
  <c r="K7" i="162"/>
  <c r="I7" i="162"/>
  <c r="G7" i="162"/>
  <c r="E7" i="162"/>
  <c r="C7" i="162"/>
  <c r="U6" i="162"/>
  <c r="S6" i="162"/>
  <c r="Q6" i="162"/>
  <c r="O6" i="162"/>
  <c r="M6" i="162"/>
  <c r="K6" i="162"/>
  <c r="I6" i="162"/>
  <c r="G6" i="162"/>
  <c r="E6" i="162"/>
  <c r="C6" i="162"/>
  <c r="U5" i="162"/>
  <c r="S5" i="162"/>
  <c r="Q5" i="162"/>
  <c r="O5" i="162"/>
  <c r="M5" i="162"/>
  <c r="K5" i="162"/>
  <c r="I5" i="162"/>
  <c r="G5" i="162"/>
  <c r="E5" i="162"/>
  <c r="C5" i="162"/>
  <c r="U4" i="162"/>
  <c r="S4" i="162"/>
  <c r="Q4" i="162"/>
  <c r="O4" i="162"/>
  <c r="M4" i="162"/>
  <c r="K4" i="162"/>
  <c r="I4" i="162"/>
  <c r="G4" i="162"/>
  <c r="E4" i="162"/>
  <c r="C4" i="162"/>
  <c r="G16" i="161"/>
  <c r="D16" i="161"/>
  <c r="G15" i="161"/>
  <c r="D15" i="161"/>
  <c r="G14" i="161"/>
  <c r="D14" i="161"/>
  <c r="G13" i="161"/>
  <c r="D13" i="161"/>
  <c r="G12" i="161"/>
  <c r="D12" i="161"/>
  <c r="G11" i="161"/>
  <c r="D11" i="161"/>
  <c r="G10" i="161"/>
  <c r="D10" i="161"/>
  <c r="G9" i="161"/>
  <c r="D9" i="161"/>
  <c r="G8" i="161"/>
  <c r="D8" i="161"/>
  <c r="G7" i="161"/>
  <c r="D7" i="161"/>
  <c r="F6" i="161"/>
  <c r="G6" i="161"/>
  <c r="C6" i="161"/>
  <c r="D6" i="161"/>
  <c r="F5" i="161"/>
  <c r="G5" i="161"/>
  <c r="C5" i="161"/>
  <c r="D5" i="161"/>
  <c r="E17" i="158"/>
  <c r="B17" i="158"/>
  <c r="E16" i="158"/>
  <c r="B16" i="158"/>
  <c r="E15" i="158"/>
  <c r="B15" i="158"/>
  <c r="E14" i="158"/>
  <c r="B14" i="158"/>
  <c r="E13" i="158"/>
  <c r="B13" i="158"/>
  <c r="E12" i="158"/>
  <c r="B12" i="158"/>
  <c r="E11" i="158"/>
  <c r="B11" i="158"/>
  <c r="E10" i="158"/>
  <c r="B10" i="158"/>
  <c r="E9" i="158"/>
  <c r="B9" i="158"/>
  <c r="E8" i="158"/>
  <c r="B8" i="158"/>
  <c r="B15" i="157"/>
  <c r="B14" i="157"/>
  <c r="B13" i="157"/>
  <c r="B12" i="157"/>
  <c r="B11" i="157"/>
  <c r="B10" i="157"/>
  <c r="B9" i="157"/>
  <c r="B8" i="157"/>
  <c r="B7" i="157"/>
  <c r="B6" i="157"/>
  <c r="F9" i="156"/>
  <c r="E9" i="156"/>
  <c r="B16" i="155"/>
  <c r="B15" i="155"/>
  <c r="B14" i="155"/>
  <c r="B13" i="155"/>
  <c r="B12" i="155"/>
  <c r="B11" i="155"/>
  <c r="B10" i="155"/>
  <c r="B9" i="155"/>
  <c r="B8" i="155"/>
  <c r="D7" i="155"/>
  <c r="B7" i="155"/>
  <c r="G17" i="154"/>
  <c r="C17" i="154"/>
  <c r="G16" i="154"/>
  <c r="C16" i="154"/>
  <c r="G15" i="154"/>
  <c r="C15" i="154"/>
  <c r="G14" i="154"/>
  <c r="C14" i="154"/>
  <c r="G13" i="154"/>
  <c r="C13" i="154"/>
  <c r="G12" i="154"/>
  <c r="C12" i="154"/>
  <c r="G11" i="154"/>
  <c r="C11" i="154"/>
  <c r="G10" i="154"/>
  <c r="C10" i="154"/>
  <c r="G9" i="154"/>
  <c r="C9" i="154"/>
  <c r="G8" i="154"/>
  <c r="C8" i="154"/>
  <c r="P4" i="151"/>
  <c r="P25" i="151"/>
  <c r="O4" i="151"/>
  <c r="O25" i="151"/>
  <c r="M4" i="151"/>
  <c r="M25" i="151"/>
  <c r="L4" i="151"/>
  <c r="L25" i="151"/>
  <c r="J4" i="151"/>
  <c r="J25" i="151"/>
  <c r="I4" i="151"/>
  <c r="I25" i="151"/>
  <c r="G4" i="151"/>
  <c r="G25" i="151"/>
  <c r="F4" i="151"/>
  <c r="F25" i="151"/>
  <c r="D4" i="151"/>
  <c r="D25" i="151"/>
  <c r="C4" i="151"/>
  <c r="C25" i="151"/>
  <c r="Q4" i="151"/>
  <c r="Q23" i="151"/>
  <c r="P23" i="151"/>
  <c r="O23" i="151"/>
  <c r="N4" i="151"/>
  <c r="N23" i="151"/>
  <c r="M23" i="151"/>
  <c r="L23" i="151"/>
  <c r="J23" i="151"/>
  <c r="I23" i="151"/>
  <c r="G23" i="151"/>
  <c r="F23" i="151"/>
  <c r="D23" i="151"/>
  <c r="C23" i="151"/>
  <c r="G19" i="151"/>
  <c r="F19" i="151"/>
  <c r="D19" i="151"/>
  <c r="C19" i="151"/>
  <c r="P15" i="151"/>
  <c r="O15" i="151"/>
  <c r="D15" i="151"/>
  <c r="C15" i="151"/>
  <c r="P13" i="151"/>
  <c r="O13" i="151"/>
  <c r="N13" i="151"/>
  <c r="M13" i="151"/>
  <c r="L13" i="151"/>
  <c r="J13" i="151"/>
  <c r="I13" i="151"/>
  <c r="G13" i="151"/>
  <c r="F13" i="151"/>
  <c r="D13" i="151"/>
  <c r="C13" i="151"/>
  <c r="P11" i="151"/>
  <c r="O11" i="151"/>
  <c r="M11" i="151"/>
  <c r="L11" i="151"/>
  <c r="J11" i="151"/>
  <c r="I11" i="151"/>
  <c r="D11" i="151"/>
  <c r="C11" i="151"/>
  <c r="P9" i="151"/>
  <c r="O9" i="151"/>
  <c r="M9" i="151"/>
  <c r="L9" i="151"/>
  <c r="G9" i="151"/>
  <c r="F9" i="151"/>
  <c r="D9" i="151"/>
  <c r="C9" i="151"/>
  <c r="P7" i="151"/>
  <c r="O7" i="151"/>
  <c r="M7" i="151"/>
  <c r="L7" i="151"/>
  <c r="K4" i="151"/>
  <c r="K7" i="151"/>
  <c r="J7" i="151"/>
  <c r="I7" i="151"/>
  <c r="G7" i="151"/>
  <c r="F7" i="151"/>
  <c r="D7" i="151"/>
  <c r="C7" i="151"/>
  <c r="Q5" i="151"/>
  <c r="P5" i="151"/>
  <c r="O5" i="151"/>
  <c r="N5" i="151"/>
  <c r="M5" i="151"/>
  <c r="L5" i="151"/>
  <c r="K5" i="151"/>
  <c r="J5" i="151"/>
  <c r="I5" i="151"/>
  <c r="H5" i="151"/>
  <c r="G5" i="151"/>
  <c r="F5" i="151"/>
  <c r="E5" i="151"/>
  <c r="D5" i="151"/>
  <c r="C5" i="151"/>
  <c r="H4" i="151"/>
  <c r="E4" i="151"/>
  <c r="K15" i="149"/>
  <c r="N15" i="149"/>
  <c r="L15" i="149"/>
  <c r="C15" i="149"/>
  <c r="H15" i="149"/>
  <c r="F15" i="149"/>
  <c r="D15" i="149"/>
  <c r="B15" i="149"/>
  <c r="K14" i="149"/>
  <c r="N14" i="149"/>
  <c r="L14" i="149"/>
  <c r="C14" i="149"/>
  <c r="H14" i="149"/>
  <c r="F14" i="149"/>
  <c r="D14" i="149"/>
  <c r="B14" i="149"/>
  <c r="K13" i="149"/>
  <c r="P13" i="149"/>
  <c r="N13" i="149"/>
  <c r="L13" i="149"/>
  <c r="C13" i="149"/>
  <c r="H13" i="149"/>
  <c r="F13" i="149"/>
  <c r="D13" i="149"/>
  <c r="B13" i="149"/>
  <c r="K12" i="149"/>
  <c r="P12" i="149"/>
  <c r="N12" i="149"/>
  <c r="L12" i="149"/>
  <c r="C12" i="149"/>
  <c r="H12" i="149"/>
  <c r="F12" i="149"/>
  <c r="D12" i="149"/>
  <c r="B12" i="149"/>
  <c r="K11" i="149"/>
  <c r="P11" i="149"/>
  <c r="N11" i="149"/>
  <c r="L11" i="149"/>
  <c r="C11" i="149"/>
  <c r="H11" i="149"/>
  <c r="F11" i="149"/>
  <c r="D11" i="149"/>
  <c r="B11" i="149"/>
  <c r="K10" i="149"/>
  <c r="P10" i="149"/>
  <c r="N10" i="149"/>
  <c r="L10" i="149"/>
  <c r="C10" i="149"/>
  <c r="H10" i="149"/>
  <c r="F10" i="149"/>
  <c r="D10" i="149"/>
  <c r="B10" i="149"/>
  <c r="K9" i="149"/>
  <c r="P9" i="149"/>
  <c r="N9" i="149"/>
  <c r="L9" i="149"/>
  <c r="C9" i="149"/>
  <c r="H9" i="149"/>
  <c r="F9" i="149"/>
  <c r="D9" i="149"/>
  <c r="B9" i="149"/>
  <c r="K8" i="149"/>
  <c r="P8" i="149"/>
  <c r="N8" i="149"/>
  <c r="L8" i="149"/>
  <c r="C8" i="149"/>
  <c r="H8" i="149"/>
  <c r="F8" i="149"/>
  <c r="D8" i="149"/>
  <c r="B8" i="149"/>
  <c r="K7" i="149"/>
  <c r="P7" i="149"/>
  <c r="N7" i="149"/>
  <c r="L7" i="149"/>
  <c r="C7" i="149"/>
  <c r="H7" i="149"/>
  <c r="F7" i="149"/>
  <c r="D7" i="149"/>
  <c r="B7" i="149"/>
  <c r="K6" i="149"/>
  <c r="P6" i="149"/>
  <c r="N6" i="149"/>
  <c r="L6" i="149"/>
  <c r="C6" i="149"/>
  <c r="H6" i="149"/>
  <c r="F6" i="149"/>
  <c r="D6" i="149"/>
  <c r="B6" i="149"/>
  <c r="J4" i="147"/>
  <c r="K7" i="147"/>
  <c r="H4" i="147"/>
  <c r="I7" i="147"/>
  <c r="F4" i="147"/>
  <c r="G7" i="147"/>
  <c r="D4" i="147"/>
  <c r="E7" i="147"/>
  <c r="B4" i="147"/>
  <c r="C7" i="147"/>
  <c r="K6" i="147"/>
  <c r="I6" i="147"/>
  <c r="G6" i="147"/>
  <c r="E6" i="147"/>
  <c r="C6" i="147"/>
  <c r="I5" i="147"/>
  <c r="E5" i="147"/>
  <c r="C5" i="147"/>
  <c r="K4" i="147"/>
  <c r="I4" i="147"/>
  <c r="G4" i="147"/>
  <c r="E4" i="147"/>
  <c r="C4" i="147"/>
  <c r="H32" i="146"/>
  <c r="F32" i="146"/>
  <c r="H31" i="146"/>
  <c r="F31" i="146"/>
  <c r="H30" i="146"/>
  <c r="F30" i="146"/>
  <c r="H29" i="146"/>
  <c r="F29" i="146"/>
  <c r="H28" i="146"/>
  <c r="F28" i="146"/>
  <c r="H27" i="146"/>
  <c r="F27" i="146"/>
  <c r="H26" i="146"/>
  <c r="F26" i="146"/>
  <c r="H25" i="146"/>
  <c r="F25" i="146"/>
  <c r="H24" i="146"/>
  <c r="F24" i="146"/>
  <c r="H23" i="146"/>
  <c r="F23" i="146"/>
  <c r="G17" i="146"/>
  <c r="F17" i="146"/>
  <c r="D17" i="146"/>
  <c r="G16" i="146"/>
  <c r="F16" i="146"/>
  <c r="D16" i="146"/>
  <c r="G15" i="146"/>
  <c r="F15" i="146"/>
  <c r="D15" i="146"/>
  <c r="G14" i="146"/>
  <c r="F14" i="146"/>
  <c r="D14" i="146"/>
  <c r="G13" i="146"/>
  <c r="F13" i="146"/>
  <c r="D13" i="146"/>
  <c r="G12" i="146"/>
  <c r="F12" i="146"/>
  <c r="D12" i="146"/>
  <c r="G11" i="146"/>
  <c r="F11" i="146"/>
  <c r="D11" i="146"/>
  <c r="G10" i="146"/>
  <c r="F10" i="146"/>
  <c r="D10" i="146"/>
  <c r="G9" i="146"/>
  <c r="F9" i="146"/>
  <c r="D9" i="146"/>
  <c r="G8" i="146"/>
  <c r="F8" i="146"/>
  <c r="D8" i="146"/>
  <c r="B68" i="145"/>
  <c r="B67" i="145"/>
  <c r="B66" i="145"/>
  <c r="B65" i="145"/>
  <c r="B64" i="145"/>
  <c r="B35" i="145"/>
  <c r="B34" i="145"/>
  <c r="B33" i="145"/>
  <c r="B32" i="145"/>
  <c r="B31" i="145"/>
  <c r="W26" i="144"/>
  <c r="U26" i="144"/>
  <c r="S26" i="144"/>
  <c r="Q26" i="144"/>
  <c r="O26" i="144"/>
  <c r="M26" i="144"/>
  <c r="K26" i="144"/>
  <c r="I26" i="144"/>
  <c r="G26" i="144"/>
  <c r="E26" i="144"/>
  <c r="C26" i="144"/>
  <c r="W25" i="144"/>
  <c r="U25" i="144"/>
  <c r="S25" i="144"/>
  <c r="Q25" i="144"/>
  <c r="O25" i="144"/>
  <c r="M25" i="144"/>
  <c r="K25" i="144"/>
  <c r="I25" i="144"/>
  <c r="G25" i="144"/>
  <c r="E25" i="144"/>
  <c r="C25" i="144"/>
  <c r="B11" i="144"/>
  <c r="W24" i="144"/>
  <c r="U24" i="144"/>
  <c r="S24" i="144"/>
  <c r="Q24" i="144"/>
  <c r="O24" i="144"/>
  <c r="M24" i="144"/>
  <c r="K24" i="144"/>
  <c r="I24" i="144"/>
  <c r="G24" i="144"/>
  <c r="E24" i="144"/>
  <c r="C24" i="144"/>
  <c r="B10" i="144"/>
  <c r="W23" i="144"/>
  <c r="U23" i="144"/>
  <c r="S23" i="144"/>
  <c r="Q23" i="144"/>
  <c r="O23" i="144"/>
  <c r="M23" i="144"/>
  <c r="K23" i="144"/>
  <c r="I23" i="144"/>
  <c r="G23" i="144"/>
  <c r="E23" i="144"/>
  <c r="C23" i="144"/>
  <c r="B9" i="144"/>
  <c r="W22" i="144"/>
  <c r="U22" i="144"/>
  <c r="S22" i="144"/>
  <c r="Q22" i="144"/>
  <c r="O22" i="144"/>
  <c r="M22" i="144"/>
  <c r="K22" i="144"/>
  <c r="I22" i="144"/>
  <c r="G22" i="144"/>
  <c r="E22" i="144"/>
  <c r="C22" i="144"/>
  <c r="B8" i="144"/>
  <c r="W21" i="144"/>
  <c r="U21" i="144"/>
  <c r="S21" i="144"/>
  <c r="Q21" i="144"/>
  <c r="O21" i="144"/>
  <c r="M21" i="144"/>
  <c r="K21" i="144"/>
  <c r="I21" i="144"/>
  <c r="G21" i="144"/>
  <c r="E21" i="144"/>
  <c r="C21" i="144"/>
  <c r="B7" i="144"/>
  <c r="W20" i="144"/>
  <c r="U20" i="144"/>
  <c r="S20" i="144"/>
  <c r="Q20" i="144"/>
  <c r="O20" i="144"/>
  <c r="M20" i="144"/>
  <c r="K20" i="144"/>
  <c r="I20" i="144"/>
  <c r="G20" i="144"/>
  <c r="E20" i="144"/>
  <c r="C20" i="144"/>
  <c r="B6" i="144"/>
  <c r="W19" i="144"/>
  <c r="U19" i="144"/>
  <c r="S19" i="144"/>
  <c r="Q19" i="144"/>
  <c r="O19" i="144"/>
  <c r="M19" i="144"/>
  <c r="K19" i="144"/>
  <c r="I19" i="144"/>
  <c r="G19" i="144"/>
  <c r="E19" i="144"/>
  <c r="C19" i="144"/>
  <c r="B5" i="144"/>
  <c r="W18" i="144"/>
  <c r="U18" i="144"/>
  <c r="S18" i="144"/>
  <c r="Q18" i="144"/>
  <c r="O18" i="144"/>
  <c r="M18" i="144"/>
  <c r="K18" i="144"/>
  <c r="I18" i="144"/>
  <c r="G18" i="144"/>
  <c r="E18" i="144"/>
  <c r="C18" i="144"/>
  <c r="B4" i="144"/>
  <c r="W17" i="144"/>
  <c r="U17" i="144"/>
  <c r="S17" i="144"/>
  <c r="Q17" i="144"/>
  <c r="O17" i="144"/>
  <c r="M17" i="144"/>
  <c r="K17" i="144"/>
  <c r="I17" i="144"/>
  <c r="G17" i="144"/>
  <c r="E17" i="144"/>
  <c r="C17" i="144"/>
  <c r="W13" i="144"/>
  <c r="U13" i="144"/>
  <c r="S13" i="144"/>
  <c r="Q13" i="144"/>
  <c r="O13" i="144"/>
  <c r="M13" i="144"/>
  <c r="K13" i="144"/>
  <c r="I13" i="144"/>
  <c r="G13" i="144"/>
  <c r="D13" i="144"/>
  <c r="W12" i="144"/>
  <c r="U12" i="144"/>
  <c r="S12" i="144"/>
  <c r="Q12" i="144"/>
  <c r="O12" i="144"/>
  <c r="M12" i="144"/>
  <c r="K12" i="144"/>
  <c r="I12" i="144"/>
  <c r="G12" i="144"/>
  <c r="D12" i="144"/>
  <c r="W11" i="144"/>
  <c r="U11" i="144"/>
  <c r="S11" i="144"/>
  <c r="Q11" i="144"/>
  <c r="O11" i="144"/>
  <c r="M11" i="144"/>
  <c r="K11" i="144"/>
  <c r="I11" i="144"/>
  <c r="G11" i="144"/>
  <c r="D11" i="144"/>
  <c r="W10" i="144"/>
  <c r="U10" i="144"/>
  <c r="S10" i="144"/>
  <c r="Q10" i="144"/>
  <c r="O10" i="144"/>
  <c r="M10" i="144"/>
  <c r="K10" i="144"/>
  <c r="I10" i="144"/>
  <c r="G10" i="144"/>
  <c r="D10" i="144"/>
  <c r="W9" i="144"/>
  <c r="U9" i="144"/>
  <c r="S9" i="144"/>
  <c r="Q9" i="144"/>
  <c r="O9" i="144"/>
  <c r="M9" i="144"/>
  <c r="K9" i="144"/>
  <c r="I9" i="144"/>
  <c r="G9" i="144"/>
  <c r="D9" i="144"/>
  <c r="W8" i="144"/>
  <c r="U8" i="144"/>
  <c r="S8" i="144"/>
  <c r="Q8" i="144"/>
  <c r="O8" i="144"/>
  <c r="M8" i="144"/>
  <c r="K8" i="144"/>
  <c r="I8" i="144"/>
  <c r="G8" i="144"/>
  <c r="D8" i="144"/>
  <c r="W7" i="144"/>
  <c r="U7" i="144"/>
  <c r="S7" i="144"/>
  <c r="Q7" i="144"/>
  <c r="O7" i="144"/>
  <c r="M7" i="144"/>
  <c r="K7" i="144"/>
  <c r="I7" i="144"/>
  <c r="G7" i="144"/>
  <c r="D7" i="144"/>
  <c r="W6" i="144"/>
  <c r="U6" i="144"/>
  <c r="S6" i="144"/>
  <c r="Q6" i="144"/>
  <c r="O6" i="144"/>
  <c r="M6" i="144"/>
  <c r="K6" i="144"/>
  <c r="I6" i="144"/>
  <c r="G6" i="144"/>
  <c r="D6" i="144"/>
  <c r="W5" i="144"/>
  <c r="U5" i="144"/>
  <c r="S5" i="144"/>
  <c r="Q5" i="144"/>
  <c r="O5" i="144"/>
  <c r="M5" i="144"/>
  <c r="K5" i="144"/>
  <c r="I5" i="144"/>
  <c r="G5" i="144"/>
  <c r="D5" i="144"/>
  <c r="W4" i="144"/>
  <c r="U4" i="144"/>
  <c r="S4" i="144"/>
  <c r="Q4" i="144"/>
  <c r="O4" i="144"/>
  <c r="M4" i="144"/>
  <c r="K4" i="144"/>
  <c r="I4" i="144"/>
  <c r="G4" i="144"/>
  <c r="D4" i="144"/>
  <c r="P26" i="143"/>
  <c r="O26" i="143"/>
  <c r="M26" i="143"/>
  <c r="L26" i="143"/>
  <c r="J26" i="143"/>
  <c r="I26" i="143"/>
  <c r="G26" i="143"/>
  <c r="F26" i="143"/>
  <c r="D26" i="143"/>
  <c r="C26" i="143"/>
  <c r="P23" i="143"/>
  <c r="O23" i="143"/>
  <c r="N23" i="143"/>
  <c r="M23" i="143"/>
  <c r="L23" i="143"/>
  <c r="K23" i="143"/>
  <c r="J23" i="143"/>
  <c r="I23" i="143"/>
  <c r="H23" i="143"/>
  <c r="G23" i="143"/>
  <c r="F23" i="143"/>
  <c r="E23" i="143"/>
  <c r="D23" i="143"/>
  <c r="C23" i="143"/>
  <c r="P22" i="143"/>
  <c r="O22" i="143"/>
  <c r="N22" i="143"/>
  <c r="M22" i="143"/>
  <c r="L22" i="143"/>
  <c r="K22" i="143"/>
  <c r="J22" i="143"/>
  <c r="I22" i="143"/>
  <c r="H22" i="143"/>
  <c r="G22" i="143"/>
  <c r="F22" i="143"/>
  <c r="E22" i="143"/>
  <c r="D22" i="143"/>
  <c r="C22" i="143"/>
  <c r="Q4" i="143"/>
  <c r="P4" i="143"/>
  <c r="O4" i="143"/>
  <c r="N4" i="143"/>
  <c r="M4" i="143"/>
  <c r="L4" i="143"/>
  <c r="K4" i="143"/>
  <c r="J4" i="143"/>
  <c r="I4" i="143"/>
  <c r="H4" i="143"/>
  <c r="G4" i="143"/>
  <c r="F4" i="143"/>
  <c r="E4" i="143"/>
  <c r="D4" i="143"/>
  <c r="C4" i="143"/>
  <c r="S14" i="142"/>
  <c r="O14" i="142"/>
  <c r="K14" i="142"/>
  <c r="G14" i="142"/>
  <c r="C14" i="142"/>
  <c r="S13" i="142"/>
  <c r="O13" i="142"/>
  <c r="K13" i="142"/>
  <c r="G13" i="142"/>
  <c r="C13" i="142"/>
  <c r="S12" i="142"/>
  <c r="O12" i="142"/>
  <c r="K12" i="142"/>
  <c r="G12" i="142"/>
  <c r="C12" i="142"/>
  <c r="S11" i="142"/>
  <c r="O11" i="142"/>
  <c r="K11" i="142"/>
  <c r="G11" i="142"/>
  <c r="C11" i="142"/>
  <c r="S10" i="142"/>
  <c r="O10" i="142"/>
  <c r="K10" i="142"/>
  <c r="G10" i="142"/>
  <c r="C10" i="142"/>
  <c r="S9" i="142"/>
  <c r="O9" i="142"/>
  <c r="K9" i="142"/>
  <c r="G9" i="142"/>
  <c r="C9" i="142"/>
  <c r="S8" i="142"/>
  <c r="O8" i="142"/>
  <c r="K8" i="142"/>
  <c r="G8" i="142"/>
  <c r="C8" i="142"/>
  <c r="S7" i="142"/>
  <c r="O7" i="142"/>
  <c r="K7" i="142"/>
  <c r="G7" i="142"/>
  <c r="C7" i="142"/>
  <c r="S6" i="142"/>
  <c r="O6" i="142"/>
  <c r="K6" i="142"/>
  <c r="G6" i="142"/>
  <c r="C6" i="142"/>
  <c r="S5" i="142"/>
  <c r="O5" i="142"/>
  <c r="K5" i="142"/>
  <c r="G5" i="142"/>
  <c r="C5" i="142"/>
  <c r="C37" i="141"/>
  <c r="V37" i="141"/>
  <c r="T37" i="141"/>
  <c r="R37" i="141"/>
  <c r="P37" i="141"/>
  <c r="N37" i="141"/>
  <c r="L37" i="141"/>
  <c r="J37" i="141"/>
  <c r="H37" i="141"/>
  <c r="D37" i="141"/>
  <c r="C36" i="141"/>
  <c r="V36" i="141"/>
  <c r="T36" i="141"/>
  <c r="R36" i="141"/>
  <c r="P36" i="141"/>
  <c r="N36" i="141"/>
  <c r="L36" i="141"/>
  <c r="J36" i="141"/>
  <c r="H36" i="141"/>
  <c r="F36" i="141"/>
  <c r="D36" i="141"/>
  <c r="C35" i="141"/>
  <c r="V35" i="141"/>
  <c r="T35" i="141"/>
  <c r="R35" i="141"/>
  <c r="P35" i="141"/>
  <c r="N35" i="141"/>
  <c r="L35" i="141"/>
  <c r="J35" i="141"/>
  <c r="H35" i="141"/>
  <c r="F35" i="141"/>
  <c r="D35" i="141"/>
  <c r="C34" i="141"/>
  <c r="T34" i="141"/>
  <c r="R34" i="141"/>
  <c r="P34" i="141"/>
  <c r="N34" i="141"/>
  <c r="L34" i="141"/>
  <c r="J34" i="141"/>
  <c r="H34" i="141"/>
  <c r="F34" i="141"/>
  <c r="D34" i="141"/>
  <c r="C33" i="141"/>
  <c r="V33" i="141"/>
  <c r="T33" i="141"/>
  <c r="R33" i="141"/>
  <c r="P33" i="141"/>
  <c r="N33" i="141"/>
  <c r="L33" i="141"/>
  <c r="J33" i="141"/>
  <c r="H33" i="141"/>
  <c r="F33" i="141"/>
  <c r="D33" i="141"/>
  <c r="C32" i="141"/>
  <c r="V32" i="141"/>
  <c r="T32" i="141"/>
  <c r="R32" i="141"/>
  <c r="P32" i="141"/>
  <c r="N32" i="141"/>
  <c r="L32" i="141"/>
  <c r="J32" i="141"/>
  <c r="H32" i="141"/>
  <c r="F32" i="141"/>
  <c r="D32" i="141"/>
  <c r="C31" i="141"/>
  <c r="V31" i="141"/>
  <c r="T31" i="141"/>
  <c r="R31" i="141"/>
  <c r="P31" i="141"/>
  <c r="N31" i="141"/>
  <c r="L31" i="141"/>
  <c r="J31" i="141"/>
  <c r="H31" i="141"/>
  <c r="D31" i="141"/>
  <c r="C30" i="141"/>
  <c r="V30" i="141"/>
  <c r="T30" i="141"/>
  <c r="R30" i="141"/>
  <c r="P30" i="141"/>
  <c r="N30" i="141"/>
  <c r="L30" i="141"/>
  <c r="J30" i="141"/>
  <c r="H30" i="141"/>
  <c r="F30" i="141"/>
  <c r="D30" i="141"/>
  <c r="C29" i="141"/>
  <c r="V29" i="141"/>
  <c r="T29" i="141"/>
  <c r="R29" i="141"/>
  <c r="P29" i="141"/>
  <c r="N29" i="141"/>
  <c r="L29" i="141"/>
  <c r="J29" i="141"/>
  <c r="H29" i="141"/>
  <c r="F29" i="141"/>
  <c r="D29" i="141"/>
  <c r="C28" i="141"/>
  <c r="V28" i="141"/>
  <c r="T28" i="141"/>
  <c r="R28" i="141"/>
  <c r="P28" i="141"/>
  <c r="N28" i="141"/>
  <c r="L28" i="141"/>
  <c r="J28" i="141"/>
  <c r="H28" i="141"/>
  <c r="F28" i="141"/>
  <c r="D28" i="141"/>
  <c r="C27" i="141"/>
  <c r="V27" i="141"/>
  <c r="T27" i="141"/>
  <c r="R27" i="141"/>
  <c r="P27" i="141"/>
  <c r="N27" i="141"/>
  <c r="L27" i="141"/>
  <c r="J27" i="141"/>
  <c r="H27" i="141"/>
  <c r="F27" i="141"/>
  <c r="D27" i="141"/>
  <c r="C26" i="141"/>
  <c r="V26" i="141"/>
  <c r="T26" i="141"/>
  <c r="R26" i="141"/>
  <c r="P26" i="141"/>
  <c r="N26" i="141"/>
  <c r="L26" i="141"/>
  <c r="J26" i="141"/>
  <c r="H26" i="141"/>
  <c r="F26" i="141"/>
  <c r="D26" i="141"/>
  <c r="C25" i="141"/>
  <c r="V25" i="141"/>
  <c r="T25" i="141"/>
  <c r="R25" i="141"/>
  <c r="P25" i="141"/>
  <c r="N25" i="141"/>
  <c r="L25" i="141"/>
  <c r="J25" i="141"/>
  <c r="H25" i="141"/>
  <c r="F25" i="141"/>
  <c r="D25" i="141"/>
  <c r="C24" i="141"/>
  <c r="V24" i="141"/>
  <c r="T24" i="141"/>
  <c r="R24" i="141"/>
  <c r="P24" i="141"/>
  <c r="N24" i="141"/>
  <c r="L24" i="141"/>
  <c r="J24" i="141"/>
  <c r="H24" i="141"/>
  <c r="F24" i="141"/>
  <c r="D24" i="141"/>
  <c r="C23" i="141"/>
  <c r="V23" i="141"/>
  <c r="T23" i="141"/>
  <c r="R23" i="141"/>
  <c r="P23" i="141"/>
  <c r="N23" i="141"/>
  <c r="L23" i="141"/>
  <c r="J23" i="141"/>
  <c r="H23" i="141"/>
  <c r="F23" i="141"/>
  <c r="D23" i="141"/>
  <c r="C22" i="141"/>
  <c r="V22" i="141"/>
  <c r="T22" i="141"/>
  <c r="R22" i="141"/>
  <c r="P22" i="141"/>
  <c r="N22" i="141"/>
  <c r="L22" i="141"/>
  <c r="J22" i="141"/>
  <c r="H22" i="141"/>
  <c r="F22" i="141"/>
  <c r="D22" i="141"/>
  <c r="C21" i="141"/>
  <c r="V21" i="141"/>
  <c r="T21" i="141"/>
  <c r="R21" i="141"/>
  <c r="P21" i="141"/>
  <c r="N21" i="141"/>
  <c r="L21" i="141"/>
  <c r="J21" i="141"/>
  <c r="H21" i="141"/>
  <c r="F21" i="141"/>
  <c r="D21" i="141"/>
  <c r="C20" i="141"/>
  <c r="V20" i="141"/>
  <c r="T20" i="141"/>
  <c r="R20" i="141"/>
  <c r="P20" i="141"/>
  <c r="N20" i="141"/>
  <c r="L20" i="141"/>
  <c r="J20" i="141"/>
  <c r="H20" i="141"/>
  <c r="F20" i="141"/>
  <c r="D20" i="141"/>
  <c r="C19" i="141"/>
  <c r="V19" i="141"/>
  <c r="T19" i="141"/>
  <c r="R19" i="141"/>
  <c r="P19" i="141"/>
  <c r="N19" i="141"/>
  <c r="L19" i="141"/>
  <c r="J19" i="141"/>
  <c r="H19" i="141"/>
  <c r="F19" i="141"/>
  <c r="D19" i="141"/>
  <c r="C18" i="141"/>
  <c r="V18" i="141"/>
  <c r="T18" i="141"/>
  <c r="R18" i="141"/>
  <c r="P18" i="141"/>
  <c r="N18" i="141"/>
  <c r="L18" i="141"/>
  <c r="J18" i="141"/>
  <c r="H18" i="141"/>
  <c r="F18" i="141"/>
  <c r="D18" i="141"/>
  <c r="C17" i="141"/>
  <c r="V17" i="141"/>
  <c r="T17" i="141"/>
  <c r="R17" i="141"/>
  <c r="P17" i="141"/>
  <c r="N17" i="141"/>
  <c r="L17" i="141"/>
  <c r="J17" i="141"/>
  <c r="H17" i="141"/>
  <c r="F17" i="141"/>
  <c r="D17" i="141"/>
  <c r="C16" i="141"/>
  <c r="V16" i="141"/>
  <c r="T16" i="141"/>
  <c r="R16" i="141"/>
  <c r="P16" i="141"/>
  <c r="N16" i="141"/>
  <c r="L16" i="141"/>
  <c r="J16" i="141"/>
  <c r="H16" i="141"/>
  <c r="F16" i="141"/>
  <c r="D16" i="141"/>
  <c r="C15" i="141"/>
  <c r="V15" i="141"/>
  <c r="T15" i="141"/>
  <c r="R15" i="141"/>
  <c r="P15" i="141"/>
  <c r="N15" i="141"/>
  <c r="L15" i="141"/>
  <c r="J15" i="141"/>
  <c r="H15" i="141"/>
  <c r="F15" i="141"/>
  <c r="D15" i="141"/>
  <c r="C14" i="141"/>
  <c r="V14" i="141"/>
  <c r="T14" i="141"/>
  <c r="R14" i="141"/>
  <c r="P14" i="141"/>
  <c r="N14" i="141"/>
  <c r="L14" i="141"/>
  <c r="J14" i="141"/>
  <c r="H14" i="141"/>
  <c r="F14" i="141"/>
  <c r="D14" i="141"/>
  <c r="C13" i="141"/>
  <c r="V13" i="141"/>
  <c r="T13" i="141"/>
  <c r="R13" i="141"/>
  <c r="P13" i="141"/>
  <c r="N13" i="141"/>
  <c r="L13" i="141"/>
  <c r="J13" i="141"/>
  <c r="H13" i="141"/>
  <c r="F13" i="141"/>
  <c r="D13" i="141"/>
  <c r="C12" i="141"/>
  <c r="V12" i="141"/>
  <c r="T12" i="141"/>
  <c r="R12" i="141"/>
  <c r="P12" i="141"/>
  <c r="N12" i="141"/>
  <c r="L12" i="141"/>
  <c r="J12" i="141"/>
  <c r="H12" i="141"/>
  <c r="F12" i="141"/>
  <c r="D12" i="141"/>
  <c r="C11" i="141"/>
  <c r="V11" i="141"/>
  <c r="T11" i="141"/>
  <c r="R11" i="141"/>
  <c r="P11" i="141"/>
  <c r="N11" i="141"/>
  <c r="L11" i="141"/>
  <c r="J11" i="141"/>
  <c r="H11" i="141"/>
  <c r="F11" i="141"/>
  <c r="D11" i="141"/>
  <c r="C10" i="141"/>
  <c r="V10" i="141"/>
  <c r="T10" i="141"/>
  <c r="R10" i="141"/>
  <c r="P10" i="141"/>
  <c r="N10" i="141"/>
  <c r="L10" i="141"/>
  <c r="J10" i="141"/>
  <c r="H10" i="141"/>
  <c r="F10" i="141"/>
  <c r="D10" i="141"/>
  <c r="C9" i="141"/>
  <c r="V9" i="141"/>
  <c r="T9" i="141"/>
  <c r="R9" i="141"/>
  <c r="P9" i="141"/>
  <c r="N9" i="141"/>
  <c r="L9" i="141"/>
  <c r="J9" i="141"/>
  <c r="H9" i="141"/>
  <c r="F9" i="141"/>
  <c r="D9" i="141"/>
  <c r="C8" i="141"/>
  <c r="V8" i="141"/>
  <c r="T8" i="141"/>
  <c r="R8" i="141"/>
  <c r="P8" i="141"/>
  <c r="N8" i="141"/>
  <c r="L8" i="141"/>
  <c r="J8" i="141"/>
  <c r="H8" i="141"/>
  <c r="F8" i="141"/>
  <c r="D8" i="141"/>
  <c r="E22" i="140"/>
  <c r="Z23" i="140"/>
  <c r="D22" i="140"/>
  <c r="Y23" i="140"/>
  <c r="F22" i="140"/>
  <c r="C22" i="140"/>
  <c r="X23" i="140"/>
  <c r="W23" i="140"/>
  <c r="V23" i="140"/>
  <c r="U23" i="140"/>
  <c r="T23" i="140"/>
  <c r="S23" i="140"/>
  <c r="R23" i="140"/>
  <c r="Q23" i="140"/>
  <c r="P23" i="140"/>
  <c r="O23" i="140"/>
  <c r="N23" i="140"/>
  <c r="M23" i="140"/>
  <c r="L23" i="140"/>
  <c r="J23" i="140"/>
  <c r="I23" i="140"/>
  <c r="H23" i="140"/>
  <c r="G23" i="140"/>
  <c r="F23" i="140"/>
  <c r="E23" i="140"/>
  <c r="D23" i="140"/>
  <c r="C23" i="140"/>
  <c r="E20" i="140"/>
  <c r="Z21" i="140"/>
  <c r="D20" i="140"/>
  <c r="Y21" i="140"/>
  <c r="F20" i="140"/>
  <c r="C20" i="140"/>
  <c r="X21" i="140"/>
  <c r="W21" i="140"/>
  <c r="V21" i="140"/>
  <c r="U21" i="140"/>
  <c r="T21" i="140"/>
  <c r="S21" i="140"/>
  <c r="R21" i="140"/>
  <c r="Q21" i="140"/>
  <c r="P21" i="140"/>
  <c r="O21" i="140"/>
  <c r="N21" i="140"/>
  <c r="M21" i="140"/>
  <c r="L21" i="140"/>
  <c r="J21" i="140"/>
  <c r="I21" i="140"/>
  <c r="H21" i="140"/>
  <c r="G21" i="140"/>
  <c r="F21" i="140"/>
  <c r="E21" i="140"/>
  <c r="D21" i="140"/>
  <c r="C21" i="140"/>
  <c r="E18" i="140"/>
  <c r="Z19" i="140"/>
  <c r="D18" i="140"/>
  <c r="Y19" i="140"/>
  <c r="F18" i="140"/>
  <c r="C18" i="140"/>
  <c r="X19" i="140"/>
  <c r="W19" i="140"/>
  <c r="V19" i="140"/>
  <c r="U19" i="140"/>
  <c r="T19" i="140"/>
  <c r="S19" i="140"/>
  <c r="R19" i="140"/>
  <c r="Q19" i="140"/>
  <c r="P19" i="140"/>
  <c r="O19" i="140"/>
  <c r="N19" i="140"/>
  <c r="M19" i="140"/>
  <c r="L19" i="140"/>
  <c r="K19" i="140"/>
  <c r="J19" i="140"/>
  <c r="I19" i="140"/>
  <c r="H19" i="140"/>
  <c r="G19" i="140"/>
  <c r="F19" i="140"/>
  <c r="E19" i="140"/>
  <c r="D19" i="140"/>
  <c r="C19" i="140"/>
  <c r="E16" i="140"/>
  <c r="Z17" i="140"/>
  <c r="D16" i="140"/>
  <c r="Y17" i="140"/>
  <c r="F16" i="140"/>
  <c r="C16" i="140"/>
  <c r="X17" i="140"/>
  <c r="W17" i="140"/>
  <c r="V17" i="140"/>
  <c r="U17" i="140"/>
  <c r="T17" i="140"/>
  <c r="S17" i="140"/>
  <c r="R17" i="140"/>
  <c r="Q17" i="140"/>
  <c r="P17" i="140"/>
  <c r="O17" i="140"/>
  <c r="N17" i="140"/>
  <c r="M17" i="140"/>
  <c r="L17" i="140"/>
  <c r="H17" i="140"/>
  <c r="G17" i="140"/>
  <c r="F17" i="140"/>
  <c r="E17" i="140"/>
  <c r="D17" i="140"/>
  <c r="C17" i="140"/>
  <c r="E14" i="140"/>
  <c r="Z15" i="140"/>
  <c r="D14" i="140"/>
  <c r="Y15" i="140"/>
  <c r="F14" i="140"/>
  <c r="C14" i="140"/>
  <c r="X15" i="140"/>
  <c r="W15" i="140"/>
  <c r="V15" i="140"/>
  <c r="U15" i="140"/>
  <c r="T15" i="140"/>
  <c r="S15" i="140"/>
  <c r="R15" i="140"/>
  <c r="Q15" i="140"/>
  <c r="P15" i="140"/>
  <c r="O15" i="140"/>
  <c r="N15" i="140"/>
  <c r="M15" i="140"/>
  <c r="L15" i="140"/>
  <c r="H15" i="140"/>
  <c r="G15" i="140"/>
  <c r="F15" i="140"/>
  <c r="E15" i="140"/>
  <c r="D15" i="140"/>
  <c r="C15" i="140"/>
  <c r="E12" i="140"/>
  <c r="Z13" i="140"/>
  <c r="D12" i="140"/>
  <c r="Y13" i="140"/>
  <c r="F12" i="140"/>
  <c r="C12" i="140"/>
  <c r="X13" i="140"/>
  <c r="W13" i="140"/>
  <c r="V13" i="140"/>
  <c r="U13" i="140"/>
  <c r="T13" i="140"/>
  <c r="S13" i="140"/>
  <c r="R13" i="140"/>
  <c r="Q13" i="140"/>
  <c r="P13" i="140"/>
  <c r="O13" i="140"/>
  <c r="N13" i="140"/>
  <c r="M13" i="140"/>
  <c r="L13" i="140"/>
  <c r="H13" i="140"/>
  <c r="G13" i="140"/>
  <c r="F13" i="140"/>
  <c r="E13" i="140"/>
  <c r="D13" i="140"/>
  <c r="C13" i="140"/>
  <c r="E10" i="140"/>
  <c r="Z11" i="140"/>
  <c r="D10" i="140"/>
  <c r="Y11" i="140"/>
  <c r="F10" i="140"/>
  <c r="C10" i="140"/>
  <c r="X11" i="140"/>
  <c r="W11" i="140"/>
  <c r="V11" i="140"/>
  <c r="U11" i="140"/>
  <c r="T11" i="140"/>
  <c r="S11" i="140"/>
  <c r="R11" i="140"/>
  <c r="Q11" i="140"/>
  <c r="P11" i="140"/>
  <c r="O11" i="140"/>
  <c r="N11" i="140"/>
  <c r="M11" i="140"/>
  <c r="L11" i="140"/>
  <c r="K11" i="140"/>
  <c r="I11" i="140"/>
  <c r="H11" i="140"/>
  <c r="G11" i="140"/>
  <c r="F11" i="140"/>
  <c r="E11" i="140"/>
  <c r="D11" i="140"/>
  <c r="C11" i="140"/>
  <c r="E8" i="140"/>
  <c r="Z9" i="140"/>
  <c r="D8" i="140"/>
  <c r="Y9" i="140"/>
  <c r="F8" i="140"/>
  <c r="C8" i="140"/>
  <c r="X9" i="140"/>
  <c r="W9" i="140"/>
  <c r="V9" i="140"/>
  <c r="U9" i="140"/>
  <c r="T9" i="140"/>
  <c r="S9" i="140"/>
  <c r="R9" i="140"/>
  <c r="Q9" i="140"/>
  <c r="P9" i="140"/>
  <c r="O9" i="140"/>
  <c r="N9" i="140"/>
  <c r="M9" i="140"/>
  <c r="L9" i="140"/>
  <c r="J9" i="140"/>
  <c r="I9" i="140"/>
  <c r="H9" i="140"/>
  <c r="G9" i="140"/>
  <c r="F9" i="140"/>
  <c r="E9" i="140"/>
  <c r="D9" i="140"/>
  <c r="C9" i="140"/>
  <c r="E6" i="140"/>
  <c r="Z7" i="140"/>
  <c r="D6" i="140"/>
  <c r="Y7" i="140"/>
  <c r="F6" i="140"/>
  <c r="C6" i="140"/>
  <c r="X7" i="140"/>
  <c r="W7" i="140"/>
  <c r="V7" i="140"/>
  <c r="U7" i="140"/>
  <c r="T7" i="140"/>
  <c r="S7" i="140"/>
  <c r="R7" i="140"/>
  <c r="Q7" i="140"/>
  <c r="P7" i="140"/>
  <c r="O7" i="140"/>
  <c r="N7" i="140"/>
  <c r="M7" i="140"/>
  <c r="L7" i="140"/>
  <c r="J7" i="140"/>
  <c r="I7" i="140"/>
  <c r="H7" i="140"/>
  <c r="G7" i="140"/>
  <c r="F7" i="140"/>
  <c r="E7" i="140"/>
  <c r="D7" i="140"/>
  <c r="C7" i="140"/>
  <c r="E4" i="140"/>
  <c r="Z5" i="140"/>
  <c r="D4" i="140"/>
  <c r="Y5" i="140"/>
  <c r="F4" i="140"/>
  <c r="C4" i="140"/>
  <c r="X5" i="140"/>
  <c r="W5" i="140"/>
  <c r="V5" i="140"/>
  <c r="U5" i="140"/>
  <c r="T5" i="140"/>
  <c r="S5" i="140"/>
  <c r="R5" i="140"/>
  <c r="Q5" i="140"/>
  <c r="P5" i="140"/>
  <c r="O5" i="140"/>
  <c r="N5" i="140"/>
  <c r="M5" i="140"/>
  <c r="L5" i="140"/>
  <c r="J5" i="140"/>
  <c r="I5" i="140"/>
  <c r="H5" i="140"/>
  <c r="G5" i="140"/>
  <c r="F5" i="140"/>
  <c r="E5" i="140"/>
  <c r="D5" i="140"/>
  <c r="C5" i="140"/>
  <c r="P13" i="139"/>
  <c r="N11" i="139"/>
  <c r="O13" i="139"/>
  <c r="M13" i="139"/>
  <c r="K11" i="139"/>
  <c r="L13" i="139"/>
  <c r="J13" i="139"/>
  <c r="H11" i="139"/>
  <c r="I13" i="139"/>
  <c r="G13" i="139"/>
  <c r="E11" i="139"/>
  <c r="F13" i="139"/>
  <c r="D13" i="139"/>
  <c r="B11" i="139"/>
  <c r="C13" i="139"/>
  <c r="P12" i="139"/>
  <c r="O12" i="139"/>
  <c r="M12" i="139"/>
  <c r="L12" i="139"/>
  <c r="J12" i="139"/>
  <c r="I12" i="139"/>
  <c r="G12" i="139"/>
  <c r="F12" i="139"/>
  <c r="D12" i="139"/>
  <c r="C12" i="139"/>
  <c r="B5" i="139"/>
  <c r="P11" i="139"/>
  <c r="O11" i="139"/>
  <c r="M11" i="139"/>
  <c r="L11" i="139"/>
  <c r="J11" i="139"/>
  <c r="I11" i="139"/>
  <c r="G11" i="139"/>
  <c r="F11" i="139"/>
  <c r="D11" i="139"/>
  <c r="C11" i="139"/>
  <c r="P7" i="139"/>
  <c r="N5" i="139"/>
  <c r="O7" i="139"/>
  <c r="M7" i="139"/>
  <c r="K5" i="139"/>
  <c r="L7" i="139"/>
  <c r="J7" i="139"/>
  <c r="H5" i="139"/>
  <c r="I7" i="139"/>
  <c r="G7" i="139"/>
  <c r="E5" i="139"/>
  <c r="F7" i="139"/>
  <c r="C7" i="139"/>
  <c r="P6" i="139"/>
  <c r="O6" i="139"/>
  <c r="M6" i="139"/>
  <c r="L6" i="139"/>
  <c r="J6" i="139"/>
  <c r="I6" i="139"/>
  <c r="G6" i="139"/>
  <c r="F6" i="139"/>
  <c r="C6" i="139"/>
  <c r="P5" i="139"/>
  <c r="O5" i="139"/>
  <c r="M5" i="139"/>
  <c r="L5" i="139"/>
  <c r="J5" i="139"/>
  <c r="I5" i="139"/>
  <c r="G5" i="139"/>
  <c r="F5" i="139"/>
  <c r="C5" i="139"/>
  <c r="Q18" i="138"/>
  <c r="K18" i="138"/>
  <c r="D18" i="138"/>
  <c r="C18" i="138"/>
  <c r="Q17" i="138"/>
  <c r="K17" i="138"/>
  <c r="D17" i="138"/>
  <c r="C17" i="138"/>
  <c r="Q16" i="138"/>
  <c r="K16" i="138"/>
  <c r="D16" i="138"/>
  <c r="C16" i="138"/>
  <c r="Q15" i="138"/>
  <c r="K15" i="138"/>
  <c r="D15" i="138"/>
  <c r="C15" i="138"/>
  <c r="Q14" i="138"/>
  <c r="K14" i="138"/>
  <c r="D14" i="138"/>
  <c r="C14" i="138"/>
  <c r="Q13" i="138"/>
  <c r="K13" i="138"/>
  <c r="D13" i="138"/>
  <c r="C13" i="138"/>
  <c r="Q12" i="138"/>
  <c r="K12" i="138"/>
  <c r="D12" i="138"/>
  <c r="C12" i="138"/>
  <c r="Q11" i="138"/>
  <c r="K11" i="138"/>
  <c r="D11" i="138"/>
  <c r="C11" i="138"/>
  <c r="Q10" i="138"/>
  <c r="K10" i="138"/>
  <c r="D10" i="138"/>
  <c r="C10" i="138"/>
  <c r="Q9" i="138"/>
  <c r="K9" i="138"/>
  <c r="D9" i="138"/>
  <c r="C9" i="138"/>
  <c r="C21" i="136"/>
  <c r="I22" i="136"/>
  <c r="H22" i="136"/>
  <c r="G22" i="136"/>
  <c r="F22" i="136"/>
  <c r="E22" i="136"/>
  <c r="D22" i="136"/>
  <c r="C22" i="136"/>
  <c r="C19" i="136"/>
  <c r="I20" i="136"/>
  <c r="H20" i="136"/>
  <c r="G20" i="136"/>
  <c r="F20" i="136"/>
  <c r="E20" i="136"/>
  <c r="D20" i="136"/>
  <c r="C20" i="136"/>
  <c r="C17" i="136"/>
  <c r="I18" i="136"/>
  <c r="H18" i="136"/>
  <c r="G18" i="136"/>
  <c r="F18" i="136"/>
  <c r="E18" i="136"/>
  <c r="D18" i="136"/>
  <c r="C18" i="136"/>
  <c r="C15" i="136"/>
  <c r="I16" i="136"/>
  <c r="H16" i="136"/>
  <c r="G16" i="136"/>
  <c r="F16" i="136"/>
  <c r="E16" i="136"/>
  <c r="D16" i="136"/>
  <c r="C16" i="136"/>
  <c r="C13" i="136"/>
  <c r="I14" i="136"/>
  <c r="H14" i="136"/>
  <c r="G14" i="136"/>
  <c r="F14" i="136"/>
  <c r="E14" i="136"/>
  <c r="D14" i="136"/>
  <c r="C14" i="136"/>
  <c r="C11" i="136"/>
  <c r="I12" i="136"/>
  <c r="H12" i="136"/>
  <c r="G12" i="136"/>
  <c r="F12" i="136"/>
  <c r="E12" i="136"/>
  <c r="D12" i="136"/>
  <c r="C12" i="136"/>
  <c r="C9" i="136"/>
  <c r="I10" i="136"/>
  <c r="H10" i="136"/>
  <c r="G10" i="136"/>
  <c r="F10" i="136"/>
  <c r="E10" i="136"/>
  <c r="D10" i="136"/>
  <c r="C10" i="136"/>
  <c r="C7" i="136"/>
  <c r="I8" i="136"/>
  <c r="H8" i="136"/>
  <c r="G8" i="136"/>
  <c r="F8" i="136"/>
  <c r="E8" i="136"/>
  <c r="D8" i="136"/>
  <c r="C8" i="136"/>
  <c r="C5" i="136"/>
  <c r="I6" i="136"/>
  <c r="H6" i="136"/>
  <c r="G6" i="136"/>
  <c r="F6" i="136"/>
  <c r="E6" i="136"/>
  <c r="D6" i="136"/>
  <c r="C6" i="136"/>
  <c r="C3" i="136"/>
  <c r="I4" i="136"/>
  <c r="H4" i="136"/>
  <c r="G4" i="136"/>
  <c r="F4" i="136"/>
  <c r="E4" i="136"/>
  <c r="D4" i="136"/>
  <c r="C4" i="136"/>
  <c r="B26" i="134"/>
  <c r="D5" i="134"/>
  <c r="E5" i="134"/>
  <c r="F5" i="134"/>
  <c r="B5" i="134"/>
  <c r="C26" i="134"/>
  <c r="B25" i="134"/>
  <c r="C25" i="134"/>
  <c r="B24" i="134"/>
  <c r="C24" i="134"/>
  <c r="B23" i="134"/>
  <c r="C23" i="134"/>
  <c r="B22" i="134"/>
  <c r="C22" i="134"/>
  <c r="B21" i="134"/>
  <c r="C21" i="134"/>
  <c r="B20" i="134"/>
  <c r="C20" i="134"/>
  <c r="B19" i="134"/>
  <c r="C19" i="134"/>
  <c r="B18" i="134"/>
  <c r="C18" i="134"/>
  <c r="B17" i="134"/>
  <c r="C17" i="134"/>
  <c r="B16" i="134"/>
  <c r="C16" i="134"/>
  <c r="B15" i="134"/>
  <c r="C15" i="134"/>
  <c r="B14" i="134"/>
  <c r="C14" i="134"/>
  <c r="B13" i="134"/>
  <c r="C13" i="134"/>
  <c r="B12" i="134"/>
  <c r="C12" i="134"/>
  <c r="B11" i="134"/>
  <c r="C11" i="134"/>
  <c r="B10" i="134"/>
  <c r="C10" i="134"/>
  <c r="B9" i="134"/>
  <c r="C9" i="134"/>
  <c r="B8" i="134"/>
  <c r="C8" i="134"/>
  <c r="B7" i="134"/>
  <c r="C7" i="134"/>
  <c r="B6" i="134"/>
  <c r="C6" i="134"/>
  <c r="C5" i="134"/>
  <c r="J4" i="133"/>
  <c r="K15" i="133"/>
  <c r="H4" i="133"/>
  <c r="I15" i="133"/>
  <c r="F4" i="133"/>
  <c r="G15" i="133"/>
  <c r="D4" i="133"/>
  <c r="E15" i="133"/>
  <c r="B4" i="133"/>
  <c r="C15" i="133"/>
  <c r="K14" i="133"/>
  <c r="I14" i="133"/>
  <c r="G14" i="133"/>
  <c r="E14" i="133"/>
  <c r="C14" i="133"/>
  <c r="K13" i="133"/>
  <c r="I13" i="133"/>
  <c r="G13" i="133"/>
  <c r="E13" i="133"/>
  <c r="C13" i="133"/>
  <c r="K12" i="133"/>
  <c r="I12" i="133"/>
  <c r="G12" i="133"/>
  <c r="E12" i="133"/>
  <c r="C12" i="133"/>
  <c r="K11" i="133"/>
  <c r="I11" i="133"/>
  <c r="G11" i="133"/>
  <c r="E11" i="133"/>
  <c r="C11" i="133"/>
  <c r="K10" i="133"/>
  <c r="I10" i="133"/>
  <c r="G10" i="133"/>
  <c r="E10" i="133"/>
  <c r="C10" i="133"/>
  <c r="K9" i="133"/>
  <c r="I9" i="133"/>
  <c r="G9" i="133"/>
  <c r="E9" i="133"/>
  <c r="C9" i="133"/>
  <c r="K8" i="133"/>
  <c r="I8" i="133"/>
  <c r="G8" i="133"/>
  <c r="E8" i="133"/>
  <c r="C8" i="133"/>
  <c r="K7" i="133"/>
  <c r="I7" i="133"/>
  <c r="G7" i="133"/>
  <c r="E7" i="133"/>
  <c r="C7" i="133"/>
  <c r="K6" i="133"/>
  <c r="I6" i="133"/>
  <c r="G6" i="133"/>
  <c r="E6" i="133"/>
  <c r="C6" i="133"/>
  <c r="K5" i="133"/>
  <c r="I5" i="133"/>
  <c r="G5" i="133"/>
  <c r="E5" i="133"/>
  <c r="C5" i="133"/>
  <c r="K4" i="133"/>
  <c r="I4" i="133"/>
  <c r="G4" i="133"/>
  <c r="E4" i="133"/>
  <c r="C4" i="133"/>
  <c r="C21" i="132"/>
  <c r="F22" i="132"/>
  <c r="E22" i="132"/>
  <c r="D22" i="132"/>
  <c r="C22" i="132"/>
  <c r="C19" i="132"/>
  <c r="F20" i="132"/>
  <c r="E20" i="132"/>
  <c r="D20" i="132"/>
  <c r="C20" i="132"/>
  <c r="C17" i="132"/>
  <c r="F18" i="132"/>
  <c r="E18" i="132"/>
  <c r="D18" i="132"/>
  <c r="C18" i="132"/>
  <c r="C15" i="132"/>
  <c r="F16" i="132"/>
  <c r="E16" i="132"/>
  <c r="D16" i="132"/>
  <c r="C16" i="132"/>
  <c r="C13" i="132"/>
  <c r="F14" i="132"/>
  <c r="E14" i="132"/>
  <c r="D14" i="132"/>
  <c r="C14" i="132"/>
  <c r="C11" i="132"/>
  <c r="F12" i="132"/>
  <c r="E12" i="132"/>
  <c r="D12" i="132"/>
  <c r="C12" i="132"/>
  <c r="C9" i="132"/>
  <c r="F10" i="132"/>
  <c r="E10" i="132"/>
  <c r="D10" i="132"/>
  <c r="C10" i="132"/>
  <c r="C7" i="132"/>
  <c r="F8" i="132"/>
  <c r="E8" i="132"/>
  <c r="D8" i="132"/>
  <c r="C8" i="132"/>
  <c r="C5" i="132"/>
  <c r="F6" i="132"/>
  <c r="E6" i="132"/>
  <c r="D6" i="132"/>
  <c r="C6" i="132"/>
  <c r="C3" i="132"/>
  <c r="F4" i="132"/>
  <c r="E4" i="132"/>
  <c r="D4" i="132"/>
  <c r="C4" i="132"/>
  <c r="B14" i="131"/>
  <c r="B12" i="131"/>
  <c r="B11" i="131"/>
  <c r="B10" i="131"/>
  <c r="B9" i="131"/>
  <c r="B8" i="131"/>
  <c r="B7" i="131"/>
  <c r="B6" i="131"/>
  <c r="B15" i="130"/>
  <c r="B14" i="130"/>
  <c r="B13" i="130"/>
  <c r="B12" i="130"/>
  <c r="B11" i="130"/>
  <c r="B10" i="130"/>
  <c r="B9" i="130"/>
  <c r="B8" i="130"/>
  <c r="B7" i="130"/>
  <c r="B6" i="130"/>
  <c r="H14" i="129"/>
  <c r="E14" i="129"/>
  <c r="B14" i="129"/>
  <c r="H13" i="129"/>
  <c r="E13" i="129"/>
  <c r="B13" i="129"/>
  <c r="H12" i="129"/>
  <c r="E12" i="129"/>
  <c r="B12" i="129"/>
  <c r="H11" i="129"/>
  <c r="E11" i="129"/>
  <c r="B11" i="129"/>
  <c r="H10" i="129"/>
  <c r="E10" i="129"/>
  <c r="B10" i="129"/>
  <c r="H9" i="129"/>
  <c r="E9" i="129"/>
  <c r="B9" i="129"/>
  <c r="H8" i="129"/>
  <c r="E8" i="129"/>
  <c r="B8" i="129"/>
  <c r="H7" i="129"/>
  <c r="E7" i="129"/>
  <c r="B7" i="129"/>
  <c r="H6" i="129"/>
  <c r="E6" i="129"/>
  <c r="B6" i="129"/>
  <c r="H5" i="129"/>
  <c r="E5" i="129"/>
  <c r="B5" i="129"/>
  <c r="C23" i="128"/>
  <c r="G24" i="128"/>
  <c r="F24" i="128"/>
  <c r="E24" i="128"/>
  <c r="D24" i="128"/>
  <c r="C24" i="128"/>
  <c r="C21" i="128"/>
  <c r="G22" i="128"/>
  <c r="F22" i="128"/>
  <c r="E22" i="128"/>
  <c r="D22" i="128"/>
  <c r="C22" i="128"/>
  <c r="C19" i="128"/>
  <c r="G20" i="128"/>
  <c r="F20" i="128"/>
  <c r="E20" i="128"/>
  <c r="D20" i="128"/>
  <c r="C20" i="128"/>
  <c r="C17" i="128"/>
  <c r="G18" i="128"/>
  <c r="F18" i="128"/>
  <c r="E18" i="128"/>
  <c r="D18" i="128"/>
  <c r="C18" i="128"/>
  <c r="C15" i="128"/>
  <c r="G16" i="128"/>
  <c r="F16" i="128"/>
  <c r="E16" i="128"/>
  <c r="D16" i="128"/>
  <c r="C16" i="128"/>
  <c r="C13" i="128"/>
  <c r="G14" i="128"/>
  <c r="F14" i="128"/>
  <c r="E14" i="128"/>
  <c r="D14" i="128"/>
  <c r="C14" i="128"/>
  <c r="C11" i="128"/>
  <c r="G12" i="128"/>
  <c r="F12" i="128"/>
  <c r="E12" i="128"/>
  <c r="D12" i="128"/>
  <c r="C12" i="128"/>
  <c r="C9" i="128"/>
  <c r="G10" i="128"/>
  <c r="F10" i="128"/>
  <c r="E10" i="128"/>
  <c r="D10" i="128"/>
  <c r="C10" i="128"/>
  <c r="C7" i="128"/>
  <c r="G8" i="128"/>
  <c r="F8" i="128"/>
  <c r="E8" i="128"/>
  <c r="D8" i="128"/>
  <c r="C8" i="128"/>
  <c r="C5" i="128"/>
  <c r="G6" i="128"/>
  <c r="F6" i="128"/>
  <c r="E6" i="128"/>
  <c r="D6" i="128"/>
  <c r="C6" i="128"/>
  <c r="B18" i="126"/>
  <c r="B17" i="126"/>
  <c r="B16" i="126"/>
  <c r="B15" i="126"/>
  <c r="B14" i="126"/>
  <c r="B13" i="126"/>
  <c r="B12" i="126"/>
  <c r="B11" i="126"/>
  <c r="B10" i="126"/>
  <c r="B9" i="126"/>
  <c r="C33" i="125"/>
  <c r="P33" i="125"/>
  <c r="N33" i="125"/>
  <c r="L33" i="125"/>
  <c r="J33" i="125"/>
  <c r="H33" i="125"/>
  <c r="F33" i="125"/>
  <c r="D33" i="125"/>
  <c r="C32" i="125"/>
  <c r="P32" i="125"/>
  <c r="N32" i="125"/>
  <c r="L32" i="125"/>
  <c r="J32" i="125"/>
  <c r="H32" i="125"/>
  <c r="F32" i="125"/>
  <c r="D32" i="125"/>
  <c r="C31" i="125"/>
  <c r="P31" i="125"/>
  <c r="N31" i="125"/>
  <c r="L31" i="125"/>
  <c r="J31" i="125"/>
  <c r="H31" i="125"/>
  <c r="F31" i="125"/>
  <c r="D31" i="125"/>
  <c r="C30" i="125"/>
  <c r="P30" i="125"/>
  <c r="N30" i="125"/>
  <c r="L30" i="125"/>
  <c r="J30" i="125"/>
  <c r="H30" i="125"/>
  <c r="F30" i="125"/>
  <c r="D30" i="125"/>
  <c r="C29" i="125"/>
  <c r="P29" i="125"/>
  <c r="N29" i="125"/>
  <c r="L29" i="125"/>
  <c r="J29" i="125"/>
  <c r="H29" i="125"/>
  <c r="F29" i="125"/>
  <c r="D29" i="125"/>
  <c r="C28" i="125"/>
  <c r="P28" i="125"/>
  <c r="N28" i="125"/>
  <c r="L28" i="125"/>
  <c r="J28" i="125"/>
  <c r="H28" i="125"/>
  <c r="F28" i="125"/>
  <c r="D28" i="125"/>
  <c r="C27" i="125"/>
  <c r="P27" i="125"/>
  <c r="N27" i="125"/>
  <c r="L27" i="125"/>
  <c r="J27" i="125"/>
  <c r="H27" i="125"/>
  <c r="F27" i="125"/>
  <c r="D27" i="125"/>
  <c r="C26" i="125"/>
  <c r="P26" i="125"/>
  <c r="N26" i="125"/>
  <c r="L26" i="125"/>
  <c r="J26" i="125"/>
  <c r="H26" i="125"/>
  <c r="F26" i="125"/>
  <c r="D26" i="125"/>
  <c r="E25" i="125"/>
  <c r="G25" i="125"/>
  <c r="I25" i="125"/>
  <c r="K25" i="125"/>
  <c r="M25" i="125"/>
  <c r="C25" i="125"/>
  <c r="P25" i="125"/>
  <c r="N25" i="125"/>
  <c r="L25" i="125"/>
  <c r="J25" i="125"/>
  <c r="H25" i="125"/>
  <c r="F25" i="125"/>
  <c r="D25" i="125"/>
  <c r="C24" i="125"/>
  <c r="P24" i="125"/>
  <c r="N24" i="125"/>
  <c r="L24" i="125"/>
  <c r="J24" i="125"/>
  <c r="H24" i="125"/>
  <c r="F24" i="125"/>
  <c r="D24" i="125"/>
  <c r="C23" i="125"/>
  <c r="P23" i="125"/>
  <c r="N23" i="125"/>
  <c r="L23" i="125"/>
  <c r="J23" i="125"/>
  <c r="H23" i="125"/>
  <c r="F23" i="125"/>
  <c r="D23" i="125"/>
  <c r="E22" i="125"/>
  <c r="G22" i="125"/>
  <c r="I22" i="125"/>
  <c r="K22" i="125"/>
  <c r="M22" i="125"/>
  <c r="C22" i="125"/>
  <c r="P22" i="125"/>
  <c r="N22" i="125"/>
  <c r="L22" i="125"/>
  <c r="J22" i="125"/>
  <c r="H22" i="125"/>
  <c r="F22" i="125"/>
  <c r="D22" i="125"/>
  <c r="C21" i="125"/>
  <c r="P21" i="125"/>
  <c r="N21" i="125"/>
  <c r="L21" i="125"/>
  <c r="J21" i="125"/>
  <c r="H21" i="125"/>
  <c r="F21" i="125"/>
  <c r="D21" i="125"/>
  <c r="C20" i="125"/>
  <c r="P20" i="125"/>
  <c r="N20" i="125"/>
  <c r="L20" i="125"/>
  <c r="J20" i="125"/>
  <c r="H20" i="125"/>
  <c r="F20" i="125"/>
  <c r="D20" i="125"/>
  <c r="E19" i="125"/>
  <c r="G19" i="125"/>
  <c r="I19" i="125"/>
  <c r="K19" i="125"/>
  <c r="M19" i="125"/>
  <c r="C19" i="125"/>
  <c r="P19" i="125"/>
  <c r="N19" i="125"/>
  <c r="L19" i="125"/>
  <c r="J19" i="125"/>
  <c r="H19" i="125"/>
  <c r="F19" i="125"/>
  <c r="D19" i="125"/>
  <c r="C18" i="125"/>
  <c r="P18" i="125"/>
  <c r="N18" i="125"/>
  <c r="L18" i="125"/>
  <c r="J18" i="125"/>
  <c r="H18" i="125"/>
  <c r="F18" i="125"/>
  <c r="D18" i="125"/>
  <c r="C17" i="125"/>
  <c r="P17" i="125"/>
  <c r="N17" i="125"/>
  <c r="L17" i="125"/>
  <c r="J17" i="125"/>
  <c r="H17" i="125"/>
  <c r="F17" i="125"/>
  <c r="D17" i="125"/>
  <c r="E16" i="125"/>
  <c r="G16" i="125"/>
  <c r="I16" i="125"/>
  <c r="K16" i="125"/>
  <c r="M16" i="125"/>
  <c r="C16" i="125"/>
  <c r="P16" i="125"/>
  <c r="N16" i="125"/>
  <c r="L16" i="125"/>
  <c r="J16" i="125"/>
  <c r="H16" i="125"/>
  <c r="F16" i="125"/>
  <c r="D16" i="125"/>
  <c r="C15" i="125"/>
  <c r="P15" i="125"/>
  <c r="N15" i="125"/>
  <c r="L15" i="125"/>
  <c r="J15" i="125"/>
  <c r="H15" i="125"/>
  <c r="F15" i="125"/>
  <c r="D15" i="125"/>
  <c r="C14" i="125"/>
  <c r="P14" i="125"/>
  <c r="N14" i="125"/>
  <c r="L14" i="125"/>
  <c r="J14" i="125"/>
  <c r="H14" i="125"/>
  <c r="F14" i="125"/>
  <c r="D14" i="125"/>
  <c r="E13" i="125"/>
  <c r="G13" i="125"/>
  <c r="I13" i="125"/>
  <c r="K13" i="125"/>
  <c r="M13" i="125"/>
  <c r="C13" i="125"/>
  <c r="P13" i="125"/>
  <c r="N13" i="125"/>
  <c r="L13" i="125"/>
  <c r="J13" i="125"/>
  <c r="H13" i="125"/>
  <c r="F13" i="125"/>
  <c r="D13" i="125"/>
  <c r="C12" i="125"/>
  <c r="P12" i="125"/>
  <c r="N12" i="125"/>
  <c r="L12" i="125"/>
  <c r="J12" i="125"/>
  <c r="H12" i="125"/>
  <c r="F12" i="125"/>
  <c r="D12" i="125"/>
  <c r="C11" i="125"/>
  <c r="P11" i="125"/>
  <c r="N11" i="125"/>
  <c r="L11" i="125"/>
  <c r="J11" i="125"/>
  <c r="H11" i="125"/>
  <c r="F11" i="125"/>
  <c r="D11" i="125"/>
  <c r="E10" i="125"/>
  <c r="G10" i="125"/>
  <c r="I10" i="125"/>
  <c r="K10" i="125"/>
  <c r="M10" i="125"/>
  <c r="C10" i="125"/>
  <c r="P10" i="125"/>
  <c r="N10" i="125"/>
  <c r="L10" i="125"/>
  <c r="J10" i="125"/>
  <c r="H10" i="125"/>
  <c r="F10" i="125"/>
  <c r="D10" i="125"/>
  <c r="C9" i="125"/>
  <c r="P9" i="125"/>
  <c r="N9" i="125"/>
  <c r="L9" i="125"/>
  <c r="J9" i="125"/>
  <c r="H9" i="125"/>
  <c r="F9" i="125"/>
  <c r="D9" i="125"/>
  <c r="C8" i="125"/>
  <c r="P8" i="125"/>
  <c r="N8" i="125"/>
  <c r="L8" i="125"/>
  <c r="J8" i="125"/>
  <c r="H8" i="125"/>
  <c r="F8" i="125"/>
  <c r="D8" i="125"/>
  <c r="E7" i="125"/>
  <c r="G7" i="125"/>
  <c r="I7" i="125"/>
  <c r="K7" i="125"/>
  <c r="M7" i="125"/>
  <c r="C7" i="125"/>
  <c r="P7" i="125"/>
  <c r="N7" i="125"/>
  <c r="L7" i="125"/>
  <c r="J7" i="125"/>
  <c r="H7" i="125"/>
  <c r="F7" i="125"/>
  <c r="D7" i="125"/>
  <c r="C6" i="125"/>
  <c r="P6" i="125"/>
  <c r="N6" i="125"/>
  <c r="L6" i="125"/>
  <c r="J6" i="125"/>
  <c r="H6" i="125"/>
  <c r="F6" i="125"/>
  <c r="D6" i="125"/>
  <c r="C5" i="125"/>
  <c r="P5" i="125"/>
  <c r="N5" i="125"/>
  <c r="L5" i="125"/>
  <c r="J5" i="125"/>
  <c r="H5" i="125"/>
  <c r="F5" i="125"/>
  <c r="D5" i="125"/>
  <c r="E4" i="125"/>
  <c r="G4" i="125"/>
  <c r="I4" i="125"/>
  <c r="K4" i="125"/>
  <c r="M4" i="125"/>
  <c r="C4" i="125"/>
  <c r="P4" i="125"/>
  <c r="N4" i="125"/>
  <c r="L4" i="125"/>
  <c r="J4" i="125"/>
  <c r="H4" i="125"/>
  <c r="F4" i="125"/>
  <c r="D4" i="125"/>
  <c r="C33" i="124"/>
  <c r="V33" i="124"/>
  <c r="T33" i="124"/>
  <c r="R33" i="124"/>
  <c r="P33" i="124"/>
  <c r="N33" i="124"/>
  <c r="L33" i="124"/>
  <c r="J33" i="124"/>
  <c r="H33" i="124"/>
  <c r="F33" i="124"/>
  <c r="D33" i="124"/>
  <c r="C32" i="124"/>
  <c r="V32" i="124"/>
  <c r="T32" i="124"/>
  <c r="R32" i="124"/>
  <c r="P32" i="124"/>
  <c r="N32" i="124"/>
  <c r="L32" i="124"/>
  <c r="J32" i="124"/>
  <c r="H32" i="124"/>
  <c r="F32" i="124"/>
  <c r="D32" i="124"/>
  <c r="C31" i="124"/>
  <c r="X31" i="124"/>
  <c r="V31" i="124"/>
  <c r="T31" i="124"/>
  <c r="R31" i="124"/>
  <c r="P31" i="124"/>
  <c r="N31" i="124"/>
  <c r="L31" i="124"/>
  <c r="J31" i="124"/>
  <c r="H31" i="124"/>
  <c r="F31" i="124"/>
  <c r="D31" i="124"/>
  <c r="C30" i="124"/>
  <c r="V30" i="124"/>
  <c r="T30" i="124"/>
  <c r="R30" i="124"/>
  <c r="P30" i="124"/>
  <c r="N30" i="124"/>
  <c r="L30" i="124"/>
  <c r="J30" i="124"/>
  <c r="H30" i="124"/>
  <c r="F30" i="124"/>
  <c r="D30" i="124"/>
  <c r="C29" i="124"/>
  <c r="V29" i="124"/>
  <c r="T29" i="124"/>
  <c r="R29" i="124"/>
  <c r="P29" i="124"/>
  <c r="N29" i="124"/>
  <c r="L29" i="124"/>
  <c r="J29" i="124"/>
  <c r="H29" i="124"/>
  <c r="F29" i="124"/>
  <c r="D29" i="124"/>
  <c r="C28" i="124"/>
  <c r="X28" i="124"/>
  <c r="V28" i="124"/>
  <c r="T28" i="124"/>
  <c r="R28" i="124"/>
  <c r="P28" i="124"/>
  <c r="N28" i="124"/>
  <c r="L28" i="124"/>
  <c r="J28" i="124"/>
  <c r="H28" i="124"/>
  <c r="F28" i="124"/>
  <c r="D28" i="124"/>
  <c r="C27" i="124"/>
  <c r="V27" i="124"/>
  <c r="T27" i="124"/>
  <c r="R27" i="124"/>
  <c r="P27" i="124"/>
  <c r="N27" i="124"/>
  <c r="L27" i="124"/>
  <c r="J27" i="124"/>
  <c r="H27" i="124"/>
  <c r="F27" i="124"/>
  <c r="D27" i="124"/>
  <c r="C26" i="124"/>
  <c r="V26" i="124"/>
  <c r="T26" i="124"/>
  <c r="R26" i="124"/>
  <c r="P26" i="124"/>
  <c r="N26" i="124"/>
  <c r="L26" i="124"/>
  <c r="J26" i="124"/>
  <c r="H26" i="124"/>
  <c r="F26" i="124"/>
  <c r="D26" i="124"/>
  <c r="C25" i="124"/>
  <c r="X25" i="124"/>
  <c r="V25" i="124"/>
  <c r="T25" i="124"/>
  <c r="R25" i="124"/>
  <c r="P25" i="124"/>
  <c r="N25" i="124"/>
  <c r="L25" i="124"/>
  <c r="J25" i="124"/>
  <c r="H25" i="124"/>
  <c r="F25" i="124"/>
  <c r="D25" i="124"/>
  <c r="C24" i="124"/>
  <c r="V24" i="124"/>
  <c r="T24" i="124"/>
  <c r="R24" i="124"/>
  <c r="P24" i="124"/>
  <c r="N24" i="124"/>
  <c r="L24" i="124"/>
  <c r="J24" i="124"/>
  <c r="H24" i="124"/>
  <c r="F24" i="124"/>
  <c r="D24" i="124"/>
  <c r="C23" i="124"/>
  <c r="V23" i="124"/>
  <c r="T23" i="124"/>
  <c r="R23" i="124"/>
  <c r="P23" i="124"/>
  <c r="N23" i="124"/>
  <c r="L23" i="124"/>
  <c r="J23" i="124"/>
  <c r="H23" i="124"/>
  <c r="F23" i="124"/>
  <c r="D23" i="124"/>
  <c r="C22" i="124"/>
  <c r="X22" i="124"/>
  <c r="V22" i="124"/>
  <c r="T22" i="124"/>
  <c r="R22" i="124"/>
  <c r="P22" i="124"/>
  <c r="N22" i="124"/>
  <c r="L22" i="124"/>
  <c r="J22" i="124"/>
  <c r="H22" i="124"/>
  <c r="F22" i="124"/>
  <c r="D22" i="124"/>
  <c r="C21" i="124"/>
  <c r="V21" i="124"/>
  <c r="T21" i="124"/>
  <c r="R21" i="124"/>
  <c r="P21" i="124"/>
  <c r="N21" i="124"/>
  <c r="L21" i="124"/>
  <c r="J21" i="124"/>
  <c r="H21" i="124"/>
  <c r="F21" i="124"/>
  <c r="D21" i="124"/>
  <c r="C20" i="124"/>
  <c r="V20" i="124"/>
  <c r="T20" i="124"/>
  <c r="R20" i="124"/>
  <c r="P20" i="124"/>
  <c r="N20" i="124"/>
  <c r="L20" i="124"/>
  <c r="J20" i="124"/>
  <c r="H20" i="124"/>
  <c r="F20" i="124"/>
  <c r="D20" i="124"/>
  <c r="C19" i="124"/>
  <c r="X19" i="124"/>
  <c r="V19" i="124"/>
  <c r="T19" i="124"/>
  <c r="R19" i="124"/>
  <c r="P19" i="124"/>
  <c r="N19" i="124"/>
  <c r="L19" i="124"/>
  <c r="J19" i="124"/>
  <c r="H19" i="124"/>
  <c r="F19" i="124"/>
  <c r="D19" i="124"/>
  <c r="C18" i="124"/>
  <c r="V18" i="124"/>
  <c r="T18" i="124"/>
  <c r="R18" i="124"/>
  <c r="P18" i="124"/>
  <c r="N18" i="124"/>
  <c r="L18" i="124"/>
  <c r="J18" i="124"/>
  <c r="H18" i="124"/>
  <c r="F18" i="124"/>
  <c r="D18" i="124"/>
  <c r="C17" i="124"/>
  <c r="V17" i="124"/>
  <c r="T17" i="124"/>
  <c r="R17" i="124"/>
  <c r="P17" i="124"/>
  <c r="N17" i="124"/>
  <c r="L17" i="124"/>
  <c r="J17" i="124"/>
  <c r="H17" i="124"/>
  <c r="F17" i="124"/>
  <c r="D17" i="124"/>
  <c r="C16" i="124"/>
  <c r="X16" i="124"/>
  <c r="V16" i="124"/>
  <c r="T16" i="124"/>
  <c r="R16" i="124"/>
  <c r="P16" i="124"/>
  <c r="N16" i="124"/>
  <c r="L16" i="124"/>
  <c r="J16" i="124"/>
  <c r="H16" i="124"/>
  <c r="F16" i="124"/>
  <c r="D16" i="124"/>
  <c r="C15" i="124"/>
  <c r="V15" i="124"/>
  <c r="T15" i="124"/>
  <c r="R15" i="124"/>
  <c r="P15" i="124"/>
  <c r="N15" i="124"/>
  <c r="L15" i="124"/>
  <c r="J15" i="124"/>
  <c r="H15" i="124"/>
  <c r="F15" i="124"/>
  <c r="D15" i="124"/>
  <c r="C14" i="124"/>
  <c r="V14" i="124"/>
  <c r="T14" i="124"/>
  <c r="R14" i="124"/>
  <c r="P14" i="124"/>
  <c r="N14" i="124"/>
  <c r="L14" i="124"/>
  <c r="J14" i="124"/>
  <c r="H14" i="124"/>
  <c r="F14" i="124"/>
  <c r="D14" i="124"/>
  <c r="C13" i="124"/>
  <c r="X13" i="124"/>
  <c r="V13" i="124"/>
  <c r="T13" i="124"/>
  <c r="R13" i="124"/>
  <c r="P13" i="124"/>
  <c r="N13" i="124"/>
  <c r="L13" i="124"/>
  <c r="J13" i="124"/>
  <c r="H13" i="124"/>
  <c r="F13" i="124"/>
  <c r="D13" i="124"/>
  <c r="C12" i="124"/>
  <c r="X12" i="124"/>
  <c r="V12" i="124"/>
  <c r="T12" i="124"/>
  <c r="R12" i="124"/>
  <c r="P12" i="124"/>
  <c r="N12" i="124"/>
  <c r="L12" i="124"/>
  <c r="J12" i="124"/>
  <c r="H12" i="124"/>
  <c r="F12" i="124"/>
  <c r="D12" i="124"/>
  <c r="C11" i="124"/>
  <c r="X11" i="124"/>
  <c r="V11" i="124"/>
  <c r="T11" i="124"/>
  <c r="R11" i="124"/>
  <c r="P11" i="124"/>
  <c r="N11" i="124"/>
  <c r="L11" i="124"/>
  <c r="J11" i="124"/>
  <c r="H11" i="124"/>
  <c r="F11" i="124"/>
  <c r="D11" i="124"/>
  <c r="C10" i="124"/>
  <c r="X10" i="124"/>
  <c r="V10" i="124"/>
  <c r="T10" i="124"/>
  <c r="R10" i="124"/>
  <c r="P10" i="124"/>
  <c r="N10" i="124"/>
  <c r="L10" i="124"/>
  <c r="J10" i="124"/>
  <c r="H10" i="124"/>
  <c r="F10" i="124"/>
  <c r="D10" i="124"/>
  <c r="C9" i="124"/>
  <c r="X9" i="124"/>
  <c r="V9" i="124"/>
  <c r="T9" i="124"/>
  <c r="R9" i="124"/>
  <c r="P9" i="124"/>
  <c r="N9" i="124"/>
  <c r="L9" i="124"/>
  <c r="J9" i="124"/>
  <c r="H9" i="124"/>
  <c r="F9" i="124"/>
  <c r="D9" i="124"/>
  <c r="C8" i="124"/>
  <c r="X8" i="124"/>
  <c r="V8" i="124"/>
  <c r="T8" i="124"/>
  <c r="R8" i="124"/>
  <c r="P8" i="124"/>
  <c r="N8" i="124"/>
  <c r="L8" i="124"/>
  <c r="J8" i="124"/>
  <c r="H8" i="124"/>
  <c r="F8" i="124"/>
  <c r="D8" i="124"/>
  <c r="C7" i="124"/>
  <c r="X7" i="124"/>
  <c r="V7" i="124"/>
  <c r="T7" i="124"/>
  <c r="R7" i="124"/>
  <c r="P7" i="124"/>
  <c r="N7" i="124"/>
  <c r="L7" i="124"/>
  <c r="J7" i="124"/>
  <c r="H7" i="124"/>
  <c r="F7" i="124"/>
  <c r="D7" i="124"/>
  <c r="C6" i="124"/>
  <c r="X6" i="124"/>
  <c r="V6" i="124"/>
  <c r="T6" i="124"/>
  <c r="R6" i="124"/>
  <c r="P6" i="124"/>
  <c r="N6" i="124"/>
  <c r="L6" i="124"/>
  <c r="J6" i="124"/>
  <c r="H6" i="124"/>
  <c r="F6" i="124"/>
  <c r="D6" i="124"/>
  <c r="C5" i="124"/>
  <c r="X5" i="124"/>
  <c r="V5" i="124"/>
  <c r="T5" i="124"/>
  <c r="R5" i="124"/>
  <c r="P5" i="124"/>
  <c r="N5" i="124"/>
  <c r="L5" i="124"/>
  <c r="J5" i="124"/>
  <c r="H5" i="124"/>
  <c r="F5" i="124"/>
  <c r="D5" i="124"/>
  <c r="C4" i="124"/>
  <c r="X4" i="124"/>
  <c r="V4" i="124"/>
  <c r="T4" i="124"/>
  <c r="R4" i="124"/>
  <c r="P4" i="124"/>
  <c r="N4" i="124"/>
  <c r="L4" i="124"/>
  <c r="J4" i="124"/>
  <c r="H4" i="124"/>
  <c r="F4" i="124"/>
  <c r="D4" i="124"/>
  <c r="L16" i="122"/>
  <c r="F16" i="122"/>
  <c r="K16" i="122"/>
  <c r="I16" i="122"/>
  <c r="L15" i="122"/>
  <c r="F15" i="122"/>
  <c r="K15" i="122"/>
  <c r="I15" i="122"/>
  <c r="L14" i="122"/>
  <c r="F14" i="122"/>
  <c r="K14" i="122"/>
  <c r="I14" i="122"/>
  <c r="L13" i="122"/>
  <c r="F13" i="122"/>
  <c r="K13" i="122"/>
  <c r="I13" i="122"/>
  <c r="L12" i="122"/>
  <c r="F12" i="122"/>
  <c r="K12" i="122"/>
  <c r="I12" i="122"/>
  <c r="L11" i="122"/>
  <c r="F11" i="122"/>
  <c r="K11" i="122"/>
  <c r="I11" i="122"/>
  <c r="L10" i="122"/>
  <c r="F10" i="122"/>
  <c r="K10" i="122"/>
  <c r="I10" i="122"/>
  <c r="L9" i="122"/>
  <c r="F9" i="122"/>
  <c r="K9" i="122"/>
  <c r="I9" i="122"/>
  <c r="L8" i="122"/>
  <c r="F8" i="122"/>
  <c r="K8" i="122"/>
  <c r="I8" i="122"/>
  <c r="L7" i="122"/>
  <c r="F7" i="122"/>
  <c r="K7" i="122"/>
  <c r="I7" i="122"/>
  <c r="C21" i="121"/>
  <c r="J22" i="121"/>
  <c r="I22" i="121"/>
  <c r="H22" i="121"/>
  <c r="G22" i="121"/>
  <c r="F22" i="121"/>
  <c r="E22" i="121"/>
  <c r="D22" i="121"/>
  <c r="C22" i="121"/>
  <c r="C19" i="121"/>
  <c r="J20" i="121"/>
  <c r="I20" i="121"/>
  <c r="H20" i="121"/>
  <c r="G20" i="121"/>
  <c r="F20" i="121"/>
  <c r="E20" i="121"/>
  <c r="D20" i="121"/>
  <c r="C20" i="121"/>
  <c r="C17" i="121"/>
  <c r="J18" i="121"/>
  <c r="I18" i="121"/>
  <c r="H18" i="121"/>
  <c r="G18" i="121"/>
  <c r="F18" i="121"/>
  <c r="E18" i="121"/>
  <c r="D18" i="121"/>
  <c r="C18" i="121"/>
  <c r="C15" i="121"/>
  <c r="J16" i="121"/>
  <c r="I16" i="121"/>
  <c r="H16" i="121"/>
  <c r="G16" i="121"/>
  <c r="F16" i="121"/>
  <c r="E16" i="121"/>
  <c r="D16" i="121"/>
  <c r="C16" i="121"/>
  <c r="C13" i="121"/>
  <c r="J14" i="121"/>
  <c r="H14" i="121"/>
  <c r="G14" i="121"/>
  <c r="F14" i="121"/>
  <c r="E14" i="121"/>
  <c r="D14" i="121"/>
  <c r="C14" i="121"/>
  <c r="C11" i="121"/>
  <c r="J12" i="121"/>
  <c r="H12" i="121"/>
  <c r="G12" i="121"/>
  <c r="F12" i="121"/>
  <c r="E12" i="121"/>
  <c r="D12" i="121"/>
  <c r="C12" i="121"/>
  <c r="C9" i="121"/>
  <c r="J10" i="121"/>
  <c r="I10" i="121"/>
  <c r="H10" i="121"/>
  <c r="G10" i="121"/>
  <c r="F10" i="121"/>
  <c r="E10" i="121"/>
  <c r="D10" i="121"/>
  <c r="C10" i="121"/>
  <c r="C7" i="121"/>
  <c r="J8" i="121"/>
  <c r="I8" i="121"/>
  <c r="H8" i="121"/>
  <c r="G8" i="121"/>
  <c r="F8" i="121"/>
  <c r="E8" i="121"/>
  <c r="D8" i="121"/>
  <c r="C8" i="121"/>
  <c r="C5" i="121"/>
  <c r="J6" i="121"/>
  <c r="I6" i="121"/>
  <c r="H6" i="121"/>
  <c r="G6" i="121"/>
  <c r="F6" i="121"/>
  <c r="E6" i="121"/>
  <c r="D6" i="121"/>
  <c r="C6" i="121"/>
  <c r="C3" i="121"/>
  <c r="J4" i="121"/>
  <c r="H4" i="121"/>
  <c r="G4" i="121"/>
  <c r="F4" i="121"/>
  <c r="E4" i="121"/>
  <c r="D4" i="121"/>
  <c r="C4" i="121"/>
  <c r="C23" i="119"/>
  <c r="C22" i="119"/>
  <c r="C21" i="119"/>
  <c r="C20" i="119"/>
  <c r="C19" i="119"/>
  <c r="C18" i="119"/>
  <c r="C17" i="119"/>
  <c r="C16" i="119"/>
  <c r="C15" i="119"/>
  <c r="C14" i="119"/>
  <c r="C13" i="119"/>
  <c r="C12" i="119"/>
  <c r="C11" i="119"/>
  <c r="C10" i="119"/>
  <c r="C9" i="119"/>
  <c r="C8" i="119"/>
  <c r="C7" i="119"/>
  <c r="C6" i="119"/>
  <c r="C5" i="119"/>
  <c r="B17" i="117"/>
  <c r="B16" i="117"/>
  <c r="B15" i="117"/>
  <c r="B14" i="117"/>
  <c r="B13" i="117"/>
  <c r="B12" i="117"/>
  <c r="B11" i="117"/>
  <c r="B10" i="117"/>
  <c r="B9" i="117"/>
  <c r="B8" i="117"/>
  <c r="D16" i="110"/>
  <c r="D15" i="110"/>
  <c r="D14" i="110"/>
  <c r="D13" i="110"/>
  <c r="D12" i="110"/>
  <c r="D11" i="110"/>
  <c r="D10" i="110"/>
  <c r="D9" i="110"/>
  <c r="D8" i="110"/>
  <c r="D7" i="110"/>
  <c r="B5" i="108"/>
  <c r="B15" i="107"/>
  <c r="D15" i="107"/>
  <c r="B14" i="107"/>
  <c r="D14" i="107"/>
  <c r="B13" i="107"/>
  <c r="D13" i="107"/>
  <c r="B12" i="107"/>
  <c r="D12" i="107"/>
  <c r="B11" i="107"/>
  <c r="D11" i="107"/>
  <c r="B10" i="107"/>
  <c r="D10" i="107"/>
  <c r="B9" i="107"/>
  <c r="D9" i="107"/>
  <c r="B8" i="107"/>
  <c r="D8" i="107"/>
  <c r="B7" i="107"/>
  <c r="D7" i="107"/>
  <c r="B6" i="107"/>
  <c r="D6" i="107"/>
  <c r="B14" i="104"/>
  <c r="D14" i="104"/>
  <c r="B13" i="104"/>
  <c r="D13" i="104"/>
  <c r="B12" i="104"/>
  <c r="D12" i="104"/>
  <c r="B11" i="104"/>
  <c r="D11" i="104"/>
  <c r="B10" i="104"/>
  <c r="D10" i="104"/>
  <c r="B9" i="104"/>
  <c r="D9" i="104"/>
  <c r="B8" i="104"/>
  <c r="D8" i="104"/>
  <c r="B7" i="104"/>
  <c r="D7" i="104"/>
  <c r="B6" i="104"/>
  <c r="D6" i="104"/>
  <c r="B5" i="104"/>
  <c r="D5" i="104"/>
  <c r="P25" i="99"/>
  <c r="M25" i="99"/>
  <c r="J25" i="99"/>
  <c r="G25" i="99"/>
  <c r="D25" i="99"/>
  <c r="P24" i="99"/>
  <c r="M24" i="99"/>
  <c r="J24" i="99"/>
  <c r="G24" i="99"/>
  <c r="D24" i="99"/>
  <c r="P23" i="99"/>
  <c r="M23" i="99"/>
  <c r="J23" i="99"/>
  <c r="G23" i="99"/>
  <c r="D23" i="99"/>
  <c r="P22" i="99"/>
  <c r="M22" i="99"/>
  <c r="J22" i="99"/>
  <c r="G22" i="99"/>
  <c r="D22" i="99"/>
  <c r="P21" i="99"/>
  <c r="M21" i="99"/>
  <c r="J21" i="99"/>
  <c r="G21" i="99"/>
  <c r="D21" i="99"/>
  <c r="P20" i="99"/>
  <c r="M20" i="99"/>
  <c r="J20" i="99"/>
  <c r="G20" i="99"/>
  <c r="D20" i="99"/>
  <c r="P19" i="99"/>
  <c r="M19" i="99"/>
  <c r="J19" i="99"/>
  <c r="G19" i="99"/>
  <c r="D19" i="99"/>
  <c r="P18" i="99"/>
  <c r="M18" i="99"/>
  <c r="J18" i="99"/>
  <c r="G18" i="99"/>
  <c r="D18" i="99"/>
  <c r="P17" i="99"/>
  <c r="M17" i="99"/>
  <c r="J17" i="99"/>
  <c r="G17" i="99"/>
  <c r="D17" i="99"/>
  <c r="P16" i="99"/>
  <c r="M16" i="99"/>
  <c r="J16" i="99"/>
  <c r="G16" i="99"/>
  <c r="D16" i="99"/>
  <c r="P15" i="99"/>
  <c r="M15" i="99"/>
  <c r="J15" i="99"/>
  <c r="G15" i="99"/>
  <c r="D15" i="99"/>
  <c r="P14" i="99"/>
  <c r="M14" i="99"/>
  <c r="J14" i="99"/>
  <c r="G14" i="99"/>
  <c r="D14" i="99"/>
  <c r="P13" i="99"/>
  <c r="M13" i="99"/>
  <c r="J13" i="99"/>
  <c r="G13" i="99"/>
  <c r="D13" i="99"/>
  <c r="P12" i="99"/>
  <c r="M12" i="99"/>
  <c r="J12" i="99"/>
  <c r="G12" i="99"/>
  <c r="D12" i="99"/>
  <c r="P11" i="99"/>
  <c r="M11" i="99"/>
  <c r="J11" i="99"/>
  <c r="G11" i="99"/>
  <c r="D11" i="99"/>
  <c r="P10" i="99"/>
  <c r="M10" i="99"/>
  <c r="J10" i="99"/>
  <c r="G10" i="99"/>
  <c r="D10" i="99"/>
  <c r="P9" i="99"/>
  <c r="M9" i="99"/>
  <c r="J9" i="99"/>
  <c r="G9" i="99"/>
  <c r="D9" i="99"/>
  <c r="P8" i="99"/>
  <c r="M8" i="99"/>
  <c r="J8" i="99"/>
  <c r="G8" i="99"/>
  <c r="D8" i="99"/>
  <c r="P7" i="99"/>
  <c r="M7" i="99"/>
  <c r="J7" i="99"/>
  <c r="G7" i="99"/>
  <c r="D7" i="99"/>
  <c r="P6" i="99"/>
  <c r="M6" i="99"/>
  <c r="J6" i="99"/>
  <c r="G6" i="99"/>
  <c r="D6" i="99"/>
  <c r="L4" i="97"/>
  <c r="K4" i="97"/>
  <c r="J4" i="97"/>
  <c r="I4" i="97"/>
  <c r="H4" i="97"/>
  <c r="G4" i="97"/>
  <c r="F4" i="97"/>
  <c r="E4" i="97"/>
  <c r="D4" i="97"/>
  <c r="C4" i="97"/>
  <c r="D15" i="94"/>
  <c r="D14" i="94"/>
  <c r="D13" i="94"/>
  <c r="D12" i="94"/>
  <c r="D11" i="94"/>
  <c r="D10" i="94"/>
  <c r="D9" i="94"/>
  <c r="D8" i="94"/>
  <c r="D7" i="94"/>
  <c r="D6" i="94"/>
  <c r="D13" i="93"/>
  <c r="D12" i="93"/>
  <c r="D11" i="93"/>
  <c r="D10" i="93"/>
  <c r="D9" i="93"/>
  <c r="D8" i="93"/>
  <c r="D7" i="93"/>
  <c r="D6" i="93"/>
  <c r="D5" i="93"/>
  <c r="D4" i="93"/>
  <c r="D15" i="92"/>
  <c r="D14" i="92"/>
  <c r="D13" i="92"/>
  <c r="D12" i="92"/>
  <c r="D11" i="92"/>
  <c r="E6" i="91"/>
  <c r="E5" i="91"/>
  <c r="E4" i="91"/>
  <c r="L14" i="39"/>
  <c r="F14" i="39"/>
  <c r="U23" i="41"/>
  <c r="T23" i="41"/>
  <c r="Q23" i="41"/>
  <c r="P23" i="41"/>
  <c r="K23" i="41"/>
  <c r="J23" i="41"/>
  <c r="K4" i="41"/>
  <c r="I13" i="39"/>
  <c r="E14" i="39"/>
  <c r="E13" i="39"/>
  <c r="D14" i="39"/>
  <c r="D13" i="39"/>
  <c r="C14" i="39"/>
  <c r="C13" i="39"/>
  <c r="B14" i="39"/>
  <c r="B13" i="39"/>
  <c r="D26" i="35"/>
  <c r="D22" i="35"/>
  <c r="D23" i="35"/>
  <c r="D27" i="35"/>
  <c r="D25" i="35"/>
  <c r="D24" i="35"/>
  <c r="E21" i="35"/>
  <c r="D21" i="35"/>
  <c r="I17" i="28"/>
  <c r="G17" i="28"/>
  <c r="I16" i="28"/>
  <c r="G16" i="28"/>
  <c r="I15" i="28"/>
  <c r="G15" i="28"/>
  <c r="I14" i="28"/>
  <c r="G14" i="28"/>
  <c r="I13" i="28"/>
  <c r="G13" i="28"/>
  <c r="I12" i="28"/>
  <c r="G12" i="28"/>
  <c r="I11" i="28"/>
  <c r="G11" i="28"/>
  <c r="I10" i="28"/>
  <c r="G10" i="28"/>
  <c r="I9" i="28"/>
  <c r="G9" i="28"/>
  <c r="I8" i="28"/>
  <c r="G8" i="28"/>
  <c r="N33" i="32"/>
  <c r="M33" i="32"/>
  <c r="L33" i="32"/>
  <c r="K33" i="32"/>
  <c r="J33" i="32"/>
  <c r="I33" i="32"/>
  <c r="H33" i="32"/>
  <c r="G33" i="32"/>
  <c r="F33" i="32"/>
  <c r="E33" i="32"/>
  <c r="D33" i="32"/>
  <c r="C33" i="32"/>
  <c r="N15" i="32"/>
  <c r="M15" i="32"/>
  <c r="L15" i="32"/>
  <c r="K15" i="32"/>
  <c r="J15" i="32"/>
  <c r="I15" i="32"/>
  <c r="H15" i="32"/>
  <c r="G15" i="32"/>
  <c r="F15" i="32"/>
  <c r="E15" i="32"/>
  <c r="D15" i="32"/>
  <c r="C15" i="32"/>
  <c r="N12" i="32"/>
  <c r="M12" i="32"/>
  <c r="L12" i="32"/>
  <c r="K12" i="32"/>
  <c r="J12" i="32"/>
  <c r="I12" i="32"/>
  <c r="H12" i="32"/>
  <c r="G12" i="32"/>
  <c r="F12" i="32"/>
  <c r="E12" i="32"/>
  <c r="D12" i="32"/>
  <c r="C12" i="32"/>
  <c r="N9" i="32"/>
  <c r="M9" i="32"/>
  <c r="L9" i="32"/>
  <c r="K9" i="32"/>
  <c r="J9" i="32"/>
  <c r="I9" i="32"/>
  <c r="H9" i="32"/>
  <c r="G9" i="32"/>
  <c r="F9" i="32"/>
  <c r="E9" i="32"/>
  <c r="D9" i="32"/>
  <c r="C9" i="32"/>
  <c r="N6" i="32"/>
  <c r="M6" i="32"/>
  <c r="L6" i="32"/>
  <c r="K6" i="32"/>
  <c r="J6" i="32"/>
  <c r="I6" i="32"/>
  <c r="H6" i="32"/>
  <c r="G6" i="32"/>
  <c r="F6" i="32"/>
  <c r="E6" i="32"/>
  <c r="D6" i="32"/>
  <c r="C6" i="32"/>
  <c r="N3" i="32"/>
  <c r="C3" i="32"/>
  <c r="M3" i="32"/>
  <c r="L3" i="32"/>
  <c r="K3" i="32"/>
  <c r="J3" i="32"/>
  <c r="I3" i="32"/>
  <c r="H3" i="32"/>
  <c r="G3" i="32"/>
  <c r="F3" i="32"/>
  <c r="I7" i="28"/>
  <c r="G7" i="28"/>
  <c r="D3" i="32"/>
  <c r="E3" i="32"/>
</calcChain>
</file>

<file path=xl/sharedStrings.xml><?xml version="1.0" encoding="utf-8"?>
<sst xmlns="http://schemas.openxmlformats.org/spreadsheetml/2006/main" count="13235" uniqueCount="4174">
  <si>
    <t>%</t>
  </si>
  <si>
    <t>-</t>
  </si>
  <si>
    <t>-16,189 (-5.69%)</t>
    <phoneticPr fontId="6" type="noConversion"/>
  </si>
  <si>
    <t>-12,176 (-4.49%)</t>
    <phoneticPr fontId="6" type="noConversion"/>
  </si>
  <si>
    <t>-69.43 (-5.75%)</t>
    <phoneticPr fontId="6" type="noConversion"/>
  </si>
  <si>
    <t>-</t>
    <phoneticPr fontId="44" type="noConversion"/>
  </si>
  <si>
    <t>-</t>
    <phoneticPr fontId="6" type="noConversion"/>
  </si>
  <si>
    <r>
      <t>99</t>
    </r>
    <r>
      <rPr>
        <sz val="11"/>
        <rFont val="新細明體"/>
        <family val="1"/>
        <charset val="136"/>
      </rPr>
      <t>年</t>
    </r>
    <phoneticPr fontId="6" type="noConversion"/>
  </si>
  <si>
    <r>
      <t>100</t>
    </r>
    <r>
      <rPr>
        <sz val="11"/>
        <rFont val="新細明體"/>
        <family val="1"/>
        <charset val="136"/>
      </rPr>
      <t>年</t>
    </r>
    <phoneticPr fontId="6" type="noConversion"/>
  </si>
  <si>
    <r>
      <t>101</t>
    </r>
    <r>
      <rPr>
        <sz val="11"/>
        <rFont val="新細明體"/>
        <family val="1"/>
        <charset val="136"/>
      </rPr>
      <t>年</t>
    </r>
    <phoneticPr fontId="6" type="noConversion"/>
  </si>
  <si>
    <r>
      <t>102</t>
    </r>
    <r>
      <rPr>
        <sz val="11"/>
        <rFont val="新細明體"/>
        <family val="1"/>
        <charset val="136"/>
      </rPr>
      <t>年</t>
    </r>
    <phoneticPr fontId="6" type="noConversion"/>
  </si>
  <si>
    <r>
      <t>103</t>
    </r>
    <r>
      <rPr>
        <sz val="11"/>
        <rFont val="新細明體"/>
        <family val="1"/>
        <charset val="136"/>
      </rPr>
      <t>年</t>
    </r>
    <phoneticPr fontId="6" type="noConversion"/>
  </si>
  <si>
    <r>
      <t>104</t>
    </r>
    <r>
      <rPr>
        <sz val="11"/>
        <rFont val="新細明體"/>
        <family val="1"/>
        <charset val="136"/>
      </rPr>
      <t>年</t>
    </r>
    <phoneticPr fontId="44" type="noConversion"/>
  </si>
  <si>
    <r>
      <t>105</t>
    </r>
    <r>
      <rPr>
        <sz val="11"/>
        <rFont val="新細明體"/>
        <family val="1"/>
        <charset val="136"/>
      </rPr>
      <t>年</t>
    </r>
    <phoneticPr fontId="6" type="noConversion"/>
  </si>
  <si>
    <r>
      <t>106</t>
    </r>
    <r>
      <rPr>
        <sz val="11"/>
        <rFont val="新細明體"/>
        <family val="1"/>
        <charset val="136"/>
      </rPr>
      <t>年</t>
    </r>
    <phoneticPr fontId="6" type="noConversion"/>
  </si>
  <si>
    <r>
      <t>107</t>
    </r>
    <r>
      <rPr>
        <sz val="11"/>
        <rFont val="新細明體"/>
        <family val="1"/>
        <charset val="136"/>
      </rPr>
      <t>年</t>
    </r>
    <phoneticPr fontId="6" type="noConversion"/>
  </si>
  <si>
    <r>
      <t>108</t>
    </r>
    <r>
      <rPr>
        <sz val="11"/>
        <rFont val="新細明體"/>
        <family val="1"/>
        <charset val="136"/>
      </rPr>
      <t>年</t>
    </r>
    <phoneticPr fontId="6" type="noConversion"/>
  </si>
  <si>
    <r>
      <t>99</t>
    </r>
    <r>
      <rPr>
        <sz val="11"/>
        <rFont val="新細明體"/>
        <family val="1"/>
        <charset val="136"/>
      </rPr>
      <t>年</t>
    </r>
  </si>
  <si>
    <r>
      <t>100</t>
    </r>
    <r>
      <rPr>
        <sz val="11"/>
        <rFont val="新細明體"/>
        <family val="1"/>
        <charset val="136"/>
      </rPr>
      <t>年</t>
    </r>
  </si>
  <si>
    <r>
      <t>101</t>
    </r>
    <r>
      <rPr>
        <sz val="11"/>
        <rFont val="新細明體"/>
        <family val="1"/>
        <charset val="136"/>
      </rPr>
      <t>年</t>
    </r>
  </si>
  <si>
    <r>
      <rPr>
        <sz val="11"/>
        <rFont val="新細明體"/>
        <family val="1"/>
        <charset val="136"/>
      </rPr>
      <t>嫌疑人</t>
    </r>
    <phoneticPr fontId="44" type="noConversion"/>
  </si>
  <si>
    <r>
      <rPr>
        <sz val="11"/>
        <rFont val="新細明體"/>
        <family val="1"/>
        <charset val="136"/>
      </rPr>
      <t>總</t>
    </r>
    <r>
      <rPr>
        <sz val="11"/>
        <rFont val="Times New Roman"/>
        <family val="1"/>
      </rPr>
      <t xml:space="preserve">    </t>
    </r>
    <r>
      <rPr>
        <sz val="11"/>
        <rFont val="新細明體"/>
        <family val="1"/>
        <charset val="136"/>
      </rPr>
      <t>計</t>
    </r>
    <phoneticPr fontId="44" type="noConversion"/>
  </si>
  <si>
    <r>
      <rPr>
        <sz val="11"/>
        <rFont val="新細明體"/>
        <family val="1"/>
        <charset val="136"/>
      </rPr>
      <t>酒後駕車</t>
    </r>
    <phoneticPr fontId="44" type="noConversion"/>
  </si>
  <si>
    <r>
      <rPr>
        <sz val="11"/>
        <rFont val="新細明體"/>
        <family val="1"/>
        <charset val="136"/>
      </rPr>
      <t>肇事逃逸</t>
    </r>
    <phoneticPr fontId="44" type="noConversion"/>
  </si>
  <si>
    <r>
      <rPr>
        <sz val="11"/>
        <rFont val="新細明體"/>
        <family val="1"/>
        <charset val="136"/>
      </rPr>
      <t>縱火</t>
    </r>
    <phoneticPr fontId="44" type="noConversion"/>
  </si>
  <si>
    <r>
      <rPr>
        <sz val="11"/>
        <rFont val="新細明體"/>
        <family val="1"/>
        <charset val="136"/>
      </rPr>
      <t>失火</t>
    </r>
    <r>
      <rPr>
        <sz val="11"/>
        <rFont val="Times New Roman"/>
        <family val="1"/>
      </rPr>
      <t>(</t>
    </r>
    <r>
      <rPr>
        <sz val="11"/>
        <rFont val="新細明體"/>
        <family val="1"/>
        <charset val="136"/>
      </rPr>
      <t>玩火</t>
    </r>
    <r>
      <rPr>
        <sz val="11"/>
        <rFont val="Times New Roman"/>
        <family val="1"/>
      </rPr>
      <t>)</t>
    </r>
    <phoneticPr fontId="44" type="noConversion"/>
  </si>
  <si>
    <r>
      <rPr>
        <sz val="11"/>
        <rFont val="新細明體"/>
        <family val="1"/>
        <charset val="136"/>
      </rPr>
      <t>服毒品駕駛</t>
    </r>
    <phoneticPr fontId="44" type="noConversion"/>
  </si>
  <si>
    <r>
      <rPr>
        <sz val="11"/>
        <rFont val="新細明體"/>
        <family val="1"/>
        <charset val="136"/>
      </rPr>
      <t>危害舟車航空</t>
    </r>
    <phoneticPr fontId="44" type="noConversion"/>
  </si>
  <si>
    <r>
      <rPr>
        <sz val="11"/>
        <rFont val="新細明體"/>
        <family val="1"/>
        <charset val="136"/>
      </rPr>
      <t>飆車</t>
    </r>
    <phoneticPr fontId="44" type="noConversion"/>
  </si>
  <si>
    <r>
      <rPr>
        <sz val="11"/>
        <rFont val="新細明體"/>
        <family val="1"/>
        <charset val="136"/>
      </rPr>
      <t>煙蒂燃燭冥紙起火</t>
    </r>
    <phoneticPr fontId="44" type="noConversion"/>
  </si>
  <si>
    <r>
      <rPr>
        <sz val="11"/>
        <rFont val="新細明體"/>
        <family val="1"/>
        <charset val="136"/>
      </rPr>
      <t>投放毒物（妨害公眾飲水）</t>
    </r>
    <phoneticPr fontId="6" type="noConversion"/>
  </si>
  <si>
    <r>
      <rPr>
        <sz val="11"/>
        <rFont val="新細明體"/>
        <family val="1"/>
        <charset val="136"/>
      </rPr>
      <t>傾覆或破壞
交通工具</t>
    </r>
  </si>
  <si>
    <r>
      <rPr>
        <sz val="11"/>
        <rFont val="新細明體"/>
        <family val="1"/>
        <charset val="136"/>
      </rPr>
      <t xml:space="preserve">破壞防
</t>
    </r>
    <r>
      <rPr>
        <sz val="11"/>
        <rFont val="Times New Roman"/>
        <family val="1"/>
      </rPr>
      <t>(</t>
    </r>
    <r>
      <rPr>
        <sz val="11"/>
        <rFont val="新細明體"/>
        <family val="1"/>
        <charset val="136"/>
      </rPr>
      <t>蓄</t>
    </r>
    <r>
      <rPr>
        <sz val="11"/>
        <rFont val="Times New Roman"/>
        <family val="1"/>
      </rPr>
      <t>)</t>
    </r>
    <r>
      <rPr>
        <sz val="11"/>
        <rFont val="新細明體"/>
        <family val="1"/>
        <charset val="136"/>
      </rPr>
      <t>水設備</t>
    </r>
  </si>
  <si>
    <r>
      <rPr>
        <sz val="11"/>
        <rFont val="新細明體"/>
        <family val="1"/>
        <charset val="136"/>
      </rPr>
      <t>妨害公用事業</t>
    </r>
    <phoneticPr fontId="6" type="noConversion"/>
  </si>
  <si>
    <r>
      <rPr>
        <sz val="11"/>
        <rFont val="新細明體"/>
        <family val="1"/>
        <charset val="136"/>
      </rPr>
      <t>漏逸或間隔各種氣體</t>
    </r>
    <phoneticPr fontId="6" type="noConversion"/>
  </si>
  <si>
    <r>
      <rPr>
        <sz val="11"/>
        <rFont val="新細明體"/>
        <family val="1"/>
        <charset val="136"/>
      </rPr>
      <t>製售陳列妨害衛生物品</t>
    </r>
    <phoneticPr fontId="6" type="noConversion"/>
  </si>
  <si>
    <r>
      <rPr>
        <sz val="11"/>
        <rFont val="新細明體"/>
        <family val="1"/>
        <charset val="136"/>
      </rPr>
      <t>破壞電訊</t>
    </r>
    <phoneticPr fontId="6" type="noConversion"/>
  </si>
  <si>
    <r>
      <rPr>
        <sz val="11"/>
        <rFont val="新細明體"/>
        <family val="1"/>
        <charset val="136"/>
      </rPr>
      <t>破壞水管油管</t>
    </r>
    <phoneticPr fontId="6" type="noConversion"/>
  </si>
  <si>
    <r>
      <rPr>
        <sz val="11"/>
        <rFont val="新細明體"/>
        <family val="1"/>
        <charset val="136"/>
      </rPr>
      <t>投擲引爆</t>
    </r>
    <phoneticPr fontId="6" type="noConversion"/>
  </si>
  <si>
    <r>
      <rPr>
        <sz val="11"/>
        <rFont val="新細明體"/>
        <family val="1"/>
        <charset val="136"/>
      </rPr>
      <t>各式爆裂物爆炸</t>
    </r>
    <phoneticPr fontId="6" type="noConversion"/>
  </si>
  <si>
    <r>
      <rPr>
        <sz val="11"/>
        <rFont val="新細明體"/>
        <family val="1"/>
        <charset val="136"/>
      </rPr>
      <t>使用爆裂物
致公共危險</t>
    </r>
  </si>
  <si>
    <r>
      <rPr>
        <sz val="11"/>
        <rFont val="新細明體"/>
        <family val="1"/>
        <charset val="136"/>
      </rPr>
      <t>過失致爆裂物
爆炸而生危險</t>
    </r>
  </si>
  <si>
    <r>
      <rPr>
        <sz val="11"/>
        <rFont val="新細明體"/>
        <family val="1"/>
        <charset val="136"/>
      </rPr>
      <t>決水決堤</t>
    </r>
    <phoneticPr fontId="6" type="noConversion"/>
  </si>
  <si>
    <r>
      <rPr>
        <sz val="11"/>
        <rFont val="新細明體"/>
        <family val="1"/>
        <charset val="136"/>
      </rPr>
      <t>妨害救火防水</t>
    </r>
    <phoneticPr fontId="6" type="noConversion"/>
  </si>
  <si>
    <r>
      <rPr>
        <sz val="11"/>
        <rFont val="新細明體"/>
        <family val="1"/>
        <charset val="136"/>
      </rPr>
      <t>違背建築成規</t>
    </r>
    <phoneticPr fontId="6" type="noConversion"/>
  </si>
  <si>
    <r>
      <rPr>
        <sz val="11"/>
        <rFont val="新細明體"/>
        <family val="1"/>
        <charset val="136"/>
      </rPr>
      <t>預防散布病菌</t>
    </r>
    <phoneticPr fontId="6" type="noConversion"/>
  </si>
  <si>
    <r>
      <rPr>
        <sz val="11"/>
        <rFont val="新細明體"/>
        <family val="1"/>
        <charset val="136"/>
      </rPr>
      <t>損壞礦坑工廠</t>
    </r>
    <phoneticPr fontId="6" type="noConversion"/>
  </si>
  <si>
    <r>
      <rPr>
        <sz val="11"/>
        <rFont val="新細明體"/>
        <family val="1"/>
        <charset val="136"/>
      </rPr>
      <t>漏電起火</t>
    </r>
    <phoneticPr fontId="6" type="noConversion"/>
  </si>
  <si>
    <r>
      <rPr>
        <sz val="11"/>
        <rFont val="新細明體"/>
        <family val="1"/>
        <charset val="136"/>
      </rPr>
      <t>燃油炸灶起火</t>
    </r>
    <phoneticPr fontId="6" type="noConversion"/>
  </si>
  <si>
    <r>
      <rPr>
        <sz val="11"/>
        <rFont val="新細明體"/>
        <family val="1"/>
        <charset val="136"/>
      </rPr>
      <t>煤氣爆炸</t>
    </r>
    <phoneticPr fontId="6" type="noConversion"/>
  </si>
  <si>
    <r>
      <rPr>
        <sz val="11"/>
        <rFont val="新細明體"/>
        <family val="1"/>
        <charset val="136"/>
      </rPr>
      <t>預置引爆</t>
    </r>
    <phoneticPr fontId="6" type="noConversion"/>
  </si>
  <si>
    <r>
      <rPr>
        <sz val="11"/>
        <rFont val="新細明體"/>
        <family val="1"/>
        <charset val="136"/>
      </rPr>
      <t>持射建築物等</t>
    </r>
    <phoneticPr fontId="6" type="noConversion"/>
  </si>
  <si>
    <r>
      <rPr>
        <sz val="11"/>
        <rFont val="新細明體"/>
        <family val="1"/>
        <charset val="136"/>
      </rPr>
      <t>堆積屯放物品</t>
    </r>
    <phoneticPr fontId="6" type="noConversion"/>
  </si>
  <si>
    <r>
      <rPr>
        <sz val="11"/>
        <rFont val="新細明體"/>
        <family val="1"/>
        <charset val="136"/>
      </rPr>
      <t>劫供公眾運輸之舟</t>
    </r>
    <phoneticPr fontId="6" type="noConversion"/>
  </si>
  <si>
    <r>
      <rPr>
        <sz val="11"/>
        <rFont val="新細明體"/>
        <family val="1"/>
        <charset val="136"/>
      </rPr>
      <t>劫供公眾運輸之車</t>
    </r>
    <phoneticPr fontId="6" type="noConversion"/>
  </si>
  <si>
    <r>
      <rPr>
        <sz val="11"/>
        <rFont val="新細明體"/>
        <family val="1"/>
        <charset val="136"/>
      </rPr>
      <t>危害飛航安全或其設施</t>
    </r>
    <phoneticPr fontId="6" type="noConversion"/>
  </si>
  <si>
    <r>
      <rPr>
        <sz val="11"/>
        <rFont val="新細明體"/>
        <family val="1"/>
        <charset val="136"/>
      </rPr>
      <t>毀損航空器或設施</t>
    </r>
    <phoneticPr fontId="6" type="noConversion"/>
  </si>
  <si>
    <r>
      <rPr>
        <sz val="11"/>
        <rFont val="新細明體"/>
        <family val="1"/>
        <charset val="136"/>
      </rPr>
      <t>非法製販運輸持有核能原料</t>
    </r>
    <phoneticPr fontId="6" type="noConversion"/>
  </si>
  <si>
    <r>
      <rPr>
        <sz val="11"/>
        <color theme="1"/>
        <rFont val="新細明體"/>
        <family val="1"/>
        <charset val="136"/>
      </rPr>
      <t>過失放逸核能致生危險</t>
    </r>
    <phoneticPr fontId="6" type="noConversion"/>
  </si>
  <si>
    <r>
      <rPr>
        <sz val="11"/>
        <rFont val="新細明體"/>
        <family val="1"/>
        <charset val="136"/>
      </rPr>
      <t>損毀廠房致生危險他人健康</t>
    </r>
    <phoneticPr fontId="6" type="noConversion"/>
  </si>
  <si>
    <r>
      <rPr>
        <sz val="11"/>
        <rFont val="新細明體"/>
        <family val="1"/>
        <charset val="136"/>
      </rPr>
      <t>阻塞戲院商場餐廳旅店逃生通道</t>
    </r>
    <phoneticPr fontId="6" type="noConversion"/>
  </si>
  <si>
    <r>
      <rPr>
        <sz val="11"/>
        <rFont val="新細明體"/>
        <family val="1"/>
        <charset val="136"/>
      </rPr>
      <t>阻塞住宅大廈之逃生通道</t>
    </r>
    <phoneticPr fontId="6" type="noConversion"/>
  </si>
  <si>
    <r>
      <rPr>
        <sz val="11"/>
        <rFont val="新細明體"/>
        <family val="1"/>
        <charset val="136"/>
      </rPr>
      <t>污染水流公害</t>
    </r>
    <phoneticPr fontId="6" type="noConversion"/>
  </si>
  <si>
    <r>
      <rPr>
        <sz val="11"/>
        <rFont val="新細明體"/>
        <family val="1"/>
        <charset val="136"/>
      </rPr>
      <t>過失污染水流公害</t>
    </r>
    <phoneticPr fontId="6" type="noConversion"/>
  </si>
  <si>
    <r>
      <rPr>
        <sz val="11"/>
        <rFont val="新細明體"/>
        <family val="1"/>
        <charset val="136"/>
      </rPr>
      <t>千面人犯罪手法</t>
    </r>
    <phoneticPr fontId="6" type="noConversion"/>
  </si>
  <si>
    <r>
      <rPr>
        <sz val="11"/>
        <rFont val="新細明體"/>
        <family val="1"/>
        <charset val="136"/>
      </rPr>
      <t>資料來源：內政部警政署刑事警察局</t>
    </r>
    <phoneticPr fontId="44" type="noConversion"/>
  </si>
  <si>
    <r>
      <rPr>
        <sz val="12"/>
        <rFont val="新細明體"/>
        <family val="1"/>
        <charset val="136"/>
      </rPr>
      <t>表</t>
    </r>
    <r>
      <rPr>
        <sz val="12"/>
        <rFont val="Times New Roman"/>
        <family val="1"/>
      </rPr>
      <t xml:space="preserve">1-2-5   </t>
    </r>
    <r>
      <rPr>
        <sz val="12"/>
        <rFont val="新細明體"/>
        <family val="1"/>
        <charset val="136"/>
      </rPr>
      <t>近</t>
    </r>
    <r>
      <rPr>
        <sz val="12"/>
        <rFont val="Times New Roman"/>
        <family val="1"/>
      </rPr>
      <t>10</t>
    </r>
    <r>
      <rPr>
        <sz val="12"/>
        <rFont val="新細明體"/>
        <family val="1"/>
        <charset val="136"/>
      </rPr>
      <t>年詐欺案件被害總金額</t>
    </r>
    <phoneticPr fontId="6" type="noConversion"/>
  </si>
  <si>
    <r>
      <rPr>
        <sz val="12"/>
        <color theme="1"/>
        <rFont val="新細明體"/>
        <family val="1"/>
        <charset val="136"/>
      </rPr>
      <t>單位：新臺幣元</t>
    </r>
    <phoneticPr fontId="6" type="noConversion"/>
  </si>
  <si>
    <r>
      <t>99</t>
    </r>
    <r>
      <rPr>
        <sz val="12"/>
        <color theme="1"/>
        <rFont val="新細明體"/>
        <family val="1"/>
        <charset val="136"/>
      </rPr>
      <t>年</t>
    </r>
  </si>
  <si>
    <r>
      <t>100</t>
    </r>
    <r>
      <rPr>
        <sz val="12"/>
        <color theme="1"/>
        <rFont val="新細明體"/>
        <family val="1"/>
        <charset val="136"/>
      </rPr>
      <t>年</t>
    </r>
  </si>
  <si>
    <r>
      <t>101</t>
    </r>
    <r>
      <rPr>
        <sz val="12"/>
        <color theme="1"/>
        <rFont val="新細明體"/>
        <family val="1"/>
        <charset val="136"/>
      </rPr>
      <t>年</t>
    </r>
  </si>
  <si>
    <r>
      <t>102</t>
    </r>
    <r>
      <rPr>
        <sz val="12"/>
        <color theme="1"/>
        <rFont val="新細明體"/>
        <family val="1"/>
        <charset val="136"/>
      </rPr>
      <t>年</t>
    </r>
  </si>
  <si>
    <r>
      <t>103</t>
    </r>
    <r>
      <rPr>
        <sz val="12"/>
        <color theme="1"/>
        <rFont val="新細明體"/>
        <family val="1"/>
        <charset val="136"/>
      </rPr>
      <t>年</t>
    </r>
  </si>
  <si>
    <r>
      <t>104</t>
    </r>
    <r>
      <rPr>
        <sz val="12"/>
        <color theme="1"/>
        <rFont val="新細明體"/>
        <family val="1"/>
        <charset val="136"/>
      </rPr>
      <t>年</t>
    </r>
  </si>
  <si>
    <r>
      <t>105</t>
    </r>
    <r>
      <rPr>
        <sz val="12"/>
        <color theme="1"/>
        <rFont val="新細明體"/>
        <family val="1"/>
        <charset val="136"/>
      </rPr>
      <t>年</t>
    </r>
  </si>
  <si>
    <r>
      <t>106</t>
    </r>
    <r>
      <rPr>
        <sz val="12"/>
        <color theme="1"/>
        <rFont val="新細明體"/>
        <family val="1"/>
        <charset val="136"/>
      </rPr>
      <t>年</t>
    </r>
  </si>
  <si>
    <r>
      <t>107</t>
    </r>
    <r>
      <rPr>
        <sz val="12"/>
        <color theme="1"/>
        <rFont val="新細明體"/>
        <family val="1"/>
        <charset val="136"/>
      </rPr>
      <t>年</t>
    </r>
  </si>
  <si>
    <r>
      <t>108</t>
    </r>
    <r>
      <rPr>
        <sz val="12"/>
        <color theme="1"/>
        <rFont val="新細明體"/>
        <family val="1"/>
        <charset val="136"/>
      </rPr>
      <t>年</t>
    </r>
  </si>
  <si>
    <r>
      <rPr>
        <sz val="15"/>
        <rFont val="新細明體"/>
        <family val="1"/>
        <charset val="136"/>
      </rPr>
      <t>表</t>
    </r>
    <r>
      <rPr>
        <sz val="15"/>
        <rFont val="Times New Roman"/>
        <family val="1"/>
      </rPr>
      <t xml:space="preserve">1-2-4   </t>
    </r>
    <r>
      <rPr>
        <sz val="15"/>
        <rFont val="新細明體"/>
        <family val="1"/>
        <charset val="136"/>
      </rPr>
      <t>近</t>
    </r>
    <r>
      <rPr>
        <sz val="15"/>
        <rFont val="Times New Roman"/>
        <family val="1"/>
      </rPr>
      <t>10</t>
    </r>
    <r>
      <rPr>
        <sz val="15"/>
        <rFont val="新細明體"/>
        <family val="1"/>
        <charset val="136"/>
      </rPr>
      <t>年竊盜案件犯罪方式嫌疑人數分析</t>
    </r>
    <phoneticPr fontId="44" type="noConversion"/>
  </si>
  <si>
    <r>
      <t>95</t>
    </r>
    <r>
      <rPr>
        <sz val="12"/>
        <color theme="1"/>
        <rFont val="新細明體"/>
        <family val="1"/>
        <charset val="136"/>
      </rPr>
      <t>年</t>
    </r>
  </si>
  <si>
    <r>
      <t>99</t>
    </r>
    <r>
      <rPr>
        <sz val="12"/>
        <color theme="1"/>
        <rFont val="新細明體"/>
        <family val="1"/>
        <charset val="136"/>
      </rPr>
      <t>年</t>
    </r>
    <phoneticPr fontId="44" type="noConversion"/>
  </si>
  <si>
    <r>
      <t>100</t>
    </r>
    <r>
      <rPr>
        <sz val="12"/>
        <color theme="1"/>
        <rFont val="新細明體"/>
        <family val="1"/>
        <charset val="136"/>
      </rPr>
      <t>年</t>
    </r>
    <phoneticPr fontId="44" type="noConversion"/>
  </si>
  <si>
    <r>
      <t>101</t>
    </r>
    <r>
      <rPr>
        <sz val="12"/>
        <color theme="1"/>
        <rFont val="新細明體"/>
        <family val="1"/>
        <charset val="136"/>
      </rPr>
      <t>年</t>
    </r>
    <phoneticPr fontId="44" type="noConversion"/>
  </si>
  <si>
    <r>
      <t>102</t>
    </r>
    <r>
      <rPr>
        <sz val="12"/>
        <color theme="1"/>
        <rFont val="新細明體"/>
        <family val="1"/>
        <charset val="136"/>
      </rPr>
      <t>年</t>
    </r>
    <phoneticPr fontId="44" type="noConversion"/>
  </si>
  <si>
    <r>
      <t>103</t>
    </r>
    <r>
      <rPr>
        <sz val="12"/>
        <color theme="1"/>
        <rFont val="新細明體"/>
        <family val="1"/>
        <charset val="136"/>
      </rPr>
      <t>年</t>
    </r>
    <phoneticPr fontId="44" type="noConversion"/>
  </si>
  <si>
    <r>
      <rPr>
        <sz val="12"/>
        <color theme="1"/>
        <rFont val="新細明體"/>
        <family val="1"/>
        <charset val="136"/>
      </rPr>
      <t>嫌疑人數</t>
    </r>
    <phoneticPr fontId="44" type="noConversion"/>
  </si>
  <si>
    <r>
      <rPr>
        <sz val="12"/>
        <color theme="1"/>
        <rFont val="新細明體"/>
        <family val="1"/>
        <charset val="136"/>
      </rPr>
      <t>百分比</t>
    </r>
    <phoneticPr fontId="44" type="noConversion"/>
  </si>
  <si>
    <r>
      <rPr>
        <sz val="12"/>
        <color theme="1"/>
        <rFont val="新細明體"/>
        <family val="1"/>
        <charset val="136"/>
      </rPr>
      <t>總計</t>
    </r>
    <phoneticPr fontId="44" type="noConversion"/>
  </si>
  <si>
    <r>
      <rPr>
        <sz val="12"/>
        <color theme="1"/>
        <rFont val="新細明體"/>
        <family val="1"/>
        <charset val="136"/>
      </rPr>
      <t>非侵入性竊盜</t>
    </r>
    <phoneticPr fontId="44" type="noConversion"/>
  </si>
  <si>
    <r>
      <rPr>
        <sz val="12"/>
        <color theme="1"/>
        <rFont val="新細明體"/>
        <family val="1"/>
        <charset val="136"/>
      </rPr>
      <t>計</t>
    </r>
    <phoneticPr fontId="44" type="noConversion"/>
  </si>
  <si>
    <r>
      <rPr>
        <sz val="12"/>
        <color theme="1"/>
        <rFont val="新細明體"/>
        <family val="1"/>
        <charset val="136"/>
      </rPr>
      <t>扒竊</t>
    </r>
    <phoneticPr fontId="44" type="noConversion"/>
  </si>
  <si>
    <r>
      <rPr>
        <sz val="12"/>
        <color theme="1"/>
        <rFont val="新細明體"/>
        <family val="1"/>
        <charset val="136"/>
      </rPr>
      <t>內竊</t>
    </r>
    <phoneticPr fontId="44" type="noConversion"/>
  </si>
  <si>
    <r>
      <rPr>
        <sz val="12"/>
        <color theme="1"/>
        <rFont val="新細明體"/>
        <family val="1"/>
        <charset val="136"/>
      </rPr>
      <t>侵入性竊盜</t>
    </r>
    <phoneticPr fontId="44" type="noConversion"/>
  </si>
  <si>
    <r>
      <rPr>
        <sz val="12"/>
        <color theme="1"/>
        <rFont val="新細明體"/>
        <family val="1"/>
        <charset val="136"/>
      </rPr>
      <t>小計</t>
    </r>
    <phoneticPr fontId="44" type="noConversion"/>
  </si>
  <si>
    <r>
      <rPr>
        <sz val="12"/>
        <color theme="1"/>
        <rFont val="新細明體"/>
        <family val="1"/>
        <charset val="136"/>
      </rPr>
      <t>非暴力侵入</t>
    </r>
    <phoneticPr fontId="44" type="noConversion"/>
  </si>
  <si>
    <r>
      <rPr>
        <sz val="12"/>
        <color theme="1"/>
        <rFont val="新細明體"/>
        <family val="1"/>
        <charset val="136"/>
      </rPr>
      <t>大搬家</t>
    </r>
    <phoneticPr fontId="44" type="noConversion"/>
  </si>
  <si>
    <r>
      <rPr>
        <sz val="12"/>
        <color theme="1"/>
        <rFont val="新細明體"/>
        <family val="1"/>
        <charset val="136"/>
      </rPr>
      <t>翻箱倒櫃</t>
    </r>
    <phoneticPr fontId="44" type="noConversion"/>
  </si>
  <si>
    <r>
      <rPr>
        <sz val="12"/>
        <color theme="1"/>
        <rFont val="新細明體"/>
        <family val="1"/>
        <charset val="136"/>
      </rPr>
      <t>專挑貴重</t>
    </r>
    <phoneticPr fontId="44" type="noConversion"/>
  </si>
  <si>
    <r>
      <rPr>
        <sz val="12"/>
        <color theme="1"/>
        <rFont val="新細明體"/>
        <family val="1"/>
        <charset val="136"/>
      </rPr>
      <t>順手牽羊</t>
    </r>
    <phoneticPr fontId="44" type="noConversion"/>
  </si>
  <si>
    <r>
      <rPr>
        <sz val="12"/>
        <color theme="1"/>
        <rFont val="新細明體"/>
        <family val="1"/>
        <charset val="136"/>
      </rPr>
      <t>其他</t>
    </r>
    <phoneticPr fontId="44" type="noConversion"/>
  </si>
  <si>
    <r>
      <rPr>
        <sz val="12"/>
        <color theme="1"/>
        <rFont val="新細明體"/>
        <family val="1"/>
        <charset val="136"/>
      </rPr>
      <t>暴力侵入</t>
    </r>
    <phoneticPr fontId="44" type="noConversion"/>
  </si>
  <si>
    <r>
      <rPr>
        <sz val="12"/>
        <color theme="1"/>
        <rFont val="新細明體"/>
        <family val="1"/>
        <charset val="136"/>
      </rPr>
      <t>竊盜保險櫃（含自動提款機）</t>
    </r>
    <phoneticPr fontId="44" type="noConversion"/>
  </si>
  <si>
    <r>
      <rPr>
        <sz val="11"/>
        <color theme="1"/>
        <rFont val="新細明體"/>
        <family val="1"/>
        <charset val="136"/>
      </rPr>
      <t>一般竊盜方法</t>
    </r>
    <phoneticPr fontId="44" type="noConversion"/>
  </si>
  <si>
    <r>
      <rPr>
        <sz val="11"/>
        <color theme="1"/>
        <rFont val="新細明體"/>
        <family val="1"/>
        <charset val="136"/>
      </rPr>
      <t>小計</t>
    </r>
    <phoneticPr fontId="44" type="noConversion"/>
  </si>
  <si>
    <r>
      <rPr>
        <sz val="12"/>
        <color theme="1"/>
        <rFont val="新細明體"/>
        <family val="1"/>
        <charset val="136"/>
      </rPr>
      <t>拆竊車牌</t>
    </r>
    <phoneticPr fontId="44" type="noConversion"/>
  </si>
  <si>
    <r>
      <rPr>
        <sz val="12"/>
        <color theme="1"/>
        <rFont val="新細明體"/>
        <family val="1"/>
        <charset val="136"/>
      </rPr>
      <t>拆竊車輛零件</t>
    </r>
    <phoneticPr fontId="44" type="noConversion"/>
  </si>
  <si>
    <r>
      <rPr>
        <sz val="12"/>
        <color theme="1"/>
        <rFont val="新細明體"/>
        <family val="1"/>
        <charset val="136"/>
      </rPr>
      <t>竊取報廢車輀</t>
    </r>
    <phoneticPr fontId="44" type="noConversion"/>
  </si>
  <si>
    <r>
      <rPr>
        <sz val="12"/>
        <color theme="1"/>
        <rFont val="新細明體"/>
        <family val="1"/>
        <charset val="136"/>
      </rPr>
      <t>竊電</t>
    </r>
    <phoneticPr fontId="44" type="noConversion"/>
  </si>
  <si>
    <r>
      <rPr>
        <sz val="12"/>
        <color theme="1"/>
        <rFont val="新細明體"/>
        <family val="1"/>
        <charset val="136"/>
      </rPr>
      <t>直接拿取</t>
    </r>
    <phoneticPr fontId="44" type="noConversion"/>
  </si>
  <si>
    <r>
      <rPr>
        <sz val="12"/>
        <color theme="1"/>
        <rFont val="新細明體"/>
        <family val="1"/>
        <charset val="136"/>
      </rPr>
      <t>破壞機櫃</t>
    </r>
    <phoneticPr fontId="44" type="noConversion"/>
  </si>
  <si>
    <r>
      <rPr>
        <sz val="12"/>
        <color theme="1"/>
        <rFont val="新細明體"/>
        <family val="1"/>
        <charset val="136"/>
      </rPr>
      <t>汽車竊盜</t>
    </r>
    <phoneticPr fontId="44" type="noConversion"/>
  </si>
  <si>
    <r>
      <rPr>
        <sz val="12"/>
        <color theme="1"/>
        <rFont val="新細明體"/>
        <family val="1"/>
        <charset val="136"/>
      </rPr>
      <t>機車竊盜</t>
    </r>
    <phoneticPr fontId="44" type="noConversion"/>
  </si>
  <si>
    <r>
      <t>105</t>
    </r>
    <r>
      <rPr>
        <sz val="12"/>
        <color theme="1"/>
        <rFont val="新細明體"/>
        <family val="1"/>
        <charset val="136"/>
      </rPr>
      <t>年</t>
    </r>
    <phoneticPr fontId="6" type="noConversion"/>
  </si>
  <si>
    <r>
      <t>106</t>
    </r>
    <r>
      <rPr>
        <sz val="12"/>
        <color theme="1"/>
        <rFont val="新細明體"/>
        <family val="1"/>
        <charset val="136"/>
      </rPr>
      <t>年</t>
    </r>
    <phoneticPr fontId="6" type="noConversion"/>
  </si>
  <si>
    <r>
      <t>107</t>
    </r>
    <r>
      <rPr>
        <sz val="12"/>
        <color theme="1"/>
        <rFont val="新細明體"/>
        <family val="1"/>
        <charset val="136"/>
      </rPr>
      <t>年</t>
    </r>
    <phoneticPr fontId="6" type="noConversion"/>
  </si>
  <si>
    <r>
      <t>108</t>
    </r>
    <r>
      <rPr>
        <sz val="12"/>
        <color theme="1"/>
        <rFont val="新細明體"/>
        <family val="1"/>
        <charset val="136"/>
      </rPr>
      <t>年</t>
    </r>
    <phoneticPr fontId="6" type="noConversion"/>
  </si>
  <si>
    <r>
      <rPr>
        <sz val="10"/>
        <rFont val="新細明體"/>
        <family val="1"/>
        <charset val="136"/>
      </rPr>
      <t>資料來源：內政部警政署刑事警察局</t>
    </r>
    <phoneticPr fontId="44" type="noConversion"/>
  </si>
  <si>
    <r>
      <rPr>
        <sz val="15"/>
        <rFont val="新細明體"/>
        <family val="1"/>
        <charset val="136"/>
      </rPr>
      <t>表</t>
    </r>
    <r>
      <rPr>
        <sz val="15"/>
        <rFont val="Times New Roman"/>
        <family val="1"/>
      </rPr>
      <t>1-2-2   108</t>
    </r>
    <r>
      <rPr>
        <sz val="15"/>
        <rFont val="新細明體"/>
        <family val="1"/>
        <charset val="136"/>
      </rPr>
      <t>年普通刑法犯罪發生數、犯罪率、破獲數、犯罪嫌疑人數－罪名分類</t>
    </r>
    <phoneticPr fontId="6" type="noConversion"/>
  </si>
  <si>
    <r>
      <rPr>
        <sz val="14"/>
        <color theme="1"/>
        <rFont val="新細明體"/>
        <family val="1"/>
        <charset val="136"/>
      </rPr>
      <t>發生數（件）</t>
    </r>
    <phoneticPr fontId="44" type="noConversion"/>
  </si>
  <si>
    <r>
      <rPr>
        <sz val="14"/>
        <color theme="1"/>
        <rFont val="新細明體"/>
        <family val="1"/>
        <charset val="136"/>
      </rPr>
      <t>犯罪率</t>
    </r>
    <r>
      <rPr>
        <sz val="14"/>
        <color theme="1"/>
        <rFont val="Times New Roman"/>
        <family val="1"/>
      </rPr>
      <t>(</t>
    </r>
    <r>
      <rPr>
        <sz val="14"/>
        <color theme="1"/>
        <rFont val="新細明體"/>
        <family val="1"/>
        <charset val="136"/>
      </rPr>
      <t>件</t>
    </r>
    <r>
      <rPr>
        <sz val="14"/>
        <color theme="1"/>
        <rFont val="Times New Roman"/>
        <family val="1"/>
      </rPr>
      <t>/10</t>
    </r>
    <r>
      <rPr>
        <sz val="14"/>
        <color theme="1"/>
        <rFont val="新細明體"/>
        <family val="1"/>
        <charset val="136"/>
      </rPr>
      <t>萬人口</t>
    </r>
    <r>
      <rPr>
        <sz val="14"/>
        <color theme="1"/>
        <rFont val="Times New Roman"/>
        <family val="1"/>
      </rPr>
      <t>)</t>
    </r>
    <phoneticPr fontId="44" type="noConversion"/>
  </si>
  <si>
    <r>
      <rPr>
        <sz val="14"/>
        <color theme="1"/>
        <rFont val="新細明體"/>
        <family val="1"/>
        <charset val="136"/>
      </rPr>
      <t>破獲數（件）</t>
    </r>
    <phoneticPr fontId="44" type="noConversion"/>
  </si>
  <si>
    <r>
      <rPr>
        <sz val="14"/>
        <color theme="1"/>
        <rFont val="新細明體"/>
        <family val="1"/>
        <charset val="136"/>
      </rPr>
      <t>犯罪嫌疑人數（人）</t>
    </r>
    <phoneticPr fontId="44" type="noConversion"/>
  </si>
  <si>
    <r>
      <rPr>
        <sz val="14"/>
        <color theme="1"/>
        <rFont val="新細明體"/>
        <family val="1"/>
        <charset val="136"/>
      </rPr>
      <t>與</t>
    </r>
    <r>
      <rPr>
        <sz val="14"/>
        <color theme="1"/>
        <rFont val="Times New Roman"/>
        <family val="1"/>
      </rPr>
      <t>107</t>
    </r>
    <r>
      <rPr>
        <sz val="14"/>
        <color theme="1"/>
        <rFont val="新細明體"/>
        <family val="1"/>
        <charset val="136"/>
      </rPr>
      <t>年比</t>
    </r>
    <phoneticPr fontId="6" type="noConversion"/>
  </si>
  <si>
    <r>
      <rPr>
        <sz val="14"/>
        <rFont val="新細明體"/>
        <family val="1"/>
        <charset val="136"/>
      </rPr>
      <t>普通刑法案件總計</t>
    </r>
    <phoneticPr fontId="72" type="noConversion"/>
  </si>
  <si>
    <r>
      <rPr>
        <sz val="11"/>
        <rFont val="新細明體"/>
        <family val="1"/>
        <charset val="136"/>
      </rPr>
      <t>資料來源：內政部警政署刑事警察局。</t>
    </r>
    <phoneticPr fontId="44" type="noConversion"/>
  </si>
  <si>
    <r>
      <rPr>
        <sz val="15"/>
        <rFont val="新細明體"/>
        <family val="1"/>
        <charset val="136"/>
      </rPr>
      <t>表</t>
    </r>
    <r>
      <rPr>
        <sz val="15"/>
        <rFont val="Times New Roman"/>
        <family val="1"/>
      </rPr>
      <t xml:space="preserve">1-2-1   </t>
    </r>
    <r>
      <rPr>
        <sz val="15"/>
        <rFont val="新細明體"/>
        <family val="1"/>
        <charset val="136"/>
      </rPr>
      <t>近</t>
    </r>
    <r>
      <rPr>
        <sz val="15"/>
        <rFont val="Times New Roman"/>
        <family val="1"/>
      </rPr>
      <t>10</t>
    </r>
    <r>
      <rPr>
        <sz val="15"/>
        <rFont val="新細明體"/>
        <family val="1"/>
        <charset val="136"/>
      </rPr>
      <t>年普通刑法犯罪發生數－罪名分別</t>
    </r>
    <phoneticPr fontId="44" type="noConversion"/>
  </si>
  <si>
    <r>
      <rPr>
        <sz val="12"/>
        <color theme="1"/>
        <rFont val="新細明體"/>
        <family val="1"/>
        <charset val="136"/>
      </rPr>
      <t>單位：件、件</t>
    </r>
    <r>
      <rPr>
        <sz val="12"/>
        <color theme="1"/>
        <rFont val="Times New Roman"/>
        <family val="1"/>
      </rPr>
      <t>/10</t>
    </r>
    <r>
      <rPr>
        <sz val="12"/>
        <color theme="1"/>
        <rFont val="新細明體"/>
        <family val="1"/>
        <charset val="136"/>
      </rPr>
      <t>萬人口</t>
    </r>
    <phoneticPr fontId="6" type="noConversion"/>
  </si>
  <si>
    <r>
      <t>99</t>
    </r>
    <r>
      <rPr>
        <sz val="11"/>
        <color theme="1"/>
        <rFont val="新細明體"/>
        <family val="1"/>
        <charset val="136"/>
      </rPr>
      <t>年</t>
    </r>
  </si>
  <si>
    <r>
      <t>100</t>
    </r>
    <r>
      <rPr>
        <sz val="11"/>
        <color theme="1"/>
        <rFont val="新細明體"/>
        <family val="1"/>
        <charset val="136"/>
      </rPr>
      <t>年</t>
    </r>
  </si>
  <si>
    <r>
      <t>101</t>
    </r>
    <r>
      <rPr>
        <sz val="11"/>
        <color theme="1"/>
        <rFont val="新細明體"/>
        <family val="1"/>
        <charset val="136"/>
      </rPr>
      <t>年</t>
    </r>
  </si>
  <si>
    <r>
      <t>102</t>
    </r>
    <r>
      <rPr>
        <sz val="11"/>
        <color theme="1"/>
        <rFont val="新細明體"/>
        <family val="1"/>
        <charset val="136"/>
      </rPr>
      <t>年</t>
    </r>
  </si>
  <si>
    <r>
      <t>103</t>
    </r>
    <r>
      <rPr>
        <sz val="11"/>
        <color theme="1"/>
        <rFont val="新細明體"/>
        <family val="1"/>
        <charset val="136"/>
      </rPr>
      <t>年</t>
    </r>
  </si>
  <si>
    <r>
      <t>104</t>
    </r>
    <r>
      <rPr>
        <sz val="11"/>
        <color theme="1"/>
        <rFont val="新細明體"/>
        <family val="1"/>
        <charset val="136"/>
      </rPr>
      <t>年</t>
    </r>
    <phoneticPr fontId="6" type="noConversion"/>
  </si>
  <si>
    <r>
      <rPr>
        <sz val="11"/>
        <color theme="1"/>
        <rFont val="新細明體"/>
        <family val="1"/>
        <charset val="136"/>
      </rPr>
      <t>發生數</t>
    </r>
    <phoneticPr fontId="44" type="noConversion"/>
  </si>
  <si>
    <r>
      <rPr>
        <sz val="11"/>
        <color theme="1"/>
        <rFont val="新細明體"/>
        <family val="1"/>
        <charset val="136"/>
      </rPr>
      <t>犯罪率</t>
    </r>
    <phoneticPr fontId="44" type="noConversion"/>
  </si>
  <si>
    <r>
      <rPr>
        <sz val="12"/>
        <rFont val="新細明體"/>
        <family val="1"/>
        <charset val="136"/>
      </rPr>
      <t>普通刑法案件總計</t>
    </r>
    <phoneticPr fontId="72" type="noConversion"/>
  </si>
  <si>
    <r>
      <rPr>
        <sz val="11"/>
        <color theme="1"/>
        <rFont val="新細明體"/>
        <family val="1"/>
        <charset val="136"/>
      </rPr>
      <t>公共危險</t>
    </r>
    <phoneticPr fontId="72" type="noConversion"/>
  </si>
  <si>
    <r>
      <rPr>
        <sz val="11"/>
        <color theme="1"/>
        <rFont val="新細明體"/>
        <family val="1"/>
        <charset val="136"/>
      </rPr>
      <t>竊盜</t>
    </r>
    <phoneticPr fontId="72" type="noConversion"/>
  </si>
  <si>
    <r>
      <rPr>
        <sz val="11"/>
        <color theme="1"/>
        <rFont val="新細明體"/>
        <family val="1"/>
        <charset val="136"/>
      </rPr>
      <t>詐欺</t>
    </r>
    <phoneticPr fontId="72" type="noConversion"/>
  </si>
  <si>
    <r>
      <rPr>
        <sz val="11"/>
        <color theme="1"/>
        <rFont val="新細明體"/>
        <family val="1"/>
        <charset val="136"/>
      </rPr>
      <t>一般傷害</t>
    </r>
    <phoneticPr fontId="72" type="noConversion"/>
  </si>
  <si>
    <r>
      <rPr>
        <sz val="12"/>
        <rFont val="新細明體"/>
        <family val="1"/>
        <charset val="136"/>
      </rPr>
      <t>妨害自由</t>
    </r>
  </si>
  <si>
    <r>
      <rPr>
        <sz val="12"/>
        <rFont val="新細明體"/>
        <family val="1"/>
        <charset val="136"/>
      </rPr>
      <t>妨害名譽</t>
    </r>
  </si>
  <si>
    <r>
      <rPr>
        <sz val="12"/>
        <rFont val="新細明體"/>
        <family val="1"/>
        <charset val="136"/>
      </rPr>
      <t>侵占</t>
    </r>
    <phoneticPr fontId="72" type="noConversion"/>
  </si>
  <si>
    <r>
      <rPr>
        <sz val="12"/>
        <rFont val="新細明體"/>
        <family val="1"/>
        <charset val="136"/>
      </rPr>
      <t>毀棄損壞</t>
    </r>
  </si>
  <si>
    <r>
      <rPr>
        <sz val="11"/>
        <color theme="1"/>
        <rFont val="新細明體"/>
        <family val="1"/>
        <charset val="136"/>
      </rPr>
      <t>賭博</t>
    </r>
    <phoneticPr fontId="72" type="noConversion"/>
  </si>
  <si>
    <r>
      <rPr>
        <sz val="12"/>
        <rFont val="新細明體"/>
        <family val="1"/>
        <charset val="136"/>
      </rPr>
      <t>偽造文書印文</t>
    </r>
  </si>
  <si>
    <r>
      <rPr>
        <sz val="11"/>
        <color theme="1"/>
        <rFont val="新細明體"/>
        <family val="1"/>
        <charset val="136"/>
      </rPr>
      <t>性交猥褻</t>
    </r>
    <phoneticPr fontId="72" type="noConversion"/>
  </si>
  <si>
    <r>
      <rPr>
        <sz val="12"/>
        <rFont val="新細明體"/>
        <family val="1"/>
        <charset val="136"/>
      </rPr>
      <t>妨害電腦使用</t>
    </r>
    <phoneticPr fontId="72" type="noConversion"/>
  </si>
  <si>
    <r>
      <rPr>
        <sz val="12"/>
        <rFont val="新細明體"/>
        <family val="1"/>
        <charset val="136"/>
      </rPr>
      <t>妨害公務</t>
    </r>
  </si>
  <si>
    <r>
      <rPr>
        <sz val="12"/>
        <rFont val="新細明體"/>
        <family val="1"/>
        <charset val="136"/>
      </rPr>
      <t>妨害風化</t>
    </r>
  </si>
  <si>
    <r>
      <rPr>
        <sz val="11"/>
        <color theme="1"/>
        <rFont val="新細明體"/>
        <family val="1"/>
        <charset val="136"/>
      </rPr>
      <t>背信</t>
    </r>
    <phoneticPr fontId="72" type="noConversion"/>
  </si>
  <si>
    <r>
      <rPr>
        <sz val="11"/>
        <color theme="1"/>
        <rFont val="新細明體"/>
        <family val="1"/>
        <charset val="136"/>
      </rPr>
      <t>恐嚇</t>
    </r>
    <phoneticPr fontId="72" type="noConversion"/>
  </si>
  <si>
    <r>
      <rPr>
        <sz val="12"/>
        <rFont val="新細明體"/>
        <family val="1"/>
        <charset val="136"/>
      </rPr>
      <t>妨害秘密</t>
    </r>
  </si>
  <si>
    <r>
      <rPr>
        <sz val="12"/>
        <rFont val="新細明體"/>
        <family val="1"/>
        <charset val="136"/>
      </rPr>
      <t>妨害家庭及婚姻</t>
    </r>
  </si>
  <si>
    <r>
      <rPr>
        <sz val="12"/>
        <rFont val="新細明體"/>
        <family val="1"/>
        <charset val="136"/>
      </rPr>
      <t>竊佔</t>
    </r>
  </si>
  <si>
    <r>
      <rPr>
        <sz val="11"/>
        <color theme="1"/>
        <rFont val="新細明體"/>
        <family val="1"/>
        <charset val="136"/>
      </rPr>
      <t>重利</t>
    </r>
    <phoneticPr fontId="72" type="noConversion"/>
  </si>
  <si>
    <r>
      <rPr>
        <sz val="12"/>
        <rFont val="新細明體"/>
        <family val="1"/>
        <charset val="136"/>
      </rPr>
      <t>誣告</t>
    </r>
  </si>
  <si>
    <r>
      <rPr>
        <sz val="12"/>
        <rFont val="新細明體"/>
        <family val="1"/>
        <charset val="136"/>
      </rPr>
      <t>故意殺人</t>
    </r>
    <phoneticPr fontId="72" type="noConversion"/>
  </si>
  <si>
    <r>
      <rPr>
        <sz val="12"/>
        <rFont val="新細明體"/>
        <family val="1"/>
        <charset val="136"/>
      </rPr>
      <t>妨害秩序</t>
    </r>
  </si>
  <si>
    <r>
      <rPr>
        <sz val="12"/>
        <rFont val="新細明體"/>
        <family val="1"/>
        <charset val="136"/>
      </rPr>
      <t>強制性交</t>
    </r>
    <r>
      <rPr>
        <sz val="12"/>
        <rFont val="Times New Roman"/>
        <family val="1"/>
      </rPr>
      <t xml:space="preserve"> </t>
    </r>
    <phoneticPr fontId="72" type="noConversion"/>
  </si>
  <si>
    <r>
      <rPr>
        <sz val="11"/>
        <color theme="1"/>
        <rFont val="新細明體"/>
        <family val="1"/>
        <charset val="136"/>
      </rPr>
      <t>強盜</t>
    </r>
    <phoneticPr fontId="72" type="noConversion"/>
  </si>
  <si>
    <r>
      <rPr>
        <sz val="11"/>
        <color theme="1"/>
        <rFont val="新細明體"/>
        <family val="1"/>
        <charset val="136"/>
      </rPr>
      <t>搶奪</t>
    </r>
    <phoneticPr fontId="72" type="noConversion"/>
  </si>
  <si>
    <r>
      <rPr>
        <sz val="11"/>
        <color theme="1"/>
        <rFont val="新細明體"/>
        <family val="1"/>
        <charset val="136"/>
      </rPr>
      <t>贓物</t>
    </r>
    <phoneticPr fontId="72" type="noConversion"/>
  </si>
  <si>
    <r>
      <rPr>
        <sz val="11"/>
        <color theme="1"/>
        <rFont val="新細明體"/>
        <family val="1"/>
        <charset val="136"/>
      </rPr>
      <t>對幼性交</t>
    </r>
    <phoneticPr fontId="72" type="noConversion"/>
  </si>
  <si>
    <r>
      <rPr>
        <sz val="12"/>
        <rFont val="新細明體"/>
        <family val="1"/>
        <charset val="136"/>
      </rPr>
      <t>遺棄</t>
    </r>
  </si>
  <si>
    <r>
      <rPr>
        <sz val="11"/>
        <color theme="1"/>
        <rFont val="新細明體"/>
        <family val="1"/>
        <charset val="136"/>
      </rPr>
      <t>重傷害</t>
    </r>
    <phoneticPr fontId="72" type="noConversion"/>
  </si>
  <si>
    <r>
      <rPr>
        <sz val="15"/>
        <rFont val="新細明體"/>
        <family val="1"/>
        <charset val="136"/>
      </rPr>
      <t>表</t>
    </r>
    <r>
      <rPr>
        <sz val="15"/>
        <rFont val="Times New Roman"/>
        <family val="1"/>
      </rPr>
      <t xml:space="preserve">1-1-4   </t>
    </r>
    <r>
      <rPr>
        <sz val="15"/>
        <rFont val="新細明體"/>
        <family val="1"/>
        <charset val="136"/>
      </rPr>
      <t>近</t>
    </r>
    <r>
      <rPr>
        <sz val="15"/>
        <rFont val="Times New Roman"/>
        <family val="1"/>
      </rPr>
      <t>10</t>
    </r>
    <r>
      <rPr>
        <sz val="15"/>
        <rFont val="新細明體"/>
        <family val="1"/>
        <charset val="136"/>
      </rPr>
      <t>年全般刑案犯罪嫌疑人數－性別分類</t>
    </r>
    <phoneticPr fontId="44" type="noConversion"/>
  </si>
  <si>
    <r>
      <rPr>
        <sz val="11"/>
        <rFont val="新細明體"/>
        <family val="1"/>
        <charset val="136"/>
      </rPr>
      <t>單位：人、</t>
    </r>
    <r>
      <rPr>
        <sz val="11"/>
        <rFont val="Times New Roman"/>
        <family val="1"/>
      </rPr>
      <t xml:space="preserve">%   </t>
    </r>
    <phoneticPr fontId="6" type="noConversion"/>
  </si>
  <si>
    <r>
      <t xml:space="preserve">  </t>
    </r>
    <r>
      <rPr>
        <sz val="11"/>
        <rFont val="新細明體"/>
        <family val="1"/>
        <charset val="136"/>
      </rPr>
      <t>年</t>
    </r>
    <r>
      <rPr>
        <sz val="11"/>
        <rFont val="Times New Roman"/>
        <family val="1"/>
      </rPr>
      <t xml:space="preserve"> </t>
    </r>
    <r>
      <rPr>
        <sz val="11"/>
        <rFont val="新細明體"/>
        <family val="1"/>
        <charset val="136"/>
      </rPr>
      <t>中</t>
    </r>
    <r>
      <rPr>
        <sz val="11"/>
        <rFont val="Times New Roman"/>
        <family val="1"/>
      </rPr>
      <t xml:space="preserve"> </t>
    </r>
    <r>
      <rPr>
        <sz val="11"/>
        <rFont val="新細明體"/>
        <family val="1"/>
        <charset val="136"/>
      </rPr>
      <t>人</t>
    </r>
    <r>
      <rPr>
        <sz val="11"/>
        <rFont val="Times New Roman"/>
        <family val="1"/>
      </rPr>
      <t xml:space="preserve"> </t>
    </r>
    <r>
      <rPr>
        <sz val="11"/>
        <rFont val="新細明體"/>
        <family val="1"/>
        <charset val="136"/>
      </rPr>
      <t>口</t>
    </r>
    <r>
      <rPr>
        <sz val="11"/>
        <rFont val="Times New Roman"/>
        <family val="1"/>
      </rPr>
      <t xml:space="preserve"> </t>
    </r>
    <r>
      <rPr>
        <sz val="11"/>
        <rFont val="新細明體"/>
        <family val="1"/>
        <charset val="136"/>
      </rPr>
      <t>數</t>
    </r>
  </si>
  <si>
    <r>
      <rPr>
        <sz val="11"/>
        <rFont val="新細明體"/>
        <family val="1"/>
        <charset val="136"/>
      </rPr>
      <t>犯罪嫌疑人數</t>
    </r>
    <phoneticPr fontId="44" type="noConversion"/>
  </si>
  <si>
    <r>
      <rPr>
        <sz val="11"/>
        <rFont val="新細明體"/>
        <family val="1"/>
        <charset val="136"/>
      </rPr>
      <t>男</t>
    </r>
  </si>
  <si>
    <r>
      <rPr>
        <sz val="11"/>
        <rFont val="新細明體"/>
        <family val="1"/>
        <charset val="136"/>
      </rPr>
      <t>女</t>
    </r>
  </si>
  <si>
    <r>
      <rPr>
        <sz val="11"/>
        <rFont val="新細明體"/>
        <family val="1"/>
        <charset val="136"/>
      </rPr>
      <t>總計</t>
    </r>
    <phoneticPr fontId="44" type="noConversion"/>
  </si>
  <si>
    <r>
      <rPr>
        <sz val="11"/>
        <rFont val="新細明體"/>
        <family val="1"/>
        <charset val="136"/>
      </rPr>
      <t>男</t>
    </r>
    <phoneticPr fontId="44" type="noConversion"/>
  </si>
  <si>
    <r>
      <rPr>
        <sz val="11"/>
        <rFont val="新細明體"/>
        <family val="1"/>
        <charset val="136"/>
      </rPr>
      <t>人</t>
    </r>
  </si>
  <si>
    <r>
      <t>93</t>
    </r>
    <r>
      <rPr>
        <sz val="11"/>
        <color indexed="8"/>
        <rFont val="新細明體"/>
        <family val="1"/>
        <charset val="136"/>
      </rPr>
      <t>年</t>
    </r>
    <phoneticPr fontId="44" type="noConversion"/>
  </si>
  <si>
    <r>
      <t>95</t>
    </r>
    <r>
      <rPr>
        <sz val="11"/>
        <color indexed="8"/>
        <rFont val="新細明體"/>
        <family val="1"/>
        <charset val="136"/>
      </rPr>
      <t>年</t>
    </r>
  </si>
  <si>
    <r>
      <t>102</t>
    </r>
    <r>
      <rPr>
        <sz val="11"/>
        <color indexed="8"/>
        <rFont val="新細明體"/>
        <family val="1"/>
        <charset val="136"/>
      </rPr>
      <t>年</t>
    </r>
  </si>
  <si>
    <r>
      <t>103</t>
    </r>
    <r>
      <rPr>
        <sz val="11"/>
        <color indexed="8"/>
        <rFont val="新細明體"/>
        <family val="1"/>
        <charset val="136"/>
      </rPr>
      <t>年</t>
    </r>
  </si>
  <si>
    <r>
      <t>104</t>
    </r>
    <r>
      <rPr>
        <sz val="11"/>
        <color indexed="8"/>
        <rFont val="新細明體"/>
        <family val="1"/>
        <charset val="136"/>
      </rPr>
      <t>年</t>
    </r>
    <phoneticPr fontId="6" type="noConversion"/>
  </si>
  <si>
    <r>
      <t>105</t>
    </r>
    <r>
      <rPr>
        <sz val="11"/>
        <color indexed="8"/>
        <rFont val="新細明體"/>
        <family val="1"/>
        <charset val="136"/>
      </rPr>
      <t>年</t>
    </r>
    <phoneticPr fontId="6" type="noConversion"/>
  </si>
  <si>
    <r>
      <t>106</t>
    </r>
    <r>
      <rPr>
        <sz val="11"/>
        <color indexed="8"/>
        <rFont val="新細明體"/>
        <family val="1"/>
        <charset val="136"/>
      </rPr>
      <t>年</t>
    </r>
    <phoneticPr fontId="6" type="noConversion"/>
  </si>
  <si>
    <r>
      <t>107</t>
    </r>
    <r>
      <rPr>
        <sz val="11"/>
        <color indexed="8"/>
        <rFont val="新細明體"/>
        <family val="1"/>
        <charset val="136"/>
      </rPr>
      <t>年</t>
    </r>
    <phoneticPr fontId="6" type="noConversion"/>
  </si>
  <si>
    <r>
      <t>108</t>
    </r>
    <r>
      <rPr>
        <sz val="11"/>
        <color indexed="8"/>
        <rFont val="新細明體"/>
        <family val="1"/>
        <charset val="136"/>
      </rPr>
      <t>年</t>
    </r>
    <phoneticPr fontId="6" type="noConversion"/>
  </si>
  <si>
    <r>
      <rPr>
        <sz val="15"/>
        <rFont val="新細明體"/>
        <family val="1"/>
        <charset val="136"/>
      </rPr>
      <t>表</t>
    </r>
    <r>
      <rPr>
        <sz val="15"/>
        <rFont val="Times New Roman"/>
        <family val="1"/>
      </rPr>
      <t xml:space="preserve">1-1-3    </t>
    </r>
    <r>
      <rPr>
        <sz val="15"/>
        <rFont val="新細明體"/>
        <family val="1"/>
        <charset val="136"/>
      </rPr>
      <t>近</t>
    </r>
    <r>
      <rPr>
        <sz val="15"/>
        <rFont val="Times New Roman"/>
        <family val="1"/>
      </rPr>
      <t>10</t>
    </r>
    <r>
      <rPr>
        <sz val="15"/>
        <rFont val="新細明體"/>
        <family val="1"/>
        <charset val="136"/>
      </rPr>
      <t>年全般刑案犯罪嫌疑人數－年齡分類</t>
    </r>
    <phoneticPr fontId="44" type="noConversion"/>
  </si>
  <si>
    <r>
      <rPr>
        <sz val="11"/>
        <color indexed="8"/>
        <rFont val="新細明體"/>
        <family val="1"/>
        <charset val="136"/>
      </rPr>
      <t>總計</t>
    </r>
    <phoneticPr fontId="44" type="noConversion"/>
  </si>
  <si>
    <r>
      <t>0</t>
    </r>
    <r>
      <rPr>
        <sz val="11"/>
        <color indexed="8"/>
        <rFont val="新細明體"/>
        <family val="1"/>
        <charset val="136"/>
      </rPr>
      <t>至</t>
    </r>
    <r>
      <rPr>
        <sz val="11"/>
        <color indexed="8"/>
        <rFont val="Times New Roman"/>
        <family val="1"/>
      </rPr>
      <t>5</t>
    </r>
    <r>
      <rPr>
        <sz val="11"/>
        <color indexed="8"/>
        <rFont val="新細明體"/>
        <family val="1"/>
        <charset val="136"/>
      </rPr>
      <t>歲</t>
    </r>
    <phoneticPr fontId="44" type="noConversion"/>
  </si>
  <si>
    <r>
      <t>6</t>
    </r>
    <r>
      <rPr>
        <sz val="11"/>
        <color indexed="8"/>
        <rFont val="新細明體"/>
        <family val="1"/>
        <charset val="136"/>
      </rPr>
      <t>至</t>
    </r>
    <r>
      <rPr>
        <sz val="11"/>
        <color indexed="8"/>
        <rFont val="Times New Roman"/>
        <family val="1"/>
      </rPr>
      <t>11</t>
    </r>
    <r>
      <rPr>
        <sz val="11"/>
        <color indexed="8"/>
        <rFont val="新細明體"/>
        <family val="1"/>
        <charset val="136"/>
      </rPr>
      <t>歲</t>
    </r>
    <phoneticPr fontId="44" type="noConversion"/>
  </si>
  <si>
    <r>
      <t>12</t>
    </r>
    <r>
      <rPr>
        <sz val="11"/>
        <color indexed="8"/>
        <rFont val="新細明體"/>
        <family val="1"/>
        <charset val="136"/>
      </rPr>
      <t>至</t>
    </r>
    <r>
      <rPr>
        <sz val="11"/>
        <color indexed="8"/>
        <rFont val="Times New Roman"/>
        <family val="1"/>
      </rPr>
      <t>17</t>
    </r>
    <r>
      <rPr>
        <sz val="11"/>
        <color indexed="8"/>
        <rFont val="新細明體"/>
        <family val="1"/>
        <charset val="136"/>
      </rPr>
      <t>歲</t>
    </r>
    <phoneticPr fontId="44" type="noConversion"/>
  </si>
  <si>
    <r>
      <t>18</t>
    </r>
    <r>
      <rPr>
        <sz val="11"/>
        <color indexed="8"/>
        <rFont val="新細明體"/>
        <family val="1"/>
        <charset val="136"/>
      </rPr>
      <t>至</t>
    </r>
    <r>
      <rPr>
        <sz val="11"/>
        <color indexed="8"/>
        <rFont val="Times New Roman"/>
        <family val="1"/>
      </rPr>
      <t>23</t>
    </r>
    <r>
      <rPr>
        <sz val="11"/>
        <color indexed="8"/>
        <rFont val="新細明體"/>
        <family val="1"/>
        <charset val="136"/>
      </rPr>
      <t>歲</t>
    </r>
    <phoneticPr fontId="44" type="noConversion"/>
  </si>
  <si>
    <r>
      <t>24</t>
    </r>
    <r>
      <rPr>
        <sz val="11"/>
        <color indexed="8"/>
        <rFont val="新細明體"/>
        <family val="1"/>
        <charset val="136"/>
      </rPr>
      <t>至</t>
    </r>
    <r>
      <rPr>
        <sz val="11"/>
        <color indexed="8"/>
        <rFont val="Times New Roman"/>
        <family val="1"/>
      </rPr>
      <t>29</t>
    </r>
    <r>
      <rPr>
        <sz val="11"/>
        <color indexed="8"/>
        <rFont val="新細明體"/>
        <family val="1"/>
        <charset val="136"/>
      </rPr>
      <t>歲</t>
    </r>
    <phoneticPr fontId="44" type="noConversion"/>
  </si>
  <si>
    <r>
      <t>30</t>
    </r>
    <r>
      <rPr>
        <sz val="11"/>
        <color indexed="8"/>
        <rFont val="新細明體"/>
        <family val="1"/>
        <charset val="136"/>
      </rPr>
      <t>至</t>
    </r>
    <r>
      <rPr>
        <sz val="11"/>
        <color indexed="8"/>
        <rFont val="Times New Roman"/>
        <family val="1"/>
      </rPr>
      <t>39</t>
    </r>
    <r>
      <rPr>
        <sz val="11"/>
        <color indexed="8"/>
        <rFont val="新細明體"/>
        <family val="1"/>
        <charset val="136"/>
      </rPr>
      <t>歲</t>
    </r>
    <phoneticPr fontId="44" type="noConversion"/>
  </si>
  <si>
    <r>
      <t>40</t>
    </r>
    <r>
      <rPr>
        <sz val="11"/>
        <color indexed="8"/>
        <rFont val="新細明體"/>
        <family val="1"/>
        <charset val="136"/>
      </rPr>
      <t>至</t>
    </r>
    <r>
      <rPr>
        <sz val="11"/>
        <color indexed="8"/>
        <rFont val="Times New Roman"/>
        <family val="1"/>
      </rPr>
      <t>49</t>
    </r>
    <r>
      <rPr>
        <sz val="11"/>
        <color indexed="8"/>
        <rFont val="新細明體"/>
        <family val="1"/>
        <charset val="136"/>
      </rPr>
      <t>歲</t>
    </r>
    <phoneticPr fontId="44" type="noConversion"/>
  </si>
  <si>
    <r>
      <t>50</t>
    </r>
    <r>
      <rPr>
        <sz val="11"/>
        <color indexed="8"/>
        <rFont val="新細明體"/>
        <family val="1"/>
        <charset val="136"/>
      </rPr>
      <t>至</t>
    </r>
    <r>
      <rPr>
        <sz val="11"/>
        <color indexed="8"/>
        <rFont val="Times New Roman"/>
        <family val="1"/>
      </rPr>
      <t>59</t>
    </r>
    <r>
      <rPr>
        <sz val="11"/>
        <color indexed="8"/>
        <rFont val="新細明體"/>
        <family val="1"/>
        <charset val="136"/>
      </rPr>
      <t>歲</t>
    </r>
    <phoneticPr fontId="44" type="noConversion"/>
  </si>
  <si>
    <r>
      <t>60</t>
    </r>
    <r>
      <rPr>
        <sz val="11"/>
        <color indexed="8"/>
        <rFont val="新細明體"/>
        <family val="1"/>
        <charset val="136"/>
      </rPr>
      <t>至</t>
    </r>
    <r>
      <rPr>
        <sz val="11"/>
        <color indexed="8"/>
        <rFont val="Times New Roman"/>
        <family val="1"/>
      </rPr>
      <t>64</t>
    </r>
    <r>
      <rPr>
        <sz val="11"/>
        <color indexed="8"/>
        <rFont val="新細明體"/>
        <family val="1"/>
        <charset val="136"/>
      </rPr>
      <t>歲</t>
    </r>
    <phoneticPr fontId="44" type="noConversion"/>
  </si>
  <si>
    <r>
      <t>65</t>
    </r>
    <r>
      <rPr>
        <sz val="11"/>
        <color indexed="8"/>
        <rFont val="新細明體"/>
        <family val="1"/>
        <charset val="136"/>
      </rPr>
      <t>至</t>
    </r>
    <r>
      <rPr>
        <sz val="11"/>
        <color indexed="8"/>
        <rFont val="Times New Roman"/>
        <family val="1"/>
      </rPr>
      <t>69</t>
    </r>
    <r>
      <rPr>
        <sz val="11"/>
        <color indexed="8"/>
        <rFont val="新細明體"/>
        <family val="1"/>
        <charset val="136"/>
      </rPr>
      <t>歲</t>
    </r>
    <phoneticPr fontId="44" type="noConversion"/>
  </si>
  <si>
    <r>
      <t>70</t>
    </r>
    <r>
      <rPr>
        <sz val="11"/>
        <color indexed="8"/>
        <rFont val="新細明體"/>
        <family val="1"/>
        <charset val="136"/>
      </rPr>
      <t>歲以上</t>
    </r>
    <phoneticPr fontId="44" type="noConversion"/>
  </si>
  <si>
    <r>
      <rPr>
        <sz val="11"/>
        <color indexed="8"/>
        <rFont val="新細明體"/>
        <family val="1"/>
        <charset val="136"/>
      </rPr>
      <t>不詳</t>
    </r>
    <phoneticPr fontId="44" type="noConversion"/>
  </si>
  <si>
    <r>
      <rPr>
        <sz val="11"/>
        <color indexed="8"/>
        <rFont val="新細明體"/>
        <family val="1"/>
        <charset val="136"/>
      </rPr>
      <t>男</t>
    </r>
  </si>
  <si>
    <r>
      <rPr>
        <sz val="11"/>
        <color indexed="8"/>
        <rFont val="新細明體"/>
        <family val="1"/>
        <charset val="136"/>
      </rPr>
      <t>女</t>
    </r>
  </si>
  <si>
    <r>
      <t>99</t>
    </r>
    <r>
      <rPr>
        <sz val="11"/>
        <color indexed="8"/>
        <rFont val="新細明體"/>
        <family val="1"/>
        <charset val="136"/>
      </rPr>
      <t>年</t>
    </r>
    <phoneticPr fontId="6" type="noConversion"/>
  </si>
  <si>
    <r>
      <t>100</t>
    </r>
    <r>
      <rPr>
        <sz val="11"/>
        <color indexed="8"/>
        <rFont val="新細明體"/>
        <family val="1"/>
        <charset val="136"/>
      </rPr>
      <t>年</t>
    </r>
    <r>
      <rPr>
        <sz val="11"/>
        <color indexed="8"/>
        <rFont val="細明體"/>
        <family val="3"/>
        <charset val="136"/>
      </rPr>
      <t/>
    </r>
  </si>
  <si>
    <r>
      <t>101</t>
    </r>
    <r>
      <rPr>
        <sz val="11"/>
        <color indexed="8"/>
        <rFont val="新細明體"/>
        <family val="1"/>
        <charset val="136"/>
      </rPr>
      <t>年</t>
    </r>
    <r>
      <rPr>
        <sz val="11"/>
        <color indexed="8"/>
        <rFont val="細明體"/>
        <family val="3"/>
        <charset val="136"/>
      </rPr>
      <t/>
    </r>
  </si>
  <si>
    <r>
      <t>102</t>
    </r>
    <r>
      <rPr>
        <sz val="11"/>
        <color indexed="8"/>
        <rFont val="新細明體"/>
        <family val="1"/>
        <charset val="136"/>
      </rPr>
      <t>年</t>
    </r>
    <r>
      <rPr>
        <sz val="11"/>
        <color indexed="8"/>
        <rFont val="細明體"/>
        <family val="3"/>
        <charset val="136"/>
      </rPr>
      <t/>
    </r>
  </si>
  <si>
    <r>
      <t>103</t>
    </r>
    <r>
      <rPr>
        <sz val="11"/>
        <color indexed="8"/>
        <rFont val="新細明體"/>
        <family val="1"/>
        <charset val="136"/>
      </rPr>
      <t>年</t>
    </r>
    <r>
      <rPr>
        <sz val="11"/>
        <color indexed="8"/>
        <rFont val="細明體"/>
        <family val="3"/>
        <charset val="136"/>
      </rPr>
      <t/>
    </r>
  </si>
  <si>
    <r>
      <t>104</t>
    </r>
    <r>
      <rPr>
        <sz val="11"/>
        <color indexed="8"/>
        <rFont val="新細明體"/>
        <family val="1"/>
        <charset val="136"/>
      </rPr>
      <t>年</t>
    </r>
    <r>
      <rPr>
        <sz val="11"/>
        <color indexed="8"/>
        <rFont val="細明體"/>
        <family val="3"/>
        <charset val="136"/>
      </rPr>
      <t/>
    </r>
  </si>
  <si>
    <r>
      <t>105</t>
    </r>
    <r>
      <rPr>
        <sz val="11"/>
        <color indexed="8"/>
        <rFont val="新細明體"/>
        <family val="1"/>
        <charset val="136"/>
      </rPr>
      <t>年</t>
    </r>
    <r>
      <rPr>
        <sz val="11"/>
        <color indexed="8"/>
        <rFont val="細明體"/>
        <family val="3"/>
        <charset val="136"/>
      </rPr>
      <t/>
    </r>
  </si>
  <si>
    <r>
      <t>106</t>
    </r>
    <r>
      <rPr>
        <sz val="11"/>
        <color indexed="8"/>
        <rFont val="新細明體"/>
        <family val="1"/>
        <charset val="136"/>
      </rPr>
      <t>年</t>
    </r>
    <r>
      <rPr>
        <sz val="11"/>
        <color indexed="8"/>
        <rFont val="細明體"/>
        <family val="3"/>
        <charset val="136"/>
      </rPr>
      <t/>
    </r>
  </si>
  <si>
    <r>
      <t>107</t>
    </r>
    <r>
      <rPr>
        <sz val="11"/>
        <color indexed="8"/>
        <rFont val="新細明體"/>
        <family val="1"/>
        <charset val="136"/>
      </rPr>
      <t>年</t>
    </r>
    <r>
      <rPr>
        <sz val="11"/>
        <color indexed="8"/>
        <rFont val="細明體"/>
        <family val="3"/>
        <charset val="136"/>
      </rPr>
      <t/>
    </r>
  </si>
  <si>
    <r>
      <t>108</t>
    </r>
    <r>
      <rPr>
        <sz val="11"/>
        <color indexed="8"/>
        <rFont val="新細明體"/>
        <family val="1"/>
        <charset val="136"/>
      </rPr>
      <t>年</t>
    </r>
    <r>
      <rPr>
        <sz val="11"/>
        <color indexed="8"/>
        <rFont val="細明體"/>
        <family val="3"/>
        <charset val="136"/>
      </rPr>
      <t/>
    </r>
    <phoneticPr fontId="61" type="noConversion"/>
  </si>
  <si>
    <r>
      <rPr>
        <sz val="15"/>
        <rFont val="新細明體"/>
        <family val="1"/>
        <charset val="136"/>
      </rPr>
      <t>表</t>
    </r>
    <r>
      <rPr>
        <sz val="15"/>
        <rFont val="Times New Roman"/>
        <family val="1"/>
      </rPr>
      <t>1-1-1   108</t>
    </r>
    <r>
      <rPr>
        <sz val="15"/>
        <rFont val="新細明體"/>
        <family val="1"/>
        <charset val="136"/>
      </rPr>
      <t>年全般刑案概況</t>
    </r>
    <phoneticPr fontId="6" type="noConversion"/>
  </si>
  <si>
    <r>
      <t>108</t>
    </r>
    <r>
      <rPr>
        <sz val="11"/>
        <color indexed="8"/>
        <rFont val="新細明體"/>
        <family val="1"/>
        <charset val="136"/>
      </rPr>
      <t>年全般刑案</t>
    </r>
    <phoneticPr fontId="6" type="noConversion"/>
  </si>
  <si>
    <r>
      <rPr>
        <sz val="11"/>
        <color indexed="8"/>
        <rFont val="新細明體"/>
        <family val="1"/>
        <charset val="136"/>
      </rPr>
      <t>犯罪率（件</t>
    </r>
    <r>
      <rPr>
        <sz val="11"/>
        <color indexed="8"/>
        <rFont val="Times New Roman"/>
        <family val="1"/>
      </rPr>
      <t>/10</t>
    </r>
    <r>
      <rPr>
        <sz val="11"/>
        <color indexed="8"/>
        <rFont val="新細明體"/>
        <family val="1"/>
        <charset val="136"/>
      </rPr>
      <t>萬人口）</t>
    </r>
    <phoneticPr fontId="6" type="noConversion"/>
  </si>
  <si>
    <r>
      <rPr>
        <sz val="11"/>
        <rFont val="新細明體"/>
        <family val="1"/>
        <charset val="136"/>
      </rPr>
      <t>資料來源：內政部警政署刑事警察局</t>
    </r>
  </si>
  <si>
    <r>
      <rPr>
        <sz val="11"/>
        <color theme="1"/>
        <rFont val="新細明體"/>
        <family val="1"/>
        <charset val="136"/>
      </rPr>
      <t>說　　明：</t>
    </r>
    <r>
      <rPr>
        <sz val="11"/>
        <color theme="1"/>
        <rFont val="Times New Roman"/>
        <family val="1"/>
      </rPr>
      <t>1.</t>
    </r>
    <r>
      <rPr>
        <sz val="11"/>
        <color theme="1"/>
        <rFont val="新細明體"/>
        <family val="1"/>
        <charset val="136"/>
      </rPr>
      <t>本署刑案統計無普通刑法犯罪之分類，改以全般刑案數據代替，以下各表均同。</t>
    </r>
    <phoneticPr fontId="44" type="noConversion"/>
  </si>
  <si>
    <r>
      <rPr>
        <sz val="11"/>
        <color theme="1"/>
        <rFont val="新細明體"/>
        <family val="1"/>
        <charset val="136"/>
      </rPr>
      <t>　　　　　</t>
    </r>
    <r>
      <rPr>
        <sz val="11"/>
        <color theme="1"/>
        <rFont val="Times New Roman"/>
        <family val="1"/>
      </rPr>
      <t>4.</t>
    </r>
    <r>
      <rPr>
        <sz val="11"/>
        <rFont val="新細明體"/>
        <family val="1"/>
        <charset val="136"/>
      </rPr>
      <t>發生件數意指全國各級警察機關查獲案件數或受處理案件數，以下各表均同。</t>
    </r>
    <phoneticPr fontId="6" type="noConversion"/>
  </si>
  <si>
    <r>
      <rPr>
        <sz val="11"/>
        <rFont val="新細明體"/>
        <family val="1"/>
        <charset val="136"/>
      </rPr>
      <t>全般刑案</t>
    </r>
    <phoneticPr fontId="44" type="noConversion"/>
  </si>
  <si>
    <r>
      <rPr>
        <sz val="11"/>
        <rFont val="新細明體"/>
        <family val="1"/>
        <charset val="136"/>
      </rPr>
      <t>暴力犯罪</t>
    </r>
    <phoneticPr fontId="44" type="noConversion"/>
  </si>
  <si>
    <r>
      <rPr>
        <sz val="11"/>
        <rFont val="新細明體"/>
        <family val="1"/>
        <charset val="136"/>
      </rPr>
      <t>發生數</t>
    </r>
  </si>
  <si>
    <r>
      <rPr>
        <sz val="11"/>
        <rFont val="新細明體"/>
        <family val="1"/>
        <charset val="136"/>
      </rPr>
      <t>破獲數</t>
    </r>
  </si>
  <si>
    <r>
      <rPr>
        <sz val="11"/>
        <rFont val="新細明體"/>
        <family val="1"/>
        <charset val="136"/>
      </rPr>
      <t>嫌疑人</t>
    </r>
    <phoneticPr fontId="6" type="noConversion"/>
  </si>
  <si>
    <r>
      <rPr>
        <sz val="11"/>
        <rFont val="新細明體"/>
        <family val="1"/>
        <charset val="136"/>
      </rPr>
      <t>犯罪率</t>
    </r>
  </si>
  <si>
    <r>
      <t xml:space="preserve"> </t>
    </r>
    <r>
      <rPr>
        <sz val="11"/>
        <rFont val="新細明體"/>
        <family val="1"/>
        <charset val="136"/>
      </rPr>
      <t>犯罪人口率</t>
    </r>
  </si>
  <si>
    <r>
      <rPr>
        <sz val="11"/>
        <color theme="1"/>
        <rFont val="新細明體"/>
        <family val="1"/>
        <charset val="136"/>
      </rPr>
      <t>犯罪時鐘</t>
    </r>
    <phoneticPr fontId="6" type="noConversion"/>
  </si>
  <si>
    <r>
      <t>(</t>
    </r>
    <r>
      <rPr>
        <sz val="11"/>
        <rFont val="新細明體"/>
        <family val="1"/>
        <charset val="136"/>
      </rPr>
      <t>件</t>
    </r>
    <r>
      <rPr>
        <sz val="11"/>
        <rFont val="Times New Roman"/>
        <family val="1"/>
      </rPr>
      <t>)</t>
    </r>
  </si>
  <si>
    <r>
      <t>(</t>
    </r>
    <r>
      <rPr>
        <sz val="11"/>
        <rFont val="新細明體"/>
        <family val="1"/>
        <charset val="136"/>
      </rPr>
      <t>人</t>
    </r>
    <r>
      <rPr>
        <sz val="11"/>
        <rFont val="Times New Roman"/>
        <family val="1"/>
      </rPr>
      <t>)</t>
    </r>
    <phoneticPr fontId="44" type="noConversion"/>
  </si>
  <si>
    <r>
      <t>(</t>
    </r>
    <r>
      <rPr>
        <sz val="11"/>
        <rFont val="新細明體"/>
        <family val="1"/>
        <charset val="136"/>
      </rPr>
      <t>件</t>
    </r>
    <r>
      <rPr>
        <sz val="11"/>
        <rFont val="Times New Roman"/>
        <family val="1"/>
      </rPr>
      <t>/10</t>
    </r>
    <r>
      <rPr>
        <sz val="11"/>
        <rFont val="新細明體"/>
        <family val="1"/>
        <charset val="136"/>
      </rPr>
      <t>萬人口</t>
    </r>
    <r>
      <rPr>
        <sz val="11"/>
        <rFont val="Times New Roman"/>
        <family val="1"/>
      </rPr>
      <t>)</t>
    </r>
    <phoneticPr fontId="6" type="noConversion"/>
  </si>
  <si>
    <r>
      <t>(</t>
    </r>
    <r>
      <rPr>
        <sz val="11"/>
        <color theme="1"/>
        <rFont val="新細明體"/>
        <family val="1"/>
        <charset val="136"/>
      </rPr>
      <t>人</t>
    </r>
    <r>
      <rPr>
        <sz val="11"/>
        <color theme="1"/>
        <rFont val="Times New Roman"/>
        <family val="1"/>
      </rPr>
      <t>/10</t>
    </r>
    <r>
      <rPr>
        <sz val="11"/>
        <color theme="1"/>
        <rFont val="新細明體"/>
        <family val="1"/>
        <charset val="136"/>
      </rPr>
      <t>萬人口</t>
    </r>
    <r>
      <rPr>
        <sz val="11"/>
        <color theme="1"/>
        <rFont val="Times New Roman"/>
        <family val="1"/>
      </rPr>
      <t>)</t>
    </r>
    <phoneticPr fontId="6" type="noConversion"/>
  </si>
  <si>
    <r>
      <rPr>
        <sz val="11"/>
        <rFont val="新細明體"/>
        <family val="1"/>
        <charset val="136"/>
      </rPr>
      <t>計</t>
    </r>
    <phoneticPr fontId="44" type="noConversion"/>
  </si>
  <si>
    <r>
      <rPr>
        <sz val="11"/>
        <rFont val="新細明體"/>
        <family val="1"/>
        <charset val="136"/>
      </rPr>
      <t>女</t>
    </r>
    <phoneticPr fontId="44" type="noConversion"/>
  </si>
  <si>
    <r>
      <t>104</t>
    </r>
    <r>
      <rPr>
        <sz val="11"/>
        <color indexed="8"/>
        <rFont val="新細明體"/>
        <family val="1"/>
        <charset val="136"/>
      </rPr>
      <t>年</t>
    </r>
  </si>
  <si>
    <r>
      <t>107</t>
    </r>
    <r>
      <rPr>
        <sz val="11"/>
        <color indexed="8"/>
        <rFont val="新細明體"/>
        <family val="1"/>
        <charset val="136"/>
      </rPr>
      <t>年</t>
    </r>
  </si>
  <si>
    <r>
      <t>2</t>
    </r>
    <r>
      <rPr>
        <sz val="11"/>
        <color theme="1"/>
        <rFont val="新細明體"/>
        <family val="1"/>
        <charset val="136"/>
      </rPr>
      <t>分</t>
    </r>
    <r>
      <rPr>
        <sz val="11"/>
        <color theme="1"/>
        <rFont val="Times New Roman"/>
        <family val="1"/>
      </rPr>
      <t>12</t>
    </r>
    <r>
      <rPr>
        <sz val="11"/>
        <color theme="1"/>
        <rFont val="新細明體"/>
        <family val="1"/>
        <charset val="136"/>
      </rPr>
      <t>秒</t>
    </r>
  </si>
  <si>
    <r>
      <rPr>
        <sz val="11"/>
        <color theme="1"/>
        <rFont val="新細明體"/>
        <family val="1"/>
        <charset val="136"/>
      </rPr>
      <t>　　　　　</t>
    </r>
    <r>
      <rPr>
        <sz val="11"/>
        <color theme="1"/>
        <rFont val="Times New Roman"/>
        <family val="1"/>
      </rPr>
      <t>4.</t>
    </r>
    <r>
      <rPr>
        <sz val="11"/>
        <color theme="1"/>
        <rFont val="新細明體"/>
        <family val="1"/>
        <charset val="136"/>
      </rPr>
      <t>犯罪時鐘係指每隔多少分鐘發生</t>
    </r>
    <r>
      <rPr>
        <sz val="11"/>
        <color theme="1"/>
        <rFont val="Times New Roman"/>
        <family val="1"/>
      </rPr>
      <t>1</t>
    </r>
    <r>
      <rPr>
        <sz val="11"/>
        <color theme="1"/>
        <rFont val="新細明體"/>
        <family val="1"/>
        <charset val="136"/>
      </rPr>
      <t>件刑事案件。</t>
    </r>
    <phoneticPr fontId="6" type="noConversion"/>
  </si>
  <si>
    <r>
      <rPr>
        <sz val="20"/>
        <color theme="1"/>
        <rFont val="新細明體"/>
        <family val="1"/>
        <charset val="136"/>
      </rPr>
      <t>表</t>
    </r>
    <r>
      <rPr>
        <sz val="20"/>
        <color theme="1"/>
        <rFont val="Times New Roman"/>
        <family val="1"/>
      </rPr>
      <t>1-2-3</t>
    </r>
    <r>
      <rPr>
        <sz val="20"/>
        <color theme="1"/>
        <rFont val="新細明體"/>
        <family val="1"/>
        <charset val="136"/>
      </rPr>
      <t>　近</t>
    </r>
    <r>
      <rPr>
        <sz val="20"/>
        <color theme="1"/>
        <rFont val="Times New Roman"/>
        <family val="1"/>
      </rPr>
      <t>10</t>
    </r>
    <r>
      <rPr>
        <sz val="20"/>
        <color theme="1"/>
        <rFont val="新細明體"/>
        <family val="1"/>
        <charset val="136"/>
      </rPr>
      <t>年普通刑法犯罪嫌疑人數－罪名分別、性別分類</t>
    </r>
    <phoneticPr fontId="44" type="noConversion"/>
  </si>
  <si>
    <r>
      <rPr>
        <sz val="14"/>
        <color indexed="8"/>
        <rFont val="新細明體"/>
        <family val="1"/>
        <charset val="136"/>
      </rPr>
      <t>單位：人</t>
    </r>
    <phoneticPr fontId="6" type="noConversion"/>
  </si>
  <si>
    <r>
      <t>99</t>
    </r>
    <r>
      <rPr>
        <sz val="14"/>
        <color indexed="8"/>
        <rFont val="新細明體"/>
        <family val="1"/>
        <charset val="136"/>
      </rPr>
      <t>年</t>
    </r>
    <phoneticPr fontId="6" type="noConversion"/>
  </si>
  <si>
    <r>
      <t>100</t>
    </r>
    <r>
      <rPr>
        <sz val="14"/>
        <color indexed="8"/>
        <rFont val="新細明體"/>
        <family val="1"/>
        <charset val="136"/>
      </rPr>
      <t>年</t>
    </r>
    <phoneticPr fontId="6" type="noConversion"/>
  </si>
  <si>
    <r>
      <t>101</t>
    </r>
    <r>
      <rPr>
        <sz val="14"/>
        <color indexed="8"/>
        <rFont val="新細明體"/>
        <family val="1"/>
        <charset val="136"/>
      </rPr>
      <t>年</t>
    </r>
    <phoneticPr fontId="6" type="noConversion"/>
  </si>
  <si>
    <r>
      <t>102</t>
    </r>
    <r>
      <rPr>
        <sz val="14"/>
        <color rgb="FF000000"/>
        <rFont val="新細明體"/>
        <family val="1"/>
        <charset val="136"/>
      </rPr>
      <t>年</t>
    </r>
    <phoneticPr fontId="6" type="noConversion"/>
  </si>
  <si>
    <r>
      <t>103</t>
    </r>
    <r>
      <rPr>
        <sz val="14"/>
        <color indexed="8"/>
        <rFont val="新細明體"/>
        <family val="1"/>
        <charset val="136"/>
      </rPr>
      <t>年</t>
    </r>
    <phoneticPr fontId="6" type="noConversion"/>
  </si>
  <si>
    <r>
      <rPr>
        <sz val="14"/>
        <color indexed="8"/>
        <rFont val="新細明體"/>
        <family val="1"/>
        <charset val="136"/>
      </rPr>
      <t>計</t>
    </r>
    <phoneticPr fontId="44" type="noConversion"/>
  </si>
  <si>
    <r>
      <rPr>
        <sz val="14"/>
        <color indexed="8"/>
        <rFont val="新細明體"/>
        <family val="1"/>
        <charset val="136"/>
      </rPr>
      <t>男</t>
    </r>
    <phoneticPr fontId="44" type="noConversion"/>
  </si>
  <si>
    <r>
      <rPr>
        <sz val="14"/>
        <color indexed="8"/>
        <rFont val="新細明體"/>
        <family val="1"/>
        <charset val="136"/>
      </rPr>
      <t>女</t>
    </r>
    <phoneticPr fontId="44" type="noConversion"/>
  </si>
  <si>
    <r>
      <rPr>
        <sz val="16"/>
        <rFont val="新細明體"/>
        <family val="1"/>
        <charset val="136"/>
      </rPr>
      <t>普通刑法案件總計</t>
    </r>
    <phoneticPr fontId="44" type="noConversion"/>
  </si>
  <si>
    <r>
      <rPr>
        <sz val="16"/>
        <color theme="1"/>
        <rFont val="新細明體"/>
        <family val="1"/>
        <charset val="136"/>
      </rPr>
      <t>公共危險</t>
    </r>
    <phoneticPr fontId="44" type="noConversion"/>
  </si>
  <si>
    <r>
      <rPr>
        <sz val="16"/>
        <color theme="1"/>
        <rFont val="新細明體"/>
        <family val="1"/>
        <charset val="136"/>
      </rPr>
      <t>竊盜</t>
    </r>
    <phoneticPr fontId="44" type="noConversion"/>
  </si>
  <si>
    <r>
      <rPr>
        <sz val="16"/>
        <color theme="1"/>
        <rFont val="新細明體"/>
        <family val="1"/>
        <charset val="136"/>
      </rPr>
      <t>詐欺</t>
    </r>
    <phoneticPr fontId="44" type="noConversion"/>
  </si>
  <si>
    <r>
      <rPr>
        <sz val="16"/>
        <color theme="1"/>
        <rFont val="新細明體"/>
        <family val="1"/>
        <charset val="136"/>
      </rPr>
      <t>一般傷害</t>
    </r>
    <phoneticPr fontId="44" type="noConversion"/>
  </si>
  <si>
    <r>
      <rPr>
        <sz val="16"/>
        <color theme="1"/>
        <rFont val="新細明體"/>
        <family val="1"/>
        <charset val="136"/>
      </rPr>
      <t>賭博</t>
    </r>
    <phoneticPr fontId="44" type="noConversion"/>
  </si>
  <si>
    <r>
      <rPr>
        <sz val="16"/>
        <rFont val="新細明體"/>
        <family val="1"/>
        <charset val="136"/>
      </rPr>
      <t>妨害自由</t>
    </r>
    <phoneticPr fontId="44" type="noConversion"/>
  </si>
  <si>
    <r>
      <rPr>
        <sz val="16"/>
        <rFont val="新細明體"/>
        <family val="1"/>
        <charset val="136"/>
      </rPr>
      <t>妨害名譽</t>
    </r>
    <phoneticPr fontId="44" type="noConversion"/>
  </si>
  <si>
    <r>
      <rPr>
        <sz val="16"/>
        <rFont val="新細明體"/>
        <family val="1"/>
        <charset val="136"/>
      </rPr>
      <t>侵占</t>
    </r>
    <phoneticPr fontId="44" type="noConversion"/>
  </si>
  <si>
    <r>
      <rPr>
        <sz val="16"/>
        <rFont val="新細明體"/>
        <family val="1"/>
        <charset val="136"/>
      </rPr>
      <t>毀棄損壞</t>
    </r>
    <phoneticPr fontId="44" type="noConversion"/>
  </si>
  <si>
    <r>
      <rPr>
        <sz val="16"/>
        <color theme="1"/>
        <rFont val="新細明體"/>
        <family val="1"/>
        <charset val="136"/>
      </rPr>
      <t>性交猥褻</t>
    </r>
    <phoneticPr fontId="44" type="noConversion"/>
  </si>
  <si>
    <r>
      <rPr>
        <sz val="16"/>
        <rFont val="新細明體"/>
        <family val="1"/>
        <charset val="136"/>
      </rPr>
      <t>偽造文書印文</t>
    </r>
    <phoneticPr fontId="44" type="noConversion"/>
  </si>
  <si>
    <r>
      <rPr>
        <sz val="16"/>
        <rFont val="新細明體"/>
        <family val="1"/>
        <charset val="136"/>
      </rPr>
      <t>妨害風化</t>
    </r>
    <phoneticPr fontId="44" type="noConversion"/>
  </si>
  <si>
    <r>
      <rPr>
        <sz val="16"/>
        <rFont val="新細明體"/>
        <family val="1"/>
        <charset val="136"/>
      </rPr>
      <t>妨害公務</t>
    </r>
    <phoneticPr fontId="44" type="noConversion"/>
  </si>
  <si>
    <r>
      <rPr>
        <sz val="16"/>
        <color theme="1"/>
        <rFont val="新細明體"/>
        <family val="1"/>
        <charset val="136"/>
      </rPr>
      <t>恐嚇</t>
    </r>
    <phoneticPr fontId="44" type="noConversion"/>
  </si>
  <si>
    <r>
      <rPr>
        <sz val="16"/>
        <color theme="1"/>
        <rFont val="新細明體"/>
        <family val="1"/>
        <charset val="136"/>
      </rPr>
      <t>背信</t>
    </r>
    <phoneticPr fontId="44" type="noConversion"/>
  </si>
  <si>
    <r>
      <rPr>
        <sz val="16"/>
        <rFont val="新細明體"/>
        <family val="1"/>
        <charset val="136"/>
      </rPr>
      <t>竊佔</t>
    </r>
    <phoneticPr fontId="44" type="noConversion"/>
  </si>
  <si>
    <r>
      <rPr>
        <sz val="16"/>
        <rFont val="新細明體"/>
        <family val="1"/>
        <charset val="136"/>
      </rPr>
      <t>妨害家庭及婚姻</t>
    </r>
    <phoneticPr fontId="44" type="noConversion"/>
  </si>
  <si>
    <r>
      <rPr>
        <sz val="16"/>
        <rFont val="新細明體"/>
        <family val="1"/>
        <charset val="136"/>
      </rPr>
      <t>故意殺人</t>
    </r>
    <phoneticPr fontId="44" type="noConversion"/>
  </si>
  <si>
    <r>
      <rPr>
        <sz val="16"/>
        <rFont val="新細明體"/>
        <family val="1"/>
        <charset val="136"/>
      </rPr>
      <t>妨害秩序</t>
    </r>
    <phoneticPr fontId="44" type="noConversion"/>
  </si>
  <si>
    <r>
      <rPr>
        <sz val="16"/>
        <color theme="1"/>
        <rFont val="新細明體"/>
        <family val="1"/>
        <charset val="136"/>
      </rPr>
      <t>重利</t>
    </r>
    <phoneticPr fontId="44" type="noConversion"/>
  </si>
  <si>
    <r>
      <rPr>
        <sz val="16"/>
        <rFont val="新細明體"/>
        <family val="1"/>
        <charset val="136"/>
      </rPr>
      <t>妨害秘密</t>
    </r>
    <phoneticPr fontId="44" type="noConversion"/>
  </si>
  <si>
    <r>
      <rPr>
        <sz val="16"/>
        <rFont val="新細明體"/>
        <family val="1"/>
        <charset val="136"/>
      </rPr>
      <t>誣告</t>
    </r>
    <phoneticPr fontId="44" type="noConversion"/>
  </si>
  <si>
    <r>
      <rPr>
        <sz val="16"/>
        <rFont val="新細明體"/>
        <family val="1"/>
        <charset val="136"/>
      </rPr>
      <t>妨害電腦使用</t>
    </r>
    <phoneticPr fontId="44" type="noConversion"/>
  </si>
  <si>
    <r>
      <rPr>
        <sz val="16"/>
        <color theme="1"/>
        <rFont val="新細明體"/>
        <family val="1"/>
        <charset val="136"/>
      </rPr>
      <t>強盜</t>
    </r>
    <phoneticPr fontId="44" type="noConversion"/>
  </si>
  <si>
    <r>
      <rPr>
        <sz val="16"/>
        <color theme="1"/>
        <rFont val="新細明體"/>
        <family val="1"/>
        <charset val="136"/>
      </rPr>
      <t>強制性交</t>
    </r>
    <phoneticPr fontId="44" type="noConversion"/>
  </si>
  <si>
    <r>
      <rPr>
        <sz val="16"/>
        <color theme="1"/>
        <rFont val="新細明體"/>
        <family val="1"/>
        <charset val="136"/>
      </rPr>
      <t>搶奪</t>
    </r>
    <phoneticPr fontId="44" type="noConversion"/>
  </si>
  <si>
    <r>
      <rPr>
        <sz val="16"/>
        <color theme="1"/>
        <rFont val="新細明體"/>
        <family val="1"/>
        <charset val="136"/>
      </rPr>
      <t>對幼性交</t>
    </r>
    <phoneticPr fontId="44" type="noConversion"/>
  </si>
  <si>
    <r>
      <rPr>
        <sz val="16"/>
        <color theme="1"/>
        <rFont val="新細明體"/>
        <family val="1"/>
        <charset val="136"/>
      </rPr>
      <t>贓物</t>
    </r>
    <phoneticPr fontId="44" type="noConversion"/>
  </si>
  <si>
    <r>
      <rPr>
        <sz val="16"/>
        <rFont val="新細明體"/>
        <family val="1"/>
        <charset val="136"/>
      </rPr>
      <t>遺棄</t>
    </r>
    <phoneticPr fontId="44" type="noConversion"/>
  </si>
  <si>
    <r>
      <rPr>
        <sz val="16"/>
        <color theme="1"/>
        <rFont val="新細明體"/>
        <family val="1"/>
        <charset val="136"/>
      </rPr>
      <t>重傷害</t>
    </r>
    <phoneticPr fontId="44" type="noConversion"/>
  </si>
  <si>
    <r>
      <rPr>
        <sz val="20"/>
        <color theme="1"/>
        <rFont val="新細明體"/>
        <family val="1"/>
        <charset val="136"/>
      </rPr>
      <t>表</t>
    </r>
    <r>
      <rPr>
        <sz val="20"/>
        <color theme="1"/>
        <rFont val="Times New Roman"/>
        <family val="1"/>
      </rPr>
      <t>1-2-3</t>
    </r>
    <r>
      <rPr>
        <sz val="20"/>
        <color theme="1"/>
        <rFont val="新細明體"/>
        <family val="1"/>
        <charset val="136"/>
      </rPr>
      <t>　近</t>
    </r>
    <r>
      <rPr>
        <sz val="20"/>
        <color theme="1"/>
        <rFont val="Times New Roman"/>
        <family val="1"/>
      </rPr>
      <t>10</t>
    </r>
    <r>
      <rPr>
        <sz val="20"/>
        <color theme="1"/>
        <rFont val="新細明體"/>
        <family val="1"/>
        <charset val="136"/>
      </rPr>
      <t>年普通刑法犯罪嫌疑人數－罪名分別、性別分類</t>
    </r>
    <r>
      <rPr>
        <sz val="20"/>
        <color theme="1"/>
        <rFont val="Times New Roman"/>
        <family val="1"/>
      </rPr>
      <t xml:space="preserve"> (</t>
    </r>
    <r>
      <rPr>
        <sz val="20"/>
        <color theme="1"/>
        <rFont val="新細明體"/>
        <family val="1"/>
        <charset val="136"/>
      </rPr>
      <t>續</t>
    </r>
    <r>
      <rPr>
        <sz val="20"/>
        <color theme="1"/>
        <rFont val="Times New Roman"/>
        <family val="1"/>
      </rPr>
      <t>)</t>
    </r>
    <phoneticPr fontId="44" type="noConversion"/>
  </si>
  <si>
    <r>
      <t>104</t>
    </r>
    <r>
      <rPr>
        <sz val="14"/>
        <color indexed="8"/>
        <rFont val="新細明體"/>
        <family val="1"/>
        <charset val="136"/>
      </rPr>
      <t>年</t>
    </r>
    <phoneticPr fontId="6" type="noConversion"/>
  </si>
  <si>
    <r>
      <t>105</t>
    </r>
    <r>
      <rPr>
        <sz val="14"/>
        <color indexed="8"/>
        <rFont val="新細明體"/>
        <family val="1"/>
        <charset val="136"/>
      </rPr>
      <t>年</t>
    </r>
    <phoneticPr fontId="6" type="noConversion"/>
  </si>
  <si>
    <r>
      <t>106</t>
    </r>
    <r>
      <rPr>
        <sz val="14"/>
        <color indexed="8"/>
        <rFont val="新細明體"/>
        <family val="1"/>
        <charset val="136"/>
      </rPr>
      <t>年</t>
    </r>
    <phoneticPr fontId="6" type="noConversion"/>
  </si>
  <si>
    <r>
      <t>107</t>
    </r>
    <r>
      <rPr>
        <sz val="14"/>
        <color indexed="8"/>
        <rFont val="新細明體"/>
        <family val="1"/>
        <charset val="136"/>
      </rPr>
      <t>年</t>
    </r>
    <phoneticPr fontId="6" type="noConversion"/>
  </si>
  <si>
    <r>
      <t>108</t>
    </r>
    <r>
      <rPr>
        <sz val="14"/>
        <color indexed="8"/>
        <rFont val="新細明體"/>
        <family val="1"/>
        <charset val="136"/>
      </rPr>
      <t>年</t>
    </r>
    <phoneticPr fontId="6" type="noConversion"/>
  </si>
  <si>
    <r>
      <rPr>
        <sz val="15"/>
        <color theme="1"/>
        <rFont val="新細明體"/>
        <family val="1"/>
        <charset val="136"/>
      </rPr>
      <t>表</t>
    </r>
    <r>
      <rPr>
        <sz val="15"/>
        <rFont val="Times New Roman"/>
        <family val="1"/>
      </rPr>
      <t xml:space="preserve">1-3-1   </t>
    </r>
    <r>
      <rPr>
        <sz val="15"/>
        <rFont val="新細明體"/>
        <family val="1"/>
        <charset val="136"/>
      </rPr>
      <t>近</t>
    </r>
    <r>
      <rPr>
        <sz val="15"/>
        <rFont val="Times New Roman"/>
        <family val="1"/>
      </rPr>
      <t>10</t>
    </r>
    <r>
      <rPr>
        <sz val="15"/>
        <rFont val="新細明體"/>
        <family val="1"/>
        <charset val="136"/>
      </rPr>
      <t>年</t>
    </r>
    <r>
      <rPr>
        <sz val="15"/>
        <color theme="1"/>
        <rFont val="新細明體"/>
        <family val="1"/>
        <charset val="136"/>
      </rPr>
      <t>特別刑法統計指標</t>
    </r>
    <phoneticPr fontId="44" type="noConversion"/>
  </si>
  <si>
    <r>
      <rPr>
        <sz val="11"/>
        <rFont val="新細明體"/>
        <family val="1"/>
        <charset val="136"/>
      </rPr>
      <t>違反毒品危害防制條例</t>
    </r>
  </si>
  <si>
    <r>
      <rPr>
        <sz val="11"/>
        <rFont val="新細明體"/>
        <family val="1"/>
        <charset val="136"/>
      </rPr>
      <t>違反組織犯罪防制條例</t>
    </r>
    <r>
      <rPr>
        <sz val="11"/>
        <rFont val="Times New Roman"/>
        <family val="1"/>
      </rPr>
      <t xml:space="preserve"> </t>
    </r>
    <phoneticPr fontId="44" type="noConversion"/>
  </si>
  <si>
    <r>
      <rPr>
        <sz val="11"/>
        <rFont val="新細明體"/>
        <family val="1"/>
        <charset val="136"/>
      </rPr>
      <t>違反貪污治罪條例</t>
    </r>
    <phoneticPr fontId="44" type="noConversion"/>
  </si>
  <si>
    <r>
      <rPr>
        <sz val="11"/>
        <rFont val="新細明體"/>
        <family val="1"/>
        <charset val="136"/>
      </rPr>
      <t>移送案件數</t>
    </r>
    <phoneticPr fontId="44" type="noConversion"/>
  </si>
  <si>
    <r>
      <t>(</t>
    </r>
    <r>
      <rPr>
        <sz val="11"/>
        <rFont val="新細明體"/>
        <family val="1"/>
        <charset val="136"/>
      </rPr>
      <t>件</t>
    </r>
    <r>
      <rPr>
        <sz val="11"/>
        <rFont val="Times New Roman"/>
        <family val="1"/>
      </rPr>
      <t>)</t>
    </r>
    <phoneticPr fontId="6" type="noConversion"/>
  </si>
  <si>
    <r>
      <rPr>
        <sz val="11"/>
        <rFont val="新細明體"/>
        <family val="1"/>
        <charset val="136"/>
      </rPr>
      <t>計</t>
    </r>
  </si>
  <si>
    <r>
      <t>(</t>
    </r>
    <r>
      <rPr>
        <sz val="11"/>
        <rFont val="新細明體"/>
        <family val="1"/>
        <charset val="136"/>
      </rPr>
      <t>件</t>
    </r>
    <r>
      <rPr>
        <sz val="11"/>
        <rFont val="Times New Roman"/>
        <family val="1"/>
      </rPr>
      <t>/10</t>
    </r>
    <r>
      <rPr>
        <sz val="11"/>
        <rFont val="新細明體"/>
        <family val="1"/>
        <charset val="136"/>
      </rPr>
      <t>萬人口</t>
    </r>
    <r>
      <rPr>
        <sz val="11"/>
        <rFont val="Times New Roman"/>
        <family val="1"/>
      </rPr>
      <t>)</t>
    </r>
  </si>
  <si>
    <r>
      <t>(</t>
    </r>
    <r>
      <rPr>
        <sz val="11"/>
        <rFont val="新細明體"/>
        <family val="1"/>
        <charset val="136"/>
      </rPr>
      <t>件</t>
    </r>
    <r>
      <rPr>
        <sz val="11"/>
        <rFont val="Times New Roman"/>
        <family val="1"/>
      </rPr>
      <t>/10</t>
    </r>
    <r>
      <rPr>
        <sz val="11"/>
        <rFont val="新細明體"/>
        <family val="1"/>
        <charset val="136"/>
      </rPr>
      <t>萬人口</t>
    </r>
    <r>
      <rPr>
        <sz val="11"/>
        <rFont val="Times New Roman"/>
        <family val="1"/>
      </rPr>
      <t xml:space="preserve">) </t>
    </r>
  </si>
  <si>
    <r>
      <t xml:space="preserve"> (</t>
    </r>
    <r>
      <rPr>
        <sz val="11"/>
        <rFont val="新細明體"/>
        <family val="1"/>
        <charset val="136"/>
      </rPr>
      <t>人</t>
    </r>
    <r>
      <rPr>
        <sz val="11"/>
        <rFont val="Times New Roman"/>
        <family val="1"/>
      </rPr>
      <t>)</t>
    </r>
  </si>
  <si>
    <r>
      <t>102</t>
    </r>
    <r>
      <rPr>
        <sz val="11"/>
        <color indexed="8"/>
        <rFont val="新細明體"/>
        <family val="1"/>
        <charset val="136"/>
      </rPr>
      <t>年</t>
    </r>
    <phoneticPr fontId="6" type="noConversion"/>
  </si>
  <si>
    <r>
      <t>103</t>
    </r>
    <r>
      <rPr>
        <sz val="11"/>
        <color indexed="8"/>
        <rFont val="新細明體"/>
        <family val="1"/>
        <charset val="136"/>
      </rPr>
      <t>年</t>
    </r>
    <phoneticPr fontId="6" type="noConversion"/>
  </si>
  <si>
    <r>
      <rPr>
        <sz val="11"/>
        <rFont val="新細明體"/>
        <family val="1"/>
        <charset val="136"/>
      </rPr>
      <t>違反槍砲彈藥刀械管制條例</t>
    </r>
    <r>
      <rPr>
        <sz val="11"/>
        <rFont val="Times New Roman"/>
        <family val="1"/>
      </rPr>
      <t xml:space="preserve"> </t>
    </r>
    <phoneticPr fontId="6" type="noConversion"/>
  </si>
  <si>
    <r>
      <rPr>
        <sz val="11"/>
        <rFont val="新細明體"/>
        <family val="1"/>
        <charset val="136"/>
      </rPr>
      <t>違反家庭暴力防治法</t>
    </r>
    <phoneticPr fontId="6" type="noConversion"/>
  </si>
  <si>
    <r>
      <rPr>
        <sz val="11"/>
        <rFont val="新細明體"/>
        <family val="1"/>
        <charset val="136"/>
      </rPr>
      <t>違反性侵害犯罪防治法</t>
    </r>
    <phoneticPr fontId="6" type="noConversion"/>
  </si>
  <si>
    <r>
      <rPr>
        <sz val="11"/>
        <rFont val="新細明體"/>
        <family val="1"/>
        <charset val="136"/>
      </rPr>
      <t>疑似通報件數</t>
    </r>
  </si>
  <si>
    <r>
      <rPr>
        <sz val="11"/>
        <rFont val="新細明體"/>
        <family val="1"/>
        <charset val="136"/>
      </rPr>
      <t>資料來源：</t>
    </r>
    <phoneticPr fontId="44" type="noConversion"/>
  </si>
  <si>
    <r>
      <rPr>
        <sz val="11"/>
        <color theme="1"/>
        <rFont val="新細明體"/>
        <family val="1"/>
        <charset val="136"/>
      </rPr>
      <t>內政部警政署刑事警察局、法務部調查局、法務部廉政署、衛生福利部保護服務司</t>
    </r>
    <phoneticPr fontId="6" type="noConversion"/>
  </si>
  <si>
    <r>
      <rPr>
        <sz val="11"/>
        <color theme="1"/>
        <rFont val="新細明體"/>
        <family val="1"/>
        <charset val="136"/>
      </rPr>
      <t>說　　明：</t>
    </r>
    <phoneticPr fontId="44" type="noConversion"/>
  </si>
  <si>
    <r>
      <t>1.</t>
    </r>
    <r>
      <rPr>
        <sz val="11"/>
        <color theme="1"/>
        <rFont val="新細明體"/>
        <family val="1"/>
        <charset val="136"/>
      </rPr>
      <t>違反毒品危害防制條例案件發生數即為破獲數</t>
    </r>
    <phoneticPr fontId="6" type="noConversion"/>
  </si>
  <si>
    <r>
      <t>3.</t>
    </r>
    <r>
      <rPr>
        <sz val="11"/>
        <color theme="1"/>
        <rFont val="新細明體"/>
        <family val="1"/>
        <charset val="136"/>
      </rPr>
      <t>違反貪污治罪條例的資料由法務部調查局與法務部廉政署提供、違反家庭暴力防治法與違反性侵害犯罪防治法由衛生福利部提供</t>
    </r>
    <phoneticPr fontId="6" type="noConversion"/>
  </si>
  <si>
    <r>
      <t>4.</t>
    </r>
    <r>
      <rPr>
        <sz val="11"/>
        <rFont val="新細明體"/>
        <family val="1"/>
        <charset val="136"/>
      </rPr>
      <t>違反家庭暴力防治法與違反性侵害犯罪防治法的各通報來源</t>
    </r>
    <r>
      <rPr>
        <sz val="11"/>
        <rFont val="Times New Roman"/>
        <family val="1"/>
      </rPr>
      <t>:</t>
    </r>
    <phoneticPr fontId="6" type="noConversion"/>
  </si>
  <si>
    <r>
      <t xml:space="preserve">   </t>
    </r>
    <r>
      <rPr>
        <sz val="11"/>
        <rFont val="新細明體"/>
        <family val="1"/>
        <charset val="136"/>
      </rPr>
      <t>違反家庭暴力防治法</t>
    </r>
    <r>
      <rPr>
        <sz val="11"/>
        <rFont val="Times New Roman"/>
        <family val="1"/>
      </rPr>
      <t>:113</t>
    </r>
    <r>
      <rPr>
        <sz val="11"/>
        <rFont val="新細明體"/>
        <family val="1"/>
        <charset val="136"/>
      </rPr>
      <t>保護專線、防治中心、社政、勞政、教育、警政、司法、衛政、診所、醫院、移民業務機關等。</t>
    </r>
    <phoneticPr fontId="6" type="noConversion"/>
  </si>
  <si>
    <r>
      <t xml:space="preserve">   </t>
    </r>
    <r>
      <rPr>
        <sz val="11"/>
        <rFont val="新細明體"/>
        <family val="1"/>
        <charset val="136"/>
      </rPr>
      <t>違反性侵害犯罪防治法</t>
    </r>
    <r>
      <rPr>
        <sz val="11"/>
        <rFont val="Times New Roman"/>
        <family val="1"/>
      </rPr>
      <t>:113</t>
    </r>
    <r>
      <rPr>
        <sz val="11"/>
        <rFont val="新細明體"/>
        <family val="1"/>
        <charset val="136"/>
      </rPr>
      <t>保護專線、防治中心、社政、教育、警政、司法、衛政、診所、醫院、勞政、憲兵隊等。</t>
    </r>
    <phoneticPr fontId="6" type="noConversion"/>
  </si>
  <si>
    <r>
      <t>99</t>
    </r>
    <r>
      <rPr>
        <sz val="11"/>
        <rFont val="新細明體"/>
        <family val="1"/>
        <charset val="136"/>
      </rPr>
      <t>年</t>
    </r>
    <phoneticPr fontId="61" type="noConversion"/>
  </si>
  <si>
    <r>
      <t>100</t>
    </r>
    <r>
      <rPr>
        <sz val="11"/>
        <rFont val="新細明體"/>
        <family val="1"/>
        <charset val="136"/>
      </rPr>
      <t>年</t>
    </r>
    <phoneticPr fontId="61" type="noConversion"/>
  </si>
  <si>
    <r>
      <t>101</t>
    </r>
    <r>
      <rPr>
        <sz val="11"/>
        <rFont val="新細明體"/>
        <family val="1"/>
        <charset val="136"/>
      </rPr>
      <t>年</t>
    </r>
    <phoneticPr fontId="61" type="noConversion"/>
  </si>
  <si>
    <r>
      <t>102</t>
    </r>
    <r>
      <rPr>
        <sz val="11"/>
        <rFont val="新細明體"/>
        <family val="1"/>
        <charset val="136"/>
      </rPr>
      <t>年</t>
    </r>
    <phoneticPr fontId="61" type="noConversion"/>
  </si>
  <si>
    <r>
      <t>103</t>
    </r>
    <r>
      <rPr>
        <sz val="11"/>
        <rFont val="新細明體"/>
        <family val="1"/>
        <charset val="136"/>
      </rPr>
      <t>年</t>
    </r>
    <phoneticPr fontId="61" type="noConversion"/>
  </si>
  <si>
    <r>
      <rPr>
        <sz val="11"/>
        <rFont val="新細明體"/>
        <family val="1"/>
        <charset val="136"/>
      </rPr>
      <t>第一級毒品</t>
    </r>
    <phoneticPr fontId="44" type="noConversion"/>
  </si>
  <si>
    <r>
      <rPr>
        <sz val="11"/>
        <color indexed="8"/>
        <rFont val="新細明體"/>
        <family val="1"/>
        <charset val="136"/>
      </rPr>
      <t>小計</t>
    </r>
  </si>
  <si>
    <r>
      <rPr>
        <sz val="11"/>
        <color indexed="8"/>
        <rFont val="新細明體"/>
        <family val="1"/>
        <charset val="136"/>
      </rPr>
      <t>製造</t>
    </r>
  </si>
  <si>
    <r>
      <rPr>
        <sz val="11"/>
        <color indexed="8"/>
        <rFont val="新細明體"/>
        <family val="1"/>
        <charset val="136"/>
      </rPr>
      <t>運輸</t>
    </r>
  </si>
  <si>
    <r>
      <rPr>
        <sz val="11"/>
        <color indexed="8"/>
        <rFont val="新細明體"/>
        <family val="1"/>
        <charset val="136"/>
      </rPr>
      <t>販賣</t>
    </r>
  </si>
  <si>
    <r>
      <rPr>
        <sz val="11"/>
        <color indexed="8"/>
        <rFont val="新細明體"/>
        <family val="1"/>
        <charset val="136"/>
      </rPr>
      <t>意圖販賣</t>
    </r>
  </si>
  <si>
    <r>
      <rPr>
        <sz val="11"/>
        <color indexed="8"/>
        <rFont val="新細明體"/>
        <family val="1"/>
        <charset val="136"/>
      </rPr>
      <t>強暴、脅迫等非法使用人施用</t>
    </r>
  </si>
  <si>
    <r>
      <rPr>
        <sz val="11"/>
        <color indexed="8"/>
        <rFont val="新細明體"/>
        <family val="1"/>
        <charset val="136"/>
      </rPr>
      <t>引誘他人施用</t>
    </r>
  </si>
  <si>
    <r>
      <rPr>
        <sz val="11"/>
        <color indexed="8"/>
        <rFont val="新細明體"/>
        <family val="1"/>
        <charset val="136"/>
      </rPr>
      <t>轉讓</t>
    </r>
  </si>
  <si>
    <r>
      <rPr>
        <sz val="11"/>
        <color indexed="8"/>
        <rFont val="新細明體"/>
        <family val="1"/>
        <charset val="136"/>
      </rPr>
      <t>施用</t>
    </r>
  </si>
  <si>
    <r>
      <rPr>
        <sz val="11"/>
        <color indexed="8"/>
        <rFont val="新細明體"/>
        <family val="1"/>
        <charset val="136"/>
      </rPr>
      <t>持有</t>
    </r>
  </si>
  <si>
    <r>
      <rPr>
        <sz val="11"/>
        <color indexed="8"/>
        <rFont val="新細明體"/>
        <family val="1"/>
        <charset val="136"/>
      </rPr>
      <t>其他</t>
    </r>
  </si>
  <si>
    <r>
      <rPr>
        <sz val="11"/>
        <rFont val="新細明體"/>
        <family val="1"/>
        <charset val="136"/>
      </rPr>
      <t>第二級毒品</t>
    </r>
    <phoneticPr fontId="44" type="noConversion"/>
  </si>
  <si>
    <r>
      <rPr>
        <sz val="11"/>
        <color indexed="8"/>
        <rFont val="新細明體"/>
        <family val="1"/>
        <charset val="136"/>
      </rPr>
      <t>製造或栽種</t>
    </r>
  </si>
  <si>
    <r>
      <rPr>
        <sz val="11"/>
        <color indexed="8"/>
        <rFont val="新細明體"/>
        <family val="1"/>
        <charset val="136"/>
      </rPr>
      <t>第三級毒品</t>
    </r>
    <phoneticPr fontId="44" type="noConversion"/>
  </si>
  <si>
    <r>
      <rPr>
        <sz val="11"/>
        <color indexed="8"/>
        <rFont val="新細明體"/>
        <family val="1"/>
        <charset val="136"/>
      </rPr>
      <t>第四級毒品</t>
    </r>
    <phoneticPr fontId="44" type="noConversion"/>
  </si>
  <si>
    <r>
      <rPr>
        <sz val="11"/>
        <color indexed="8"/>
        <rFont val="新細明體"/>
        <family val="1"/>
        <charset val="136"/>
      </rPr>
      <t>其他</t>
    </r>
    <phoneticPr fontId="44" type="noConversion"/>
  </si>
  <si>
    <r>
      <rPr>
        <sz val="11"/>
        <color indexed="8"/>
        <rFont val="新細明體"/>
        <family val="1"/>
        <charset val="136"/>
      </rPr>
      <t>非四級其他</t>
    </r>
  </si>
  <si>
    <r>
      <rPr>
        <sz val="15"/>
        <rFont val="新細明體"/>
        <family val="1"/>
        <charset val="136"/>
      </rPr>
      <t>表</t>
    </r>
    <r>
      <rPr>
        <sz val="15"/>
        <rFont val="Times New Roman"/>
        <family val="1"/>
      </rPr>
      <t>1-3-3</t>
    </r>
    <r>
      <rPr>
        <sz val="15"/>
        <rFont val="新細明體"/>
        <family val="1"/>
        <charset val="136"/>
      </rPr>
      <t>　近</t>
    </r>
    <r>
      <rPr>
        <sz val="15"/>
        <rFont val="Times New Roman"/>
        <family val="1"/>
      </rPr>
      <t>10</t>
    </r>
    <r>
      <rPr>
        <sz val="15"/>
        <rFont val="新細明體"/>
        <family val="1"/>
        <charset val="136"/>
      </rPr>
      <t>年第一級毒品案件販賣、施用嫌疑人數</t>
    </r>
    <phoneticPr fontId="6" type="noConversion"/>
  </si>
  <si>
    <r>
      <rPr>
        <sz val="11"/>
        <rFont val="新細明體"/>
        <family val="1"/>
        <charset val="136"/>
      </rPr>
      <t>販賣</t>
    </r>
    <phoneticPr fontId="44" type="noConversion"/>
  </si>
  <si>
    <r>
      <rPr>
        <sz val="11"/>
        <rFont val="新細明體"/>
        <family val="1"/>
        <charset val="136"/>
      </rPr>
      <t>施用</t>
    </r>
    <phoneticPr fontId="44" type="noConversion"/>
  </si>
  <si>
    <r>
      <rPr>
        <sz val="11"/>
        <rFont val="新細明體"/>
        <family val="1"/>
        <charset val="136"/>
      </rPr>
      <t>總</t>
    </r>
    <r>
      <rPr>
        <sz val="11"/>
        <rFont val="Times New Roman"/>
        <family val="1"/>
      </rPr>
      <t xml:space="preserve">         </t>
    </r>
    <r>
      <rPr>
        <sz val="11"/>
        <rFont val="新細明體"/>
        <family val="1"/>
        <charset val="136"/>
      </rPr>
      <t>計</t>
    </r>
    <phoneticPr fontId="44" type="noConversion"/>
  </si>
  <si>
    <r>
      <t>0</t>
    </r>
    <r>
      <rPr>
        <sz val="11"/>
        <rFont val="新細明體"/>
        <family val="1"/>
        <charset val="136"/>
      </rPr>
      <t>－</t>
    </r>
    <r>
      <rPr>
        <sz val="11"/>
        <rFont val="Times New Roman"/>
        <family val="1"/>
      </rPr>
      <t>5</t>
    </r>
    <r>
      <rPr>
        <sz val="11"/>
        <rFont val="新細明體"/>
        <family val="1"/>
        <charset val="136"/>
      </rPr>
      <t>歲</t>
    </r>
    <phoneticPr fontId="44" type="noConversion"/>
  </si>
  <si>
    <r>
      <t>6</t>
    </r>
    <r>
      <rPr>
        <sz val="11"/>
        <rFont val="新細明體"/>
        <family val="1"/>
        <charset val="136"/>
      </rPr>
      <t>－</t>
    </r>
    <r>
      <rPr>
        <sz val="11"/>
        <rFont val="Times New Roman"/>
        <family val="1"/>
      </rPr>
      <t>11</t>
    </r>
    <r>
      <rPr>
        <sz val="11"/>
        <rFont val="新細明體"/>
        <family val="1"/>
        <charset val="136"/>
      </rPr>
      <t>歲</t>
    </r>
    <phoneticPr fontId="44" type="noConversion"/>
  </si>
  <si>
    <r>
      <t>12</t>
    </r>
    <r>
      <rPr>
        <sz val="11"/>
        <rFont val="新細明體"/>
        <family val="1"/>
        <charset val="136"/>
      </rPr>
      <t>－</t>
    </r>
    <r>
      <rPr>
        <sz val="11"/>
        <rFont val="Times New Roman"/>
        <family val="1"/>
      </rPr>
      <t>17</t>
    </r>
    <r>
      <rPr>
        <sz val="11"/>
        <rFont val="新細明體"/>
        <family val="1"/>
        <charset val="136"/>
      </rPr>
      <t>歲</t>
    </r>
    <phoneticPr fontId="44" type="noConversion"/>
  </si>
  <si>
    <r>
      <t>18</t>
    </r>
    <r>
      <rPr>
        <sz val="11"/>
        <rFont val="新細明體"/>
        <family val="1"/>
        <charset val="136"/>
      </rPr>
      <t>－</t>
    </r>
    <r>
      <rPr>
        <sz val="11"/>
        <rFont val="Times New Roman"/>
        <family val="1"/>
      </rPr>
      <t>23</t>
    </r>
    <r>
      <rPr>
        <sz val="11"/>
        <rFont val="新細明體"/>
        <family val="1"/>
        <charset val="136"/>
      </rPr>
      <t>歲</t>
    </r>
    <phoneticPr fontId="44" type="noConversion"/>
  </si>
  <si>
    <r>
      <t>24</t>
    </r>
    <r>
      <rPr>
        <sz val="11"/>
        <rFont val="新細明體"/>
        <family val="1"/>
        <charset val="136"/>
      </rPr>
      <t>－</t>
    </r>
    <r>
      <rPr>
        <sz val="11"/>
        <rFont val="Times New Roman"/>
        <family val="1"/>
      </rPr>
      <t>29</t>
    </r>
    <r>
      <rPr>
        <sz val="11"/>
        <rFont val="新細明體"/>
        <family val="1"/>
        <charset val="136"/>
      </rPr>
      <t>歲</t>
    </r>
    <phoneticPr fontId="44" type="noConversion"/>
  </si>
  <si>
    <r>
      <t>30</t>
    </r>
    <r>
      <rPr>
        <sz val="11"/>
        <rFont val="新細明體"/>
        <family val="1"/>
        <charset val="136"/>
      </rPr>
      <t>－</t>
    </r>
    <r>
      <rPr>
        <sz val="11"/>
        <rFont val="Times New Roman"/>
        <family val="1"/>
      </rPr>
      <t>39</t>
    </r>
    <r>
      <rPr>
        <sz val="11"/>
        <rFont val="新細明體"/>
        <family val="1"/>
        <charset val="136"/>
      </rPr>
      <t>歲</t>
    </r>
    <phoneticPr fontId="44" type="noConversion"/>
  </si>
  <si>
    <r>
      <t>40</t>
    </r>
    <r>
      <rPr>
        <sz val="11"/>
        <rFont val="新細明體"/>
        <family val="1"/>
        <charset val="136"/>
      </rPr>
      <t>－</t>
    </r>
    <r>
      <rPr>
        <sz val="11"/>
        <rFont val="Times New Roman"/>
        <family val="1"/>
      </rPr>
      <t>49</t>
    </r>
    <r>
      <rPr>
        <sz val="11"/>
        <rFont val="新細明體"/>
        <family val="1"/>
        <charset val="136"/>
      </rPr>
      <t>歲</t>
    </r>
    <phoneticPr fontId="44" type="noConversion"/>
  </si>
  <si>
    <r>
      <t>50</t>
    </r>
    <r>
      <rPr>
        <sz val="11"/>
        <rFont val="新細明體"/>
        <family val="1"/>
        <charset val="136"/>
      </rPr>
      <t>－</t>
    </r>
    <r>
      <rPr>
        <sz val="11"/>
        <rFont val="Times New Roman"/>
        <family val="1"/>
      </rPr>
      <t>59</t>
    </r>
    <r>
      <rPr>
        <sz val="11"/>
        <rFont val="新細明體"/>
        <family val="1"/>
        <charset val="136"/>
      </rPr>
      <t>歲</t>
    </r>
    <phoneticPr fontId="44" type="noConversion"/>
  </si>
  <si>
    <r>
      <t>60</t>
    </r>
    <r>
      <rPr>
        <sz val="11"/>
        <rFont val="新細明體"/>
        <family val="1"/>
        <charset val="136"/>
      </rPr>
      <t>－</t>
    </r>
    <r>
      <rPr>
        <sz val="11"/>
        <rFont val="Times New Roman"/>
        <family val="1"/>
      </rPr>
      <t>64</t>
    </r>
    <r>
      <rPr>
        <sz val="11"/>
        <rFont val="新細明體"/>
        <family val="1"/>
        <charset val="136"/>
      </rPr>
      <t>歲</t>
    </r>
    <phoneticPr fontId="44" type="noConversion"/>
  </si>
  <si>
    <r>
      <t>65</t>
    </r>
    <r>
      <rPr>
        <sz val="11"/>
        <rFont val="新細明體"/>
        <family val="1"/>
        <charset val="136"/>
      </rPr>
      <t>－</t>
    </r>
    <r>
      <rPr>
        <sz val="11"/>
        <rFont val="Times New Roman"/>
        <family val="1"/>
      </rPr>
      <t>69</t>
    </r>
    <r>
      <rPr>
        <sz val="11"/>
        <rFont val="新細明體"/>
        <family val="1"/>
        <charset val="136"/>
      </rPr>
      <t>歲</t>
    </r>
    <phoneticPr fontId="44" type="noConversion"/>
  </si>
  <si>
    <r>
      <t xml:space="preserve">70  </t>
    </r>
    <r>
      <rPr>
        <sz val="11"/>
        <rFont val="新細明體"/>
        <family val="1"/>
        <charset val="136"/>
      </rPr>
      <t>歲</t>
    </r>
    <r>
      <rPr>
        <sz val="11"/>
        <rFont val="Times New Roman"/>
        <family val="1"/>
      </rPr>
      <t xml:space="preserve"> </t>
    </r>
    <r>
      <rPr>
        <sz val="11"/>
        <rFont val="新細明體"/>
        <family val="1"/>
        <charset val="136"/>
      </rPr>
      <t>以</t>
    </r>
    <r>
      <rPr>
        <sz val="11"/>
        <rFont val="Times New Roman"/>
        <family val="1"/>
      </rPr>
      <t xml:space="preserve"> </t>
    </r>
    <r>
      <rPr>
        <sz val="11"/>
        <rFont val="新細明體"/>
        <family val="1"/>
        <charset val="136"/>
      </rPr>
      <t>上</t>
    </r>
    <phoneticPr fontId="44" type="noConversion"/>
  </si>
  <si>
    <r>
      <rPr>
        <sz val="11"/>
        <rFont val="新細明體"/>
        <family val="1"/>
        <charset val="136"/>
      </rPr>
      <t>不</t>
    </r>
    <r>
      <rPr>
        <sz val="11"/>
        <rFont val="Times New Roman"/>
        <family val="1"/>
      </rPr>
      <t xml:space="preserve">        </t>
    </r>
    <r>
      <rPr>
        <sz val="11"/>
        <rFont val="新細明體"/>
        <family val="1"/>
        <charset val="136"/>
      </rPr>
      <t>詳</t>
    </r>
    <phoneticPr fontId="44" type="noConversion"/>
  </si>
  <si>
    <r>
      <rPr>
        <sz val="11"/>
        <rFont val="新細明體"/>
        <family val="1"/>
        <charset val="136"/>
      </rPr>
      <t>資料來源：</t>
    </r>
    <r>
      <rPr>
        <sz val="11"/>
        <rFont val="Times New Roman"/>
        <family val="1"/>
      </rPr>
      <t xml:space="preserve"> </t>
    </r>
    <r>
      <rPr>
        <sz val="11"/>
        <rFont val="新細明體"/>
        <family val="1"/>
        <charset val="136"/>
      </rPr>
      <t>內政部警政署刑事警察局</t>
    </r>
    <phoneticPr fontId="44" type="noConversion"/>
  </si>
  <si>
    <r>
      <rPr>
        <sz val="15"/>
        <rFont val="新細明體"/>
        <family val="1"/>
        <charset val="136"/>
      </rPr>
      <t>表</t>
    </r>
    <r>
      <rPr>
        <sz val="15"/>
        <rFont val="Times New Roman"/>
        <family val="1"/>
      </rPr>
      <t>1-3-4</t>
    </r>
    <r>
      <rPr>
        <sz val="15"/>
        <rFont val="新細明體"/>
        <family val="1"/>
        <charset val="136"/>
      </rPr>
      <t>　近</t>
    </r>
    <r>
      <rPr>
        <sz val="15"/>
        <rFont val="Times New Roman"/>
        <family val="1"/>
      </rPr>
      <t>10</t>
    </r>
    <r>
      <rPr>
        <sz val="15"/>
        <rFont val="新細明體"/>
        <family val="1"/>
        <charset val="136"/>
      </rPr>
      <t>年第二級毒品案件販賣、施用嫌疑人數</t>
    </r>
    <phoneticPr fontId="6" type="noConversion"/>
  </si>
  <si>
    <r>
      <rPr>
        <sz val="15"/>
        <rFont val="新細明體"/>
        <family val="1"/>
        <charset val="136"/>
      </rPr>
      <t>表</t>
    </r>
    <r>
      <rPr>
        <sz val="15"/>
        <rFont val="Times New Roman"/>
        <family val="1"/>
      </rPr>
      <t>1-3-5</t>
    </r>
    <r>
      <rPr>
        <sz val="15"/>
        <rFont val="新細明體"/>
        <family val="1"/>
        <charset val="136"/>
      </rPr>
      <t>　近</t>
    </r>
    <r>
      <rPr>
        <sz val="15"/>
        <rFont val="Times New Roman"/>
        <family val="1"/>
      </rPr>
      <t>10</t>
    </r>
    <r>
      <rPr>
        <sz val="15"/>
        <rFont val="新細明體"/>
        <family val="1"/>
        <charset val="136"/>
      </rPr>
      <t>年查獲毒品數量－按當期鑑定之純質淨重</t>
    </r>
    <phoneticPr fontId="44" type="noConversion"/>
  </si>
  <si>
    <r>
      <rPr>
        <sz val="11"/>
        <rFont val="新細明體"/>
        <family val="1"/>
        <charset val="136"/>
      </rPr>
      <t>單位：公斤</t>
    </r>
  </si>
  <si>
    <r>
      <rPr>
        <sz val="12"/>
        <rFont val="新細明體"/>
        <family val="1"/>
        <charset val="136"/>
      </rPr>
      <t>年</t>
    </r>
    <r>
      <rPr>
        <sz val="12"/>
        <rFont val="Times New Roman"/>
        <family val="1"/>
      </rPr>
      <t xml:space="preserve"> </t>
    </r>
    <r>
      <rPr>
        <sz val="12"/>
        <rFont val="新細明體"/>
        <family val="1"/>
        <charset val="136"/>
      </rPr>
      <t>別</t>
    </r>
  </si>
  <si>
    <r>
      <rPr>
        <sz val="12"/>
        <rFont val="新細明體"/>
        <family val="1"/>
        <charset val="136"/>
      </rPr>
      <t>總計</t>
    </r>
  </si>
  <si>
    <r>
      <rPr>
        <sz val="12"/>
        <rFont val="新細明體"/>
        <family val="1"/>
        <charset val="136"/>
      </rPr>
      <t>第一級毒品</t>
    </r>
  </si>
  <si>
    <r>
      <rPr>
        <sz val="12"/>
        <rFont val="新細明體"/>
        <family val="1"/>
        <charset val="136"/>
      </rPr>
      <t>第二級毒品</t>
    </r>
  </si>
  <si>
    <r>
      <rPr>
        <sz val="12"/>
        <rFont val="新細明體"/>
        <family val="1"/>
        <charset val="136"/>
      </rPr>
      <t>第三級毒品</t>
    </r>
  </si>
  <si>
    <r>
      <rPr>
        <sz val="12"/>
        <rFont val="新細明體"/>
        <family val="1"/>
        <charset val="136"/>
      </rPr>
      <t>第四級毒品</t>
    </r>
  </si>
  <si>
    <r>
      <t>95</t>
    </r>
    <r>
      <rPr>
        <sz val="12"/>
        <rFont val="新細明體"/>
        <family val="1"/>
        <charset val="136"/>
      </rPr>
      <t>年</t>
    </r>
    <phoneticPr fontId="44" type="noConversion"/>
  </si>
  <si>
    <r>
      <t>99</t>
    </r>
    <r>
      <rPr>
        <sz val="12"/>
        <rFont val="新細明體"/>
        <family val="1"/>
        <charset val="136"/>
      </rPr>
      <t>年</t>
    </r>
  </si>
  <si>
    <r>
      <t>100</t>
    </r>
    <r>
      <rPr>
        <sz val="12"/>
        <rFont val="新細明體"/>
        <family val="1"/>
        <charset val="136"/>
      </rPr>
      <t>年</t>
    </r>
  </si>
  <si>
    <r>
      <t>101</t>
    </r>
    <r>
      <rPr>
        <sz val="12"/>
        <rFont val="新細明體"/>
        <family val="1"/>
        <charset val="136"/>
      </rPr>
      <t>年</t>
    </r>
  </si>
  <si>
    <r>
      <t>102</t>
    </r>
    <r>
      <rPr>
        <sz val="12"/>
        <rFont val="新細明體"/>
        <family val="1"/>
        <charset val="136"/>
      </rPr>
      <t>年</t>
    </r>
  </si>
  <si>
    <r>
      <t>103</t>
    </r>
    <r>
      <rPr>
        <sz val="12"/>
        <rFont val="新細明體"/>
        <family val="1"/>
        <charset val="136"/>
      </rPr>
      <t>年</t>
    </r>
  </si>
  <si>
    <r>
      <t>104</t>
    </r>
    <r>
      <rPr>
        <sz val="12"/>
        <rFont val="新細明體"/>
        <family val="1"/>
        <charset val="136"/>
      </rPr>
      <t>年</t>
    </r>
  </si>
  <si>
    <r>
      <t>105</t>
    </r>
    <r>
      <rPr>
        <sz val="12"/>
        <rFont val="新細明體"/>
        <family val="1"/>
        <charset val="136"/>
      </rPr>
      <t>年</t>
    </r>
  </si>
  <si>
    <r>
      <t>106</t>
    </r>
    <r>
      <rPr>
        <sz val="12"/>
        <rFont val="新細明體"/>
        <family val="1"/>
        <charset val="136"/>
      </rPr>
      <t>年</t>
    </r>
  </si>
  <si>
    <r>
      <t>107</t>
    </r>
    <r>
      <rPr>
        <sz val="12"/>
        <rFont val="新細明體"/>
        <family val="1"/>
        <charset val="136"/>
      </rPr>
      <t>年</t>
    </r>
  </si>
  <si>
    <r>
      <t>108</t>
    </r>
    <r>
      <rPr>
        <sz val="12"/>
        <rFont val="新細明體"/>
        <family val="1"/>
        <charset val="136"/>
      </rPr>
      <t>年</t>
    </r>
    <phoneticPr fontId="44" type="noConversion"/>
  </si>
  <si>
    <r>
      <rPr>
        <sz val="10"/>
        <rFont val="新細明體"/>
        <family val="1"/>
        <charset val="136"/>
      </rPr>
      <t>資料來源：法務部調查局、內政部警政署刑事警察局、國防部憲兵指揮部、行政院海岸巡防署及財政部關務署。</t>
    </r>
    <phoneticPr fontId="6" type="noConversion"/>
  </si>
  <si>
    <r>
      <rPr>
        <sz val="10"/>
        <rFont val="新細明體"/>
        <family val="1"/>
        <charset val="136"/>
      </rPr>
      <t>資料提供：法務部統計處。</t>
    </r>
    <phoneticPr fontId="44" type="noConversion"/>
  </si>
  <si>
    <r>
      <rPr>
        <sz val="10"/>
        <rFont val="新細明體"/>
        <family val="1"/>
        <charset val="136"/>
      </rPr>
      <t>說　　明：</t>
    </r>
    <r>
      <rPr>
        <sz val="10"/>
        <rFont val="Times New Roman"/>
        <family val="1"/>
      </rPr>
      <t>1.</t>
    </r>
    <r>
      <rPr>
        <sz val="10"/>
        <rFont val="新細明體"/>
        <family val="1"/>
        <charset val="136"/>
      </rPr>
      <t>本表數字均以公克整理計算，再採四捨五入法進位為公斤陳示，故細數之和與相關總數間偶有些微差異。</t>
    </r>
    <phoneticPr fontId="44" type="noConversion"/>
  </si>
  <si>
    <r>
      <rPr>
        <sz val="10"/>
        <rFont val="新細明體"/>
        <family val="1"/>
        <charset val="136"/>
      </rPr>
      <t>　</t>
    </r>
    <r>
      <rPr>
        <sz val="10"/>
        <rFont val="Times New Roman"/>
        <family val="1"/>
      </rPr>
      <t xml:space="preserve">   </t>
    </r>
    <r>
      <rPr>
        <sz val="10"/>
        <rFont val="新細明體"/>
        <family val="1"/>
        <charset val="136"/>
      </rPr>
      <t>　</t>
    </r>
    <r>
      <rPr>
        <sz val="10"/>
        <rFont val="Times New Roman"/>
        <family val="1"/>
      </rPr>
      <t xml:space="preserve">   </t>
    </r>
    <r>
      <rPr>
        <sz val="10"/>
        <rFont val="新細明體"/>
        <family val="1"/>
        <charset val="136"/>
      </rPr>
      <t>　</t>
    </r>
    <r>
      <rPr>
        <sz val="10"/>
        <rFont val="Times New Roman"/>
        <family val="1"/>
      </rPr>
      <t xml:space="preserve">  2.</t>
    </r>
    <r>
      <rPr>
        <sz val="10"/>
        <rFont val="新細明體"/>
        <family val="1"/>
        <charset val="136"/>
      </rPr>
      <t>為求彙編數據正確性，聯合數單位查緝毒品案件，其緝獲毒品數量不予重複登載。</t>
    </r>
    <r>
      <rPr>
        <sz val="10"/>
        <rFont val="Times New Roman"/>
        <family val="1"/>
      </rPr>
      <t xml:space="preserve">   </t>
    </r>
    <phoneticPr fontId="44" type="noConversion"/>
  </si>
  <si>
    <r>
      <rPr>
        <sz val="7.5"/>
        <rFont val="新細明體"/>
        <family val="1"/>
        <charset val="136"/>
      </rPr>
      <t>　　　　</t>
    </r>
    <phoneticPr fontId="44" type="noConversion"/>
  </si>
  <si>
    <r>
      <rPr>
        <sz val="7.5"/>
        <color indexed="8"/>
        <rFont val="新細明體"/>
        <family val="1"/>
        <charset val="136"/>
      </rPr>
      <t>　　　</t>
    </r>
    <phoneticPr fontId="44" type="noConversion"/>
  </si>
  <si>
    <r>
      <rPr>
        <sz val="11"/>
        <color indexed="8"/>
        <rFont val="新細明體"/>
        <family val="1"/>
        <charset val="136"/>
      </rPr>
      <t>日本</t>
    </r>
  </si>
  <si>
    <r>
      <rPr>
        <sz val="11"/>
        <color indexed="8"/>
        <rFont val="新細明體"/>
        <family val="1"/>
        <charset val="136"/>
      </rPr>
      <t>美國</t>
    </r>
  </si>
  <si>
    <r>
      <rPr>
        <sz val="11"/>
        <color indexed="8"/>
        <rFont val="新細明體"/>
        <family val="1"/>
        <charset val="136"/>
      </rPr>
      <t>資料來源：</t>
    </r>
    <phoneticPr fontId="44" type="noConversion"/>
  </si>
  <si>
    <r>
      <rPr>
        <sz val="12"/>
        <rFont val="新細明體"/>
        <family val="1"/>
        <charset val="136"/>
      </rPr>
      <t>總計</t>
    </r>
    <phoneticPr fontId="44" type="noConversion"/>
  </si>
  <si>
    <r>
      <rPr>
        <sz val="12"/>
        <rFont val="新細明體"/>
        <family val="1"/>
        <charset val="136"/>
      </rPr>
      <t>公司法</t>
    </r>
    <phoneticPr fontId="44" type="noConversion"/>
  </si>
  <si>
    <r>
      <rPr>
        <sz val="12"/>
        <rFont val="新細明體"/>
        <family val="1"/>
        <charset val="136"/>
      </rPr>
      <t>銀行法</t>
    </r>
    <r>
      <rPr>
        <sz val="12"/>
        <rFont val="Times New Roman"/>
        <family val="1"/>
      </rPr>
      <t xml:space="preserve">  (125</t>
    </r>
    <r>
      <rPr>
        <sz val="12"/>
        <rFont val="新細明體"/>
        <family val="1"/>
        <charset val="136"/>
      </rPr>
      <t>條</t>
    </r>
    <r>
      <rPr>
        <sz val="12"/>
        <rFont val="Times New Roman"/>
        <family val="1"/>
      </rPr>
      <t>, 125</t>
    </r>
    <r>
      <rPr>
        <sz val="12"/>
        <rFont val="新細明體"/>
        <family val="1"/>
        <charset val="136"/>
      </rPr>
      <t>條之</t>
    </r>
    <r>
      <rPr>
        <sz val="12"/>
        <rFont val="Times New Roman"/>
        <family val="1"/>
      </rPr>
      <t>2, 125</t>
    </r>
    <r>
      <rPr>
        <sz val="12"/>
        <rFont val="新細明體"/>
        <family val="1"/>
        <charset val="136"/>
      </rPr>
      <t>條之</t>
    </r>
    <r>
      <rPr>
        <sz val="12"/>
        <rFont val="Times New Roman"/>
        <family val="1"/>
      </rPr>
      <t>3, 127</t>
    </r>
    <r>
      <rPr>
        <sz val="12"/>
        <rFont val="新細明體"/>
        <family val="1"/>
        <charset val="136"/>
      </rPr>
      <t>條之</t>
    </r>
    <r>
      <rPr>
        <sz val="12"/>
        <rFont val="Times New Roman"/>
        <family val="1"/>
      </rPr>
      <t>2</t>
    </r>
    <r>
      <rPr>
        <sz val="12"/>
        <rFont val="新細明體"/>
        <family val="1"/>
        <charset val="136"/>
      </rPr>
      <t>第</t>
    </r>
    <r>
      <rPr>
        <sz val="12"/>
        <rFont val="Times New Roman"/>
        <family val="1"/>
      </rPr>
      <t>2</t>
    </r>
    <r>
      <rPr>
        <sz val="12"/>
        <rFont val="新細明體"/>
        <family val="1"/>
        <charset val="136"/>
      </rPr>
      <t>項</t>
    </r>
    <r>
      <rPr>
        <sz val="12"/>
        <rFont val="Times New Roman"/>
        <family val="1"/>
      </rPr>
      <t>)</t>
    </r>
    <phoneticPr fontId="44" type="noConversion"/>
  </si>
  <si>
    <r>
      <rPr>
        <sz val="12"/>
        <rFont val="新細明體"/>
        <family val="1"/>
        <charset val="136"/>
      </rPr>
      <t>背信罪</t>
    </r>
    <r>
      <rPr>
        <sz val="12"/>
        <rFont val="Times New Roman"/>
        <family val="1"/>
      </rPr>
      <t xml:space="preserve">  (</t>
    </r>
    <r>
      <rPr>
        <sz val="12"/>
        <rFont val="新細明體"/>
        <family val="1"/>
        <charset val="136"/>
      </rPr>
      <t>刑</t>
    </r>
    <r>
      <rPr>
        <sz val="12"/>
        <rFont val="Times New Roman"/>
        <family val="1"/>
      </rPr>
      <t>342</t>
    </r>
    <r>
      <rPr>
        <sz val="12"/>
        <rFont val="新細明體"/>
        <family val="1"/>
        <charset val="136"/>
      </rPr>
      <t>條</t>
    </r>
    <r>
      <rPr>
        <sz val="12"/>
        <rFont val="Times New Roman"/>
        <family val="1"/>
      </rPr>
      <t>)</t>
    </r>
    <phoneticPr fontId="44" type="noConversion"/>
  </si>
  <si>
    <r>
      <rPr>
        <sz val="12"/>
        <rFont val="新細明體"/>
        <family val="1"/>
        <charset val="136"/>
      </rPr>
      <t>稅捐稽徵法</t>
    </r>
    <r>
      <rPr>
        <sz val="12"/>
        <rFont val="Times New Roman"/>
        <family val="1"/>
      </rPr>
      <t xml:space="preserve">  (41, 42</t>
    </r>
    <r>
      <rPr>
        <sz val="12"/>
        <rFont val="新細明體"/>
        <family val="1"/>
        <charset val="136"/>
      </rPr>
      <t>條</t>
    </r>
    <r>
      <rPr>
        <sz val="12"/>
        <rFont val="Times New Roman"/>
        <family val="1"/>
      </rPr>
      <t>)</t>
    </r>
    <phoneticPr fontId="44" type="noConversion"/>
  </si>
  <si>
    <r>
      <rPr>
        <sz val="12"/>
        <rFont val="新細明體"/>
        <family val="1"/>
        <charset val="136"/>
      </rPr>
      <t>懲治走私條例</t>
    </r>
    <r>
      <rPr>
        <sz val="12"/>
        <rFont val="Times New Roman"/>
        <family val="1"/>
      </rPr>
      <t xml:space="preserve">  (2</t>
    </r>
    <r>
      <rPr>
        <sz val="12"/>
        <rFont val="新細明體"/>
        <family val="1"/>
        <charset val="136"/>
      </rPr>
      <t>至</t>
    </r>
    <r>
      <rPr>
        <sz val="12"/>
        <rFont val="Times New Roman"/>
        <family val="1"/>
      </rPr>
      <t>6, 8</t>
    </r>
    <r>
      <rPr>
        <sz val="12"/>
        <rFont val="新細明體"/>
        <family val="1"/>
        <charset val="136"/>
      </rPr>
      <t>條</t>
    </r>
    <r>
      <rPr>
        <sz val="12"/>
        <rFont val="Times New Roman"/>
        <family val="1"/>
      </rPr>
      <t>)</t>
    </r>
    <phoneticPr fontId="44" type="noConversion"/>
  </si>
  <si>
    <r>
      <rPr>
        <sz val="12"/>
        <rFont val="新細明體"/>
        <family val="1"/>
        <charset val="136"/>
      </rPr>
      <t>違反商業會計法</t>
    </r>
    <phoneticPr fontId="44" type="noConversion"/>
  </si>
  <si>
    <t>其他/不詳</t>
    <phoneticPr fontId="6" type="noConversion"/>
  </si>
  <si>
    <t>其他/不詳</t>
    <phoneticPr fontId="6" type="noConversion"/>
  </si>
  <si>
    <t>計</t>
    <phoneticPr fontId="6" type="noConversion"/>
  </si>
  <si>
    <t>其他</t>
    <phoneticPr fontId="72" type="noConversion"/>
  </si>
  <si>
    <r>
      <rPr>
        <sz val="11"/>
        <rFont val="新細明體"/>
        <family val="1"/>
        <charset val="136"/>
      </rPr>
      <t>　　　　　</t>
    </r>
    <r>
      <rPr>
        <sz val="11"/>
        <rFont val="Times New Roman"/>
        <family val="1"/>
      </rPr>
      <t/>
    </r>
    <phoneticPr fontId="6" type="noConversion"/>
  </si>
  <si>
    <r>
      <rPr>
        <sz val="11"/>
        <rFont val="新細明體"/>
        <family val="1"/>
        <charset val="136"/>
      </rPr>
      <t>　　　　　</t>
    </r>
    <r>
      <rPr>
        <sz val="11"/>
        <rFont val="Times New Roman"/>
        <family val="1"/>
      </rPr>
      <t/>
    </r>
    <phoneticPr fontId="6" type="noConversion"/>
  </si>
  <si>
    <r>
      <rPr>
        <sz val="11"/>
        <rFont val="新細明體"/>
        <family val="1"/>
        <charset val="136"/>
      </rPr>
      <t>　　　　　</t>
    </r>
    <r>
      <rPr>
        <sz val="12"/>
        <color theme="1"/>
        <rFont val="標楷體"/>
        <family val="4"/>
        <charset val="136"/>
      </rPr>
      <t/>
    </r>
    <phoneticPr fontId="72" type="noConversion"/>
  </si>
  <si>
    <t>說　　明：1. 公共危險罪章係指放火、失火、決水、妨害交通、危險物品、妨害公共衛生、不能安全駕駛及其他公共危險等犯罪行為在內，本篇以下各表皆同。
　　　　　2. 強制性交含共同強制性交項，本篇以下各表皆同。
　　　　　3. 表中「發生」與「破獲」數係指警察機關受(處)理數。</t>
    <phoneticPr fontId="6" type="noConversion"/>
  </si>
  <si>
    <r>
      <rPr>
        <sz val="14"/>
        <rFont val="新細明體"/>
        <family val="1"/>
        <charset val="136"/>
      </rPr>
      <t>資料來源：內政部警政署刑事警察局。</t>
    </r>
    <phoneticPr fontId="44" type="noConversion"/>
  </si>
  <si>
    <t>其他</t>
    <phoneticPr fontId="6" type="noConversion"/>
  </si>
  <si>
    <r>
      <rPr>
        <sz val="14"/>
        <rFont val="新細明體"/>
        <family val="1"/>
        <charset val="136"/>
      </rPr>
      <t>資料來源：內政部警政署刑事警察局。</t>
    </r>
    <phoneticPr fontId="44" type="noConversion"/>
  </si>
  <si>
    <t>其他</t>
    <phoneticPr fontId="61" type="noConversion"/>
  </si>
  <si>
    <t>說　　明：1. 本表其他項（不含侵入性竊盜類）含竊電、竊車牌、竊車輛零件等。
　　　　　2. 108年4月1日新增拆竊車牌、拆竊車輛零件、竊電等項目。
　　　　　3. 108年8月28日新增直接拿取、破壞機櫃等項目。</t>
    <phoneticPr fontId="44" type="noConversion"/>
  </si>
  <si>
    <r>
      <t>104</t>
    </r>
    <r>
      <rPr>
        <sz val="12"/>
        <color theme="1"/>
        <rFont val="新細明體"/>
        <family val="1"/>
        <charset val="136"/>
      </rPr>
      <t>年</t>
    </r>
    <phoneticPr fontId="44" type="noConversion"/>
  </si>
  <si>
    <r>
      <t>105</t>
    </r>
    <r>
      <rPr>
        <sz val="12"/>
        <color theme="1"/>
        <rFont val="新細明體"/>
        <family val="1"/>
        <charset val="136"/>
      </rPr>
      <t>年</t>
    </r>
    <phoneticPr fontId="44" type="noConversion"/>
  </si>
  <si>
    <r>
      <t>106</t>
    </r>
    <r>
      <rPr>
        <sz val="12"/>
        <color theme="1"/>
        <rFont val="新細明體"/>
        <family val="1"/>
        <charset val="136"/>
      </rPr>
      <t>年</t>
    </r>
    <phoneticPr fontId="44" type="noConversion"/>
  </si>
  <si>
    <r>
      <t>107</t>
    </r>
    <r>
      <rPr>
        <sz val="12"/>
        <color theme="1"/>
        <rFont val="新細明體"/>
        <family val="1"/>
        <charset val="136"/>
      </rPr>
      <t>年</t>
    </r>
    <phoneticPr fontId="44" type="noConversion"/>
  </si>
  <si>
    <r>
      <t>108</t>
    </r>
    <r>
      <rPr>
        <sz val="12"/>
        <color theme="1"/>
        <rFont val="新細明體"/>
        <family val="1"/>
        <charset val="136"/>
      </rPr>
      <t>年</t>
    </r>
    <phoneticPr fontId="44" type="noConversion"/>
  </si>
  <si>
    <t>人</t>
    <phoneticPr fontId="44" type="noConversion"/>
  </si>
  <si>
    <t>%</t>
    <phoneticPr fontId="44" type="noConversion"/>
  </si>
  <si>
    <t>小計</t>
    <phoneticPr fontId="44" type="noConversion"/>
  </si>
  <si>
    <r>
      <t>99</t>
    </r>
    <r>
      <rPr>
        <sz val="11"/>
        <color theme="1"/>
        <rFont val="細明體"/>
        <family val="3"/>
        <charset val="136"/>
      </rPr>
      <t>年</t>
    </r>
    <phoneticPr fontId="6" type="noConversion"/>
  </si>
  <si>
    <r>
      <t>100年</t>
    </r>
    <r>
      <rPr>
        <sz val="11"/>
        <color theme="1"/>
        <rFont val="細明體"/>
        <family val="3"/>
        <charset val="136"/>
      </rPr>
      <t/>
    </r>
  </si>
  <si>
    <r>
      <t>101年</t>
    </r>
    <r>
      <rPr>
        <sz val="11"/>
        <color theme="1"/>
        <rFont val="細明體"/>
        <family val="3"/>
        <charset val="136"/>
      </rPr>
      <t/>
    </r>
  </si>
  <si>
    <r>
      <t>102年</t>
    </r>
    <r>
      <rPr>
        <sz val="11"/>
        <color theme="1"/>
        <rFont val="細明體"/>
        <family val="3"/>
        <charset val="136"/>
      </rPr>
      <t/>
    </r>
  </si>
  <si>
    <r>
      <t>103年</t>
    </r>
    <r>
      <rPr>
        <sz val="11"/>
        <color theme="1"/>
        <rFont val="細明體"/>
        <family val="3"/>
        <charset val="136"/>
      </rPr>
      <t/>
    </r>
  </si>
  <si>
    <r>
      <t>104年</t>
    </r>
    <r>
      <rPr>
        <sz val="11"/>
        <color theme="1"/>
        <rFont val="細明體"/>
        <family val="3"/>
        <charset val="136"/>
      </rPr>
      <t/>
    </r>
  </si>
  <si>
    <r>
      <t>105年</t>
    </r>
    <r>
      <rPr>
        <sz val="11"/>
        <color theme="1"/>
        <rFont val="細明體"/>
        <family val="3"/>
        <charset val="136"/>
      </rPr>
      <t/>
    </r>
  </si>
  <si>
    <r>
      <t>106年</t>
    </r>
    <r>
      <rPr>
        <sz val="11"/>
        <color theme="1"/>
        <rFont val="細明體"/>
        <family val="3"/>
        <charset val="136"/>
      </rPr>
      <t/>
    </r>
  </si>
  <si>
    <r>
      <t>107年</t>
    </r>
    <r>
      <rPr>
        <sz val="11"/>
        <color theme="1"/>
        <rFont val="細明體"/>
        <family val="3"/>
        <charset val="136"/>
      </rPr>
      <t/>
    </r>
  </si>
  <si>
    <r>
      <t>108年</t>
    </r>
    <r>
      <rPr>
        <sz val="11"/>
        <color theme="1"/>
        <rFont val="細明體"/>
        <family val="3"/>
        <charset val="136"/>
      </rPr>
      <t/>
    </r>
  </si>
  <si>
    <r>
      <t>99</t>
    </r>
    <r>
      <rPr>
        <sz val="12"/>
        <color theme="1"/>
        <rFont val="細明體"/>
        <family val="3"/>
        <charset val="136"/>
      </rPr>
      <t>年</t>
    </r>
    <phoneticPr fontId="6" type="noConversion"/>
  </si>
  <si>
    <r>
      <rPr>
        <sz val="12"/>
        <rFont val="新細明體"/>
        <family val="1"/>
        <charset val="136"/>
      </rPr>
      <t>總</t>
    </r>
    <r>
      <rPr>
        <sz val="12"/>
        <rFont val="Times New Roman"/>
        <family val="1"/>
      </rPr>
      <t xml:space="preserve">    </t>
    </r>
    <r>
      <rPr>
        <sz val="12"/>
        <rFont val="新細明體"/>
        <family val="1"/>
        <charset val="136"/>
      </rPr>
      <t>計</t>
    </r>
    <phoneticPr fontId="44" type="noConversion"/>
  </si>
  <si>
    <r>
      <rPr>
        <sz val="12"/>
        <rFont val="新細明體"/>
        <family val="1"/>
        <charset val="136"/>
      </rPr>
      <t>酒後駕車</t>
    </r>
    <phoneticPr fontId="44" type="noConversion"/>
  </si>
  <si>
    <r>
      <rPr>
        <sz val="12"/>
        <rFont val="新細明體"/>
        <family val="1"/>
        <charset val="136"/>
      </rPr>
      <t>肇事逃逸</t>
    </r>
    <phoneticPr fontId="44" type="noConversion"/>
  </si>
  <si>
    <r>
      <rPr>
        <sz val="12"/>
        <rFont val="新細明體"/>
        <family val="1"/>
        <charset val="136"/>
      </rPr>
      <t>失火</t>
    </r>
    <r>
      <rPr>
        <sz val="12"/>
        <rFont val="Times New Roman"/>
        <family val="1"/>
      </rPr>
      <t>(</t>
    </r>
    <r>
      <rPr>
        <sz val="12"/>
        <rFont val="新細明體"/>
        <family val="1"/>
        <charset val="136"/>
      </rPr>
      <t>玩火</t>
    </r>
    <r>
      <rPr>
        <sz val="12"/>
        <rFont val="Times New Roman"/>
        <family val="1"/>
      </rPr>
      <t>)</t>
    </r>
    <phoneticPr fontId="44" type="noConversion"/>
  </si>
  <si>
    <r>
      <rPr>
        <sz val="12"/>
        <rFont val="新細明體"/>
        <family val="1"/>
        <charset val="136"/>
      </rPr>
      <t>縱火</t>
    </r>
    <phoneticPr fontId="44" type="noConversion"/>
  </si>
  <si>
    <r>
      <rPr>
        <sz val="12"/>
        <rFont val="新細明體"/>
        <family val="1"/>
        <charset val="136"/>
      </rPr>
      <t>服毒品駕駛</t>
    </r>
    <phoneticPr fontId="44" type="noConversion"/>
  </si>
  <si>
    <r>
      <rPr>
        <sz val="12"/>
        <rFont val="新細明體"/>
        <family val="1"/>
        <charset val="136"/>
      </rPr>
      <t>飆車</t>
    </r>
    <phoneticPr fontId="44" type="noConversion"/>
  </si>
  <si>
    <r>
      <rPr>
        <sz val="12"/>
        <rFont val="新細明體"/>
        <family val="1"/>
        <charset val="136"/>
      </rPr>
      <t>危害舟車航空</t>
    </r>
    <phoneticPr fontId="44" type="noConversion"/>
  </si>
  <si>
    <r>
      <rPr>
        <sz val="12"/>
        <rFont val="新細明體"/>
        <family val="1"/>
        <charset val="136"/>
      </rPr>
      <t>煙蒂燃燭冥紙起火</t>
    </r>
    <phoneticPr fontId="44" type="noConversion"/>
  </si>
  <si>
    <r>
      <rPr>
        <sz val="12"/>
        <rFont val="新細明體"/>
        <family val="1"/>
        <charset val="136"/>
      </rPr>
      <t>漏逸或間隔各種氣體</t>
    </r>
    <phoneticPr fontId="6" type="noConversion"/>
  </si>
  <si>
    <r>
      <rPr>
        <sz val="12"/>
        <rFont val="新細明體"/>
        <family val="1"/>
        <charset val="136"/>
      </rPr>
      <t>使用爆裂物
致公共危險</t>
    </r>
  </si>
  <si>
    <r>
      <rPr>
        <sz val="12"/>
        <rFont val="新細明體"/>
        <family val="1"/>
        <charset val="136"/>
      </rPr>
      <t>傾覆或破壞
交通工具</t>
    </r>
  </si>
  <si>
    <r>
      <rPr>
        <sz val="12"/>
        <rFont val="新細明體"/>
        <family val="1"/>
        <charset val="136"/>
      </rPr>
      <t>各式爆裂物爆炸</t>
    </r>
    <phoneticPr fontId="6" type="noConversion"/>
  </si>
  <si>
    <r>
      <rPr>
        <sz val="12"/>
        <rFont val="新細明體"/>
        <family val="1"/>
        <charset val="136"/>
      </rPr>
      <t>過失致爆裂物
爆炸而生危險</t>
    </r>
  </si>
  <si>
    <r>
      <rPr>
        <sz val="12"/>
        <rFont val="新細明體"/>
        <family val="1"/>
        <charset val="136"/>
      </rPr>
      <t>投放毒物（妨害公眾飲水）</t>
    </r>
    <phoneticPr fontId="6" type="noConversion"/>
  </si>
  <si>
    <r>
      <rPr>
        <sz val="12"/>
        <rFont val="新細明體"/>
        <family val="1"/>
        <charset val="136"/>
      </rPr>
      <t>妨害公用事業</t>
    </r>
    <phoneticPr fontId="6" type="noConversion"/>
  </si>
  <si>
    <r>
      <rPr>
        <sz val="12"/>
        <rFont val="新細明體"/>
        <family val="1"/>
        <charset val="136"/>
      </rPr>
      <t>投擲引爆</t>
    </r>
    <phoneticPr fontId="6" type="noConversion"/>
  </si>
  <si>
    <r>
      <rPr>
        <sz val="12"/>
        <rFont val="新細明體"/>
        <family val="1"/>
        <charset val="136"/>
      </rPr>
      <t>破壞水管油管</t>
    </r>
    <phoneticPr fontId="6" type="noConversion"/>
  </si>
  <si>
    <r>
      <rPr>
        <sz val="12"/>
        <rFont val="新細明體"/>
        <family val="1"/>
        <charset val="136"/>
      </rPr>
      <t xml:space="preserve">破壞防
</t>
    </r>
    <r>
      <rPr>
        <sz val="12"/>
        <rFont val="Times New Roman"/>
        <family val="1"/>
      </rPr>
      <t>(</t>
    </r>
    <r>
      <rPr>
        <sz val="12"/>
        <rFont val="新細明體"/>
        <family val="1"/>
        <charset val="136"/>
      </rPr>
      <t>蓄</t>
    </r>
    <r>
      <rPr>
        <sz val="12"/>
        <rFont val="Times New Roman"/>
        <family val="1"/>
      </rPr>
      <t>)</t>
    </r>
    <r>
      <rPr>
        <sz val="12"/>
        <rFont val="新細明體"/>
        <family val="1"/>
        <charset val="136"/>
      </rPr>
      <t>水設備</t>
    </r>
  </si>
  <si>
    <r>
      <rPr>
        <sz val="12"/>
        <rFont val="新細明體"/>
        <family val="1"/>
        <charset val="136"/>
      </rPr>
      <t>製售陳列妨害衛生物品</t>
    </r>
    <phoneticPr fontId="6" type="noConversion"/>
  </si>
  <si>
    <r>
      <rPr>
        <sz val="12"/>
        <rFont val="新細明體"/>
        <family val="1"/>
        <charset val="136"/>
      </rPr>
      <t>破壞電訊</t>
    </r>
    <phoneticPr fontId="6" type="noConversion"/>
  </si>
  <si>
    <r>
      <rPr>
        <sz val="12"/>
        <rFont val="新細明體"/>
        <family val="1"/>
        <charset val="136"/>
      </rPr>
      <t>其他</t>
    </r>
    <phoneticPr fontId="44" type="noConversion"/>
  </si>
  <si>
    <t>資料來源：內政部警政署刑事警察局</t>
    <phoneticPr fontId="6" type="noConversion"/>
  </si>
  <si>
    <t>資料來源：內政部警政署刑事警察局</t>
    <phoneticPr fontId="6" type="noConversion"/>
  </si>
  <si>
    <r>
      <t>表</t>
    </r>
    <r>
      <rPr>
        <sz val="15"/>
        <color theme="1"/>
        <rFont val="Times New Roman"/>
        <family val="1"/>
      </rPr>
      <t xml:space="preserve">1-2-6   </t>
    </r>
    <r>
      <rPr>
        <sz val="15"/>
        <color theme="1"/>
        <rFont val="細明體"/>
        <family val="3"/>
        <charset val="136"/>
      </rPr>
      <t>近</t>
    </r>
    <r>
      <rPr>
        <sz val="15"/>
        <color theme="1"/>
        <rFont val="Times New Roman"/>
        <family val="1"/>
      </rPr>
      <t>10</t>
    </r>
    <r>
      <rPr>
        <sz val="15"/>
        <color theme="1"/>
        <rFont val="細明體"/>
        <family val="3"/>
        <charset val="136"/>
      </rPr>
      <t>年公共危險罪主要犯罪發生件數－罪名分別</t>
    </r>
    <phoneticPr fontId="6" type="noConversion"/>
  </si>
  <si>
    <t>表1-2-7   近10年公共危險罪主要犯罪嫌疑人數－罪名分別</t>
    <phoneticPr fontId="61" type="noConversion"/>
  </si>
  <si>
    <t>其他</t>
    <phoneticPr fontId="6" type="noConversion"/>
  </si>
  <si>
    <r>
      <rPr>
        <sz val="15"/>
        <rFont val="新細明體"/>
        <family val="1"/>
        <charset val="136"/>
      </rPr>
      <t>表</t>
    </r>
    <r>
      <rPr>
        <sz val="15"/>
        <rFont val="Times New Roman"/>
        <family val="1"/>
      </rPr>
      <t>1-3-2</t>
    </r>
    <r>
      <rPr>
        <sz val="15"/>
        <rFont val="新細明體"/>
        <family val="1"/>
        <charset val="136"/>
      </rPr>
      <t>　近</t>
    </r>
    <r>
      <rPr>
        <sz val="15"/>
        <rFont val="Times New Roman"/>
        <family val="1"/>
      </rPr>
      <t>10</t>
    </r>
    <r>
      <rPr>
        <sz val="15"/>
        <rFont val="新細明體"/>
        <family val="1"/>
        <charset val="136"/>
      </rPr>
      <t>年各級毒品案件之破獲件數及嫌疑人數</t>
    </r>
    <phoneticPr fontId="61" type="noConversion"/>
  </si>
  <si>
    <t>件</t>
    <phoneticPr fontId="44" type="noConversion"/>
  </si>
  <si>
    <t>人</t>
    <phoneticPr fontId="44" type="noConversion"/>
  </si>
  <si>
    <r>
      <t>100年</t>
    </r>
    <r>
      <rPr>
        <sz val="11"/>
        <rFont val="新細明體"/>
        <family val="1"/>
        <charset val="136"/>
      </rPr>
      <t/>
    </r>
  </si>
  <si>
    <r>
      <t>101年</t>
    </r>
    <r>
      <rPr>
        <sz val="11"/>
        <rFont val="新細明體"/>
        <family val="1"/>
        <charset val="136"/>
      </rPr>
      <t/>
    </r>
  </si>
  <si>
    <r>
      <t>102年</t>
    </r>
    <r>
      <rPr>
        <sz val="11"/>
        <rFont val="新細明體"/>
        <family val="1"/>
        <charset val="136"/>
      </rPr>
      <t/>
    </r>
  </si>
  <si>
    <r>
      <t>103年</t>
    </r>
    <r>
      <rPr>
        <sz val="11"/>
        <rFont val="新細明體"/>
        <family val="1"/>
        <charset val="136"/>
      </rPr>
      <t/>
    </r>
  </si>
  <si>
    <r>
      <t>104年</t>
    </r>
    <r>
      <rPr>
        <sz val="11"/>
        <rFont val="新細明體"/>
        <family val="1"/>
        <charset val="136"/>
      </rPr>
      <t/>
    </r>
  </si>
  <si>
    <r>
      <t>105年</t>
    </r>
    <r>
      <rPr>
        <sz val="11"/>
        <rFont val="新細明體"/>
        <family val="1"/>
        <charset val="136"/>
      </rPr>
      <t/>
    </r>
  </si>
  <si>
    <r>
      <t>106年</t>
    </r>
    <r>
      <rPr>
        <sz val="11"/>
        <rFont val="新細明體"/>
        <family val="1"/>
        <charset val="136"/>
      </rPr>
      <t/>
    </r>
  </si>
  <si>
    <r>
      <t>107年</t>
    </r>
    <r>
      <rPr>
        <sz val="11"/>
        <rFont val="新細明體"/>
        <family val="1"/>
        <charset val="136"/>
      </rPr>
      <t/>
    </r>
  </si>
  <si>
    <r>
      <t>108年</t>
    </r>
    <r>
      <rPr>
        <sz val="11"/>
        <rFont val="新細明體"/>
        <family val="1"/>
        <charset val="136"/>
      </rPr>
      <t/>
    </r>
  </si>
  <si>
    <r>
      <t>表</t>
    </r>
    <r>
      <rPr>
        <sz val="15"/>
        <rFont val="Times New Roman"/>
        <family val="1"/>
      </rPr>
      <t>1-3-7</t>
    </r>
    <r>
      <rPr>
        <sz val="15"/>
        <rFont val="細明體"/>
        <family val="3"/>
        <charset val="136"/>
      </rPr>
      <t>　近</t>
    </r>
    <r>
      <rPr>
        <sz val="15"/>
        <rFont val="Times New Roman"/>
        <family val="1"/>
      </rPr>
      <t>10</t>
    </r>
    <r>
      <rPr>
        <sz val="15"/>
        <rFont val="細明體"/>
        <family val="3"/>
        <charset val="136"/>
      </rPr>
      <t>年調查局經濟犯罪案件嫌疑人數</t>
    </r>
    <phoneticPr fontId="6" type="noConversion"/>
  </si>
  <si>
    <r>
      <rPr>
        <sz val="15"/>
        <rFont val="新細明體"/>
        <family val="1"/>
        <charset val="136"/>
      </rPr>
      <t>表</t>
    </r>
    <r>
      <rPr>
        <sz val="15"/>
        <rFont val="Times New Roman"/>
        <family val="1"/>
      </rPr>
      <t>1-3-6</t>
    </r>
    <r>
      <rPr>
        <sz val="15"/>
        <rFont val="新細明體"/>
        <family val="1"/>
        <charset val="136"/>
      </rPr>
      <t>　近</t>
    </r>
    <r>
      <rPr>
        <sz val="15"/>
        <rFont val="Times New Roman"/>
        <family val="1"/>
      </rPr>
      <t>10</t>
    </r>
    <r>
      <rPr>
        <sz val="15"/>
        <rFont val="新細明體"/>
        <family val="1"/>
        <charset val="136"/>
      </rPr>
      <t>年調查局經濟犯罪案件破獲件數</t>
    </r>
    <phoneticPr fontId="61" type="noConversion"/>
  </si>
  <si>
    <r>
      <rPr>
        <sz val="10"/>
        <rFont val="新細明體"/>
        <family val="1"/>
        <charset val="136"/>
      </rPr>
      <t>資料來源：法務部調查局</t>
    </r>
    <phoneticPr fontId="44" type="noConversion"/>
  </si>
  <si>
    <r>
      <rPr>
        <sz val="10"/>
        <rFont val="新細明體"/>
        <family val="1"/>
        <charset val="136"/>
      </rPr>
      <t>資料來源：法務部調查局</t>
    </r>
    <phoneticPr fontId="44" type="noConversion"/>
  </si>
  <si>
    <r>
      <rPr>
        <sz val="12"/>
        <rFont val="新細明體"/>
        <family val="1"/>
        <charset val="136"/>
      </rPr>
      <t>詐欺罪</t>
    </r>
    <r>
      <rPr>
        <sz val="12"/>
        <rFont val="Times New Roman"/>
        <family val="1"/>
      </rPr>
      <t xml:space="preserve">  (</t>
    </r>
    <r>
      <rPr>
        <sz val="12"/>
        <rFont val="新細明體"/>
        <family val="1"/>
        <charset val="136"/>
      </rPr>
      <t>刑</t>
    </r>
    <r>
      <rPr>
        <sz val="12"/>
        <rFont val="Times New Roman"/>
        <family val="1"/>
      </rPr>
      <t>339</t>
    </r>
    <r>
      <rPr>
        <sz val="12"/>
        <rFont val="新細明體"/>
        <family val="1"/>
        <charset val="136"/>
      </rPr>
      <t>條</t>
    </r>
    <r>
      <rPr>
        <sz val="12"/>
        <rFont val="Times New Roman"/>
        <family val="1"/>
      </rPr>
      <t>, 339</t>
    </r>
    <r>
      <rPr>
        <sz val="12"/>
        <rFont val="新細明體"/>
        <family val="1"/>
        <charset val="136"/>
      </rPr>
      <t>條之</t>
    </r>
    <r>
      <rPr>
        <sz val="12"/>
        <rFont val="Times New Roman"/>
        <family val="1"/>
      </rPr>
      <t>3, 340</t>
    </r>
    <r>
      <rPr>
        <sz val="12"/>
        <rFont val="新細明體"/>
        <family val="1"/>
        <charset val="136"/>
      </rPr>
      <t>條</t>
    </r>
    <r>
      <rPr>
        <sz val="12"/>
        <rFont val="Times New Roman"/>
        <family val="1"/>
      </rPr>
      <t>)</t>
    </r>
    <phoneticPr fontId="44" type="noConversion"/>
  </si>
  <si>
    <r>
      <rPr>
        <sz val="12"/>
        <rFont val="新細明體"/>
        <family val="1"/>
        <charset val="136"/>
      </rPr>
      <t>銀行法</t>
    </r>
    <r>
      <rPr>
        <sz val="12"/>
        <rFont val="Times New Roman"/>
        <family val="1"/>
      </rPr>
      <t xml:space="preserve">  (125</t>
    </r>
    <r>
      <rPr>
        <sz val="12"/>
        <rFont val="新細明體"/>
        <family val="1"/>
        <charset val="136"/>
      </rPr>
      <t>條</t>
    </r>
    <r>
      <rPr>
        <sz val="12"/>
        <rFont val="Times New Roman"/>
        <family val="1"/>
      </rPr>
      <t>, 125</t>
    </r>
    <r>
      <rPr>
        <sz val="12"/>
        <rFont val="新細明體"/>
        <family val="1"/>
        <charset val="136"/>
      </rPr>
      <t>條之</t>
    </r>
    <r>
      <rPr>
        <sz val="12"/>
        <rFont val="Times New Roman"/>
        <family val="1"/>
      </rPr>
      <t>2, 125</t>
    </r>
    <r>
      <rPr>
        <sz val="12"/>
        <rFont val="新細明體"/>
        <family val="1"/>
        <charset val="136"/>
      </rPr>
      <t>條之</t>
    </r>
    <r>
      <rPr>
        <sz val="12"/>
        <rFont val="Times New Roman"/>
        <family val="1"/>
      </rPr>
      <t>3, 127</t>
    </r>
    <r>
      <rPr>
        <sz val="12"/>
        <rFont val="新細明體"/>
        <family val="1"/>
        <charset val="136"/>
      </rPr>
      <t>條之</t>
    </r>
    <r>
      <rPr>
        <sz val="12"/>
        <rFont val="Times New Roman"/>
        <family val="1"/>
      </rPr>
      <t>2</t>
    </r>
    <r>
      <rPr>
        <sz val="12"/>
        <rFont val="新細明體"/>
        <family val="1"/>
        <charset val="136"/>
      </rPr>
      <t>第</t>
    </r>
    <r>
      <rPr>
        <sz val="12"/>
        <rFont val="Times New Roman"/>
        <family val="1"/>
      </rPr>
      <t>2</t>
    </r>
    <r>
      <rPr>
        <sz val="12"/>
        <rFont val="新細明體"/>
        <family val="1"/>
        <charset val="136"/>
      </rPr>
      <t>項</t>
    </r>
    <r>
      <rPr>
        <sz val="12"/>
        <rFont val="Times New Roman"/>
        <family val="1"/>
      </rPr>
      <t>)</t>
    </r>
    <phoneticPr fontId="44" type="noConversion"/>
  </si>
  <si>
    <r>
      <rPr>
        <sz val="12"/>
        <rFont val="新細明體"/>
        <family val="1"/>
        <charset val="136"/>
      </rPr>
      <t>證券交易法</t>
    </r>
    <r>
      <rPr>
        <sz val="12"/>
        <rFont val="Times New Roman"/>
        <family val="1"/>
      </rPr>
      <t xml:space="preserve">  (171, 174</t>
    </r>
    <r>
      <rPr>
        <sz val="12"/>
        <rFont val="新細明體"/>
        <family val="1"/>
        <charset val="136"/>
      </rPr>
      <t>條</t>
    </r>
    <r>
      <rPr>
        <sz val="12"/>
        <rFont val="Times New Roman"/>
        <family val="1"/>
      </rPr>
      <t>)</t>
    </r>
    <phoneticPr fontId="44" type="noConversion"/>
  </si>
  <si>
    <r>
      <rPr>
        <sz val="12"/>
        <rFont val="新細明體"/>
        <family val="1"/>
        <charset val="136"/>
      </rPr>
      <t>侵占罪</t>
    </r>
    <r>
      <rPr>
        <sz val="12"/>
        <rFont val="Times New Roman"/>
        <family val="1"/>
      </rPr>
      <t xml:space="preserve">  (</t>
    </r>
    <r>
      <rPr>
        <sz val="12"/>
        <rFont val="新細明體"/>
        <family val="1"/>
        <charset val="136"/>
      </rPr>
      <t>刑</t>
    </r>
    <r>
      <rPr>
        <sz val="12"/>
        <rFont val="Times New Roman"/>
        <family val="1"/>
      </rPr>
      <t>336</t>
    </r>
    <r>
      <rPr>
        <sz val="12"/>
        <rFont val="新細明體"/>
        <family val="1"/>
        <charset val="136"/>
      </rPr>
      <t>條</t>
    </r>
    <r>
      <rPr>
        <sz val="12"/>
        <rFont val="Times New Roman"/>
        <family val="1"/>
      </rPr>
      <t>2</t>
    </r>
    <r>
      <rPr>
        <sz val="12"/>
        <rFont val="新細明體"/>
        <family val="1"/>
        <charset val="136"/>
      </rPr>
      <t>項</t>
    </r>
    <r>
      <rPr>
        <sz val="12"/>
        <rFont val="Times New Roman"/>
        <family val="1"/>
      </rPr>
      <t>)</t>
    </r>
    <phoneticPr fontId="44" type="noConversion"/>
  </si>
  <si>
    <r>
      <rPr>
        <sz val="12"/>
        <rFont val="新細明體"/>
        <family val="1"/>
        <charset val="136"/>
      </rPr>
      <t>期貨交易法</t>
    </r>
    <r>
      <rPr>
        <sz val="12"/>
        <rFont val="Times New Roman"/>
        <family val="1"/>
      </rPr>
      <t xml:space="preserve">  (112</t>
    </r>
    <r>
      <rPr>
        <sz val="12"/>
        <rFont val="新細明體"/>
        <family val="1"/>
        <charset val="136"/>
      </rPr>
      <t>條</t>
    </r>
    <r>
      <rPr>
        <sz val="12"/>
        <rFont val="Times New Roman"/>
        <family val="1"/>
      </rPr>
      <t>)</t>
    </r>
    <phoneticPr fontId="44" type="noConversion"/>
  </si>
  <si>
    <r>
      <rPr>
        <sz val="12"/>
        <rFont val="新細明體"/>
        <family val="1"/>
        <charset val="136"/>
      </rPr>
      <t>營業秘密法</t>
    </r>
    <phoneticPr fontId="44" type="noConversion"/>
  </si>
  <si>
    <r>
      <rPr>
        <sz val="12"/>
        <rFont val="新細明體"/>
        <family val="1"/>
        <charset val="136"/>
      </rPr>
      <t>證券投資信託及顧問法</t>
    </r>
    <r>
      <rPr>
        <sz val="12"/>
        <rFont val="Times New Roman"/>
        <family val="1"/>
      </rPr>
      <t xml:space="preserve">  (105</t>
    </r>
    <r>
      <rPr>
        <sz val="12"/>
        <rFont val="新細明體"/>
        <family val="1"/>
        <charset val="136"/>
      </rPr>
      <t>至</t>
    </r>
    <r>
      <rPr>
        <sz val="12"/>
        <rFont val="Times New Roman"/>
        <family val="1"/>
      </rPr>
      <t>108, 110</t>
    </r>
    <r>
      <rPr>
        <sz val="12"/>
        <rFont val="新細明體"/>
        <family val="1"/>
        <charset val="136"/>
      </rPr>
      <t>條</t>
    </r>
    <r>
      <rPr>
        <sz val="12"/>
        <rFont val="Times New Roman"/>
        <family val="1"/>
      </rPr>
      <t>)</t>
    </r>
    <phoneticPr fontId="44" type="noConversion"/>
  </si>
  <si>
    <r>
      <rPr>
        <sz val="12"/>
        <rFont val="新細明體"/>
        <family val="1"/>
        <charset val="136"/>
      </rPr>
      <t>違反多層次傳銷管理法</t>
    </r>
    <phoneticPr fontId="44" type="noConversion"/>
  </si>
  <si>
    <r>
      <rPr>
        <sz val="12"/>
        <rFont val="新細明體"/>
        <family val="1"/>
        <charset val="136"/>
      </rPr>
      <t>侵害智慧財產權</t>
    </r>
    <phoneticPr fontId="44" type="noConversion"/>
  </si>
  <si>
    <r>
      <rPr>
        <sz val="12"/>
        <rFont val="新細明體"/>
        <family val="1"/>
        <charset val="136"/>
      </rPr>
      <t>妨害農工商罪</t>
    </r>
    <phoneticPr fontId="44" type="noConversion"/>
  </si>
  <si>
    <r>
      <rPr>
        <sz val="12"/>
        <rFont val="新細明體"/>
        <family val="1"/>
        <charset val="136"/>
      </rPr>
      <t>違反菸酒管理法</t>
    </r>
    <phoneticPr fontId="44" type="noConversion"/>
  </si>
  <si>
    <r>
      <rPr>
        <sz val="12"/>
        <rFont val="新細明體"/>
        <family val="1"/>
        <charset val="136"/>
      </rPr>
      <t>保險法</t>
    </r>
    <r>
      <rPr>
        <sz val="12"/>
        <rFont val="Times New Roman"/>
        <family val="1"/>
      </rPr>
      <t xml:space="preserve">  (167, 168</t>
    </r>
    <r>
      <rPr>
        <sz val="12"/>
        <rFont val="新細明體"/>
        <family val="1"/>
        <charset val="136"/>
      </rPr>
      <t>條之</t>
    </r>
    <r>
      <rPr>
        <sz val="12"/>
        <rFont val="Times New Roman"/>
        <family val="1"/>
      </rPr>
      <t>2, 172</t>
    </r>
    <r>
      <rPr>
        <sz val="12"/>
        <rFont val="新細明體"/>
        <family val="1"/>
        <charset val="136"/>
      </rPr>
      <t>條之</t>
    </r>
    <r>
      <rPr>
        <sz val="12"/>
        <rFont val="Times New Roman"/>
        <family val="1"/>
      </rPr>
      <t>1)</t>
    </r>
    <phoneticPr fontId="44" type="noConversion"/>
  </si>
  <si>
    <r>
      <rPr>
        <sz val="12"/>
        <rFont val="新細明體"/>
        <family val="1"/>
        <charset val="136"/>
      </rPr>
      <t>違反公平交易法</t>
    </r>
    <phoneticPr fontId="44" type="noConversion"/>
  </si>
  <si>
    <r>
      <rPr>
        <sz val="12"/>
        <rFont val="新細明體"/>
        <family val="1"/>
        <charset val="136"/>
      </rPr>
      <t>偽造有價證券罪</t>
    </r>
    <r>
      <rPr>
        <sz val="12"/>
        <rFont val="Times New Roman"/>
        <family val="1"/>
      </rPr>
      <t xml:space="preserve">  (</t>
    </r>
    <r>
      <rPr>
        <sz val="12"/>
        <rFont val="新細明體"/>
        <family val="1"/>
        <charset val="136"/>
      </rPr>
      <t>刑</t>
    </r>
    <r>
      <rPr>
        <sz val="12"/>
        <rFont val="Times New Roman"/>
        <family val="1"/>
      </rPr>
      <t>201, 201</t>
    </r>
    <r>
      <rPr>
        <sz val="12"/>
        <rFont val="新細明體"/>
        <family val="1"/>
        <charset val="136"/>
      </rPr>
      <t>條之</t>
    </r>
    <r>
      <rPr>
        <sz val="12"/>
        <rFont val="Times New Roman"/>
        <family val="1"/>
      </rPr>
      <t>1)</t>
    </r>
    <phoneticPr fontId="44" type="noConversion"/>
  </si>
  <si>
    <r>
      <rPr>
        <sz val="12"/>
        <rFont val="新細明體"/>
        <family val="1"/>
        <charset val="136"/>
      </rPr>
      <t>偽造貨幣罪</t>
    </r>
    <r>
      <rPr>
        <sz val="12"/>
        <rFont val="Times New Roman"/>
        <family val="1"/>
      </rPr>
      <t xml:space="preserve">  (</t>
    </r>
    <r>
      <rPr>
        <sz val="12"/>
        <rFont val="新細明體"/>
        <family val="1"/>
        <charset val="136"/>
      </rPr>
      <t>刑</t>
    </r>
    <r>
      <rPr>
        <sz val="12"/>
        <rFont val="Times New Roman"/>
        <family val="1"/>
      </rPr>
      <t>195, 196</t>
    </r>
    <r>
      <rPr>
        <sz val="12"/>
        <rFont val="新細明體"/>
        <family val="1"/>
        <charset val="136"/>
      </rPr>
      <t>條</t>
    </r>
    <r>
      <rPr>
        <sz val="12"/>
        <rFont val="Times New Roman"/>
        <family val="1"/>
      </rPr>
      <t>)</t>
    </r>
    <phoneticPr fontId="44" type="noConversion"/>
  </si>
  <si>
    <r>
      <rPr>
        <sz val="12"/>
        <rFont val="新細明體"/>
        <family val="1"/>
        <charset val="136"/>
      </rPr>
      <t>妨害電腦使用罪</t>
    </r>
    <phoneticPr fontId="44" type="noConversion"/>
  </si>
  <si>
    <r>
      <rPr>
        <sz val="12"/>
        <rFont val="新細明體"/>
        <family val="1"/>
        <charset val="136"/>
      </rPr>
      <t>證券交易法</t>
    </r>
    <r>
      <rPr>
        <sz val="12"/>
        <rFont val="Times New Roman"/>
        <family val="1"/>
      </rPr>
      <t xml:space="preserve">  (171, 174</t>
    </r>
    <r>
      <rPr>
        <sz val="12"/>
        <rFont val="新細明體"/>
        <family val="1"/>
        <charset val="136"/>
      </rPr>
      <t>條</t>
    </r>
    <r>
      <rPr>
        <sz val="12"/>
        <rFont val="Times New Roman"/>
        <family val="1"/>
      </rPr>
      <t>)</t>
    </r>
    <phoneticPr fontId="44" type="noConversion"/>
  </si>
  <si>
    <r>
      <rPr>
        <sz val="12"/>
        <rFont val="新細明體"/>
        <family val="1"/>
        <charset val="136"/>
      </rPr>
      <t>侵占罪</t>
    </r>
    <r>
      <rPr>
        <sz val="12"/>
        <rFont val="Times New Roman"/>
        <family val="1"/>
      </rPr>
      <t xml:space="preserve">  (</t>
    </r>
    <r>
      <rPr>
        <sz val="12"/>
        <rFont val="新細明體"/>
        <family val="1"/>
        <charset val="136"/>
      </rPr>
      <t>刑</t>
    </r>
    <r>
      <rPr>
        <sz val="12"/>
        <rFont val="Times New Roman"/>
        <family val="1"/>
      </rPr>
      <t>336</t>
    </r>
    <r>
      <rPr>
        <sz val="12"/>
        <rFont val="新細明體"/>
        <family val="1"/>
        <charset val="136"/>
      </rPr>
      <t>條</t>
    </r>
    <r>
      <rPr>
        <sz val="12"/>
        <rFont val="Times New Roman"/>
        <family val="1"/>
      </rPr>
      <t>2</t>
    </r>
    <r>
      <rPr>
        <sz val="12"/>
        <rFont val="新細明體"/>
        <family val="1"/>
        <charset val="136"/>
      </rPr>
      <t>項</t>
    </r>
    <r>
      <rPr>
        <sz val="12"/>
        <rFont val="Times New Roman"/>
        <family val="1"/>
      </rPr>
      <t>)</t>
    </r>
    <phoneticPr fontId="44" type="noConversion"/>
  </si>
  <si>
    <r>
      <rPr>
        <sz val="12"/>
        <rFont val="新細明體"/>
        <family val="1"/>
        <charset val="136"/>
      </rPr>
      <t>稅捐稽徵法</t>
    </r>
    <r>
      <rPr>
        <sz val="12"/>
        <rFont val="Times New Roman"/>
        <family val="1"/>
      </rPr>
      <t xml:space="preserve">  (41, 42</t>
    </r>
    <r>
      <rPr>
        <sz val="12"/>
        <rFont val="新細明體"/>
        <family val="1"/>
        <charset val="136"/>
      </rPr>
      <t>條</t>
    </r>
    <r>
      <rPr>
        <sz val="12"/>
        <rFont val="Times New Roman"/>
        <family val="1"/>
      </rPr>
      <t>)</t>
    </r>
    <phoneticPr fontId="44" type="noConversion"/>
  </si>
  <si>
    <r>
      <rPr>
        <sz val="12"/>
        <rFont val="新細明體"/>
        <family val="1"/>
        <charset val="136"/>
      </rPr>
      <t>期貨交易法</t>
    </r>
    <r>
      <rPr>
        <sz val="12"/>
        <rFont val="Times New Roman"/>
        <family val="1"/>
      </rPr>
      <t xml:space="preserve">  (112</t>
    </r>
    <r>
      <rPr>
        <sz val="12"/>
        <rFont val="新細明體"/>
        <family val="1"/>
        <charset val="136"/>
      </rPr>
      <t>條</t>
    </r>
    <r>
      <rPr>
        <sz val="12"/>
        <rFont val="Times New Roman"/>
        <family val="1"/>
      </rPr>
      <t>)</t>
    </r>
    <phoneticPr fontId="44" type="noConversion"/>
  </si>
  <si>
    <r>
      <rPr>
        <sz val="12"/>
        <rFont val="新細明體"/>
        <family val="1"/>
        <charset val="136"/>
      </rPr>
      <t>營業秘密法</t>
    </r>
    <phoneticPr fontId="44" type="noConversion"/>
  </si>
  <si>
    <r>
      <rPr>
        <sz val="12"/>
        <rFont val="新細明體"/>
        <family val="1"/>
        <charset val="136"/>
      </rPr>
      <t>證券投資信託及顧問法</t>
    </r>
    <r>
      <rPr>
        <sz val="12"/>
        <rFont val="Times New Roman"/>
        <family val="1"/>
      </rPr>
      <t xml:space="preserve">  (105</t>
    </r>
    <r>
      <rPr>
        <sz val="12"/>
        <rFont val="新細明體"/>
        <family val="1"/>
        <charset val="136"/>
      </rPr>
      <t>至</t>
    </r>
    <r>
      <rPr>
        <sz val="12"/>
        <rFont val="Times New Roman"/>
        <family val="1"/>
      </rPr>
      <t>108, 110</t>
    </r>
    <r>
      <rPr>
        <sz val="12"/>
        <rFont val="新細明體"/>
        <family val="1"/>
        <charset val="136"/>
      </rPr>
      <t>條</t>
    </r>
    <r>
      <rPr>
        <sz val="12"/>
        <rFont val="Times New Roman"/>
        <family val="1"/>
      </rPr>
      <t>)</t>
    </r>
    <phoneticPr fontId="44" type="noConversion"/>
  </si>
  <si>
    <r>
      <rPr>
        <sz val="12"/>
        <rFont val="新細明體"/>
        <family val="1"/>
        <charset val="136"/>
      </rPr>
      <t>違反商業會計法</t>
    </r>
    <phoneticPr fontId="44" type="noConversion"/>
  </si>
  <si>
    <r>
      <rPr>
        <sz val="12"/>
        <rFont val="新細明體"/>
        <family val="1"/>
        <charset val="136"/>
      </rPr>
      <t>違反菸酒管理法</t>
    </r>
    <phoneticPr fontId="44" type="noConversion"/>
  </si>
  <si>
    <r>
      <rPr>
        <sz val="12"/>
        <rFont val="新細明體"/>
        <family val="1"/>
        <charset val="136"/>
      </rPr>
      <t>保險法</t>
    </r>
    <r>
      <rPr>
        <sz val="12"/>
        <rFont val="Times New Roman"/>
        <family val="1"/>
      </rPr>
      <t xml:space="preserve">  (167, 168</t>
    </r>
    <r>
      <rPr>
        <sz val="12"/>
        <rFont val="新細明體"/>
        <family val="1"/>
        <charset val="136"/>
      </rPr>
      <t>條之</t>
    </r>
    <r>
      <rPr>
        <sz val="12"/>
        <rFont val="Times New Roman"/>
        <family val="1"/>
      </rPr>
      <t>2, 172</t>
    </r>
    <r>
      <rPr>
        <sz val="12"/>
        <rFont val="新細明體"/>
        <family val="1"/>
        <charset val="136"/>
      </rPr>
      <t>條之</t>
    </r>
    <r>
      <rPr>
        <sz val="12"/>
        <rFont val="Times New Roman"/>
        <family val="1"/>
      </rPr>
      <t>1)</t>
    </r>
    <phoneticPr fontId="44" type="noConversion"/>
  </si>
  <si>
    <r>
      <rPr>
        <sz val="12"/>
        <rFont val="新細明體"/>
        <family val="1"/>
        <charset val="136"/>
      </rPr>
      <t>違反公平交易法</t>
    </r>
    <phoneticPr fontId="44" type="noConversion"/>
  </si>
  <si>
    <r>
      <rPr>
        <sz val="12"/>
        <rFont val="新細明體"/>
        <family val="1"/>
        <charset val="136"/>
      </rPr>
      <t>偽造有價證券罪</t>
    </r>
    <r>
      <rPr>
        <sz val="12"/>
        <rFont val="Times New Roman"/>
        <family val="1"/>
      </rPr>
      <t xml:space="preserve">  (</t>
    </r>
    <r>
      <rPr>
        <sz val="12"/>
        <rFont val="新細明體"/>
        <family val="1"/>
        <charset val="136"/>
      </rPr>
      <t>刑</t>
    </r>
    <r>
      <rPr>
        <sz val="12"/>
        <rFont val="Times New Roman"/>
        <family val="1"/>
      </rPr>
      <t>201, 201</t>
    </r>
    <r>
      <rPr>
        <sz val="12"/>
        <rFont val="新細明體"/>
        <family val="1"/>
        <charset val="136"/>
      </rPr>
      <t>條之</t>
    </r>
    <r>
      <rPr>
        <sz val="12"/>
        <rFont val="Times New Roman"/>
        <family val="1"/>
      </rPr>
      <t>1)</t>
    </r>
    <phoneticPr fontId="44" type="noConversion"/>
  </si>
  <si>
    <r>
      <rPr>
        <sz val="12"/>
        <rFont val="新細明體"/>
        <family val="1"/>
        <charset val="136"/>
      </rPr>
      <t>偽造貨幣罪</t>
    </r>
    <r>
      <rPr>
        <sz val="12"/>
        <rFont val="Times New Roman"/>
        <family val="1"/>
      </rPr>
      <t xml:space="preserve">  (</t>
    </r>
    <r>
      <rPr>
        <sz val="12"/>
        <rFont val="新細明體"/>
        <family val="1"/>
        <charset val="136"/>
      </rPr>
      <t>刑</t>
    </r>
    <r>
      <rPr>
        <sz val="12"/>
        <rFont val="Times New Roman"/>
        <family val="1"/>
      </rPr>
      <t>195, 196</t>
    </r>
    <r>
      <rPr>
        <sz val="12"/>
        <rFont val="新細明體"/>
        <family val="1"/>
        <charset val="136"/>
      </rPr>
      <t>條</t>
    </r>
    <r>
      <rPr>
        <sz val="12"/>
        <rFont val="Times New Roman"/>
        <family val="1"/>
      </rPr>
      <t>)</t>
    </r>
    <phoneticPr fontId="44" type="noConversion"/>
  </si>
  <si>
    <r>
      <rPr>
        <sz val="16"/>
        <color theme="1"/>
        <rFont val="新細明體"/>
        <family val="1"/>
        <charset val="136"/>
      </rPr>
      <t>一般傷害</t>
    </r>
  </si>
  <si>
    <r>
      <rPr>
        <sz val="16"/>
        <rFont val="新細明體"/>
        <family val="1"/>
        <charset val="136"/>
      </rPr>
      <t>妨害自由</t>
    </r>
  </si>
  <si>
    <r>
      <rPr>
        <sz val="16"/>
        <rFont val="新細明體"/>
        <family val="1"/>
        <charset val="136"/>
      </rPr>
      <t>妨害名譽</t>
    </r>
  </si>
  <si>
    <r>
      <rPr>
        <sz val="16"/>
        <rFont val="新細明體"/>
        <family val="1"/>
        <charset val="136"/>
      </rPr>
      <t>侵占</t>
    </r>
  </si>
  <si>
    <r>
      <rPr>
        <sz val="16"/>
        <color theme="1"/>
        <rFont val="新細明體"/>
        <family val="1"/>
        <charset val="136"/>
      </rPr>
      <t>賭博</t>
    </r>
  </si>
  <si>
    <r>
      <rPr>
        <sz val="16"/>
        <color theme="1"/>
        <rFont val="新細明體"/>
        <family val="1"/>
        <charset val="136"/>
      </rPr>
      <t>重利</t>
    </r>
  </si>
  <si>
    <r>
      <rPr>
        <sz val="16"/>
        <color theme="1"/>
        <rFont val="新細明體"/>
        <family val="1"/>
        <charset val="136"/>
      </rPr>
      <t>詐欺</t>
    </r>
  </si>
  <si>
    <r>
      <rPr>
        <sz val="16"/>
        <color theme="1"/>
        <rFont val="新細明體"/>
        <family val="1"/>
        <charset val="136"/>
      </rPr>
      <t>性交猥褻</t>
    </r>
  </si>
  <si>
    <r>
      <rPr>
        <sz val="16"/>
        <rFont val="新細明體"/>
        <family val="1"/>
        <charset val="136"/>
      </rPr>
      <t>妨害秘密</t>
    </r>
  </si>
  <si>
    <r>
      <rPr>
        <sz val="16"/>
        <rFont val="新細明體"/>
        <family val="1"/>
        <charset val="136"/>
      </rPr>
      <t>妨害家庭及婚姻</t>
    </r>
  </si>
  <si>
    <r>
      <rPr>
        <sz val="16"/>
        <rFont val="新細明體"/>
        <family val="1"/>
        <charset val="136"/>
      </rPr>
      <t>妨害秩序</t>
    </r>
  </si>
  <si>
    <r>
      <rPr>
        <sz val="16"/>
        <rFont val="新細明體"/>
        <family val="1"/>
        <charset val="136"/>
      </rPr>
      <t>誣告</t>
    </r>
  </si>
  <si>
    <r>
      <rPr>
        <sz val="16"/>
        <rFont val="新細明體"/>
        <family val="1"/>
        <charset val="136"/>
      </rPr>
      <t>遺棄</t>
    </r>
  </si>
  <si>
    <r>
      <rPr>
        <sz val="16"/>
        <color theme="1"/>
        <rFont val="新細明體"/>
        <family val="1"/>
        <charset val="136"/>
      </rPr>
      <t>重傷害</t>
    </r>
  </si>
  <si>
    <r>
      <rPr>
        <sz val="16"/>
        <color theme="1"/>
        <rFont val="新細明體"/>
        <family val="1"/>
        <charset val="136"/>
      </rPr>
      <t>強盜</t>
    </r>
  </si>
  <si>
    <r>
      <rPr>
        <sz val="16"/>
        <color theme="1"/>
        <rFont val="新細明體"/>
        <family val="1"/>
        <charset val="136"/>
      </rPr>
      <t>對幼性交</t>
    </r>
  </si>
  <si>
    <r>
      <rPr>
        <sz val="16"/>
        <rFont val="新細明體"/>
        <family val="1"/>
        <charset val="136"/>
      </rPr>
      <t>故意殺人</t>
    </r>
  </si>
  <si>
    <r>
      <rPr>
        <sz val="16"/>
        <color theme="1"/>
        <rFont val="新細明體"/>
        <family val="1"/>
        <charset val="136"/>
      </rPr>
      <t>強制性交</t>
    </r>
  </si>
  <si>
    <r>
      <rPr>
        <sz val="16"/>
        <rFont val="新細明體"/>
        <family val="1"/>
        <charset val="136"/>
      </rPr>
      <t>毀棄損壞</t>
    </r>
  </si>
  <si>
    <r>
      <rPr>
        <sz val="16"/>
        <rFont val="新細明體"/>
        <family val="1"/>
        <charset val="136"/>
      </rPr>
      <t>竊佔</t>
    </r>
  </si>
  <si>
    <r>
      <rPr>
        <sz val="16"/>
        <rFont val="新細明體"/>
        <family val="1"/>
        <charset val="136"/>
      </rPr>
      <t>妨害公務</t>
    </r>
  </si>
  <si>
    <r>
      <rPr>
        <sz val="16"/>
        <color theme="1"/>
        <rFont val="新細明體"/>
        <family val="1"/>
        <charset val="136"/>
      </rPr>
      <t>搶奪</t>
    </r>
  </si>
  <si>
    <r>
      <rPr>
        <sz val="16"/>
        <color theme="1"/>
        <rFont val="新細明體"/>
        <family val="1"/>
        <charset val="136"/>
      </rPr>
      <t>贓物</t>
    </r>
  </si>
  <si>
    <r>
      <rPr>
        <sz val="16"/>
        <rFont val="新細明體"/>
        <family val="1"/>
        <charset val="136"/>
      </rPr>
      <t>妨害電腦使用</t>
    </r>
  </si>
  <si>
    <r>
      <rPr>
        <sz val="16"/>
        <color theme="1"/>
        <rFont val="新細明體"/>
        <family val="1"/>
        <charset val="136"/>
      </rPr>
      <t>恐嚇</t>
    </r>
  </si>
  <si>
    <r>
      <rPr>
        <sz val="16"/>
        <color theme="1"/>
        <rFont val="新細明體"/>
        <family val="1"/>
        <charset val="136"/>
      </rPr>
      <t>背信</t>
    </r>
  </si>
  <si>
    <r>
      <rPr>
        <sz val="16"/>
        <rFont val="新細明體"/>
        <family val="1"/>
        <charset val="136"/>
      </rPr>
      <t>偽造文書印文</t>
    </r>
  </si>
  <si>
    <r>
      <rPr>
        <sz val="16"/>
        <rFont val="新細明體"/>
        <family val="1"/>
        <charset val="136"/>
      </rPr>
      <t>妨害風化</t>
    </r>
  </si>
  <si>
    <r>
      <rPr>
        <sz val="16"/>
        <color theme="1"/>
        <rFont val="新細明體"/>
        <family val="1"/>
        <charset val="136"/>
      </rPr>
      <t>公共危險</t>
    </r>
  </si>
  <si>
    <r>
      <rPr>
        <sz val="16"/>
        <color theme="1"/>
        <rFont val="新細明體"/>
        <family val="1"/>
        <charset val="136"/>
      </rPr>
      <t>竊盜</t>
    </r>
  </si>
  <si>
    <t>其他</t>
    <phoneticPr fontId="6" type="noConversion"/>
  </si>
  <si>
    <r>
      <t>2.</t>
    </r>
    <r>
      <rPr>
        <sz val="11"/>
        <color theme="1"/>
        <rFont val="新細明體"/>
        <family val="1"/>
        <charset val="136"/>
      </rPr>
      <t>違反毒品危害防制條例、組織犯罪防制條例之</t>
    </r>
    <r>
      <rPr>
        <sz val="11"/>
        <color theme="1"/>
        <rFont val="Times New Roman"/>
        <family val="1"/>
      </rPr>
      <t>107</t>
    </r>
    <r>
      <rPr>
        <sz val="11"/>
        <color theme="1"/>
        <rFont val="新細明體"/>
        <family val="1"/>
        <charset val="136"/>
      </rPr>
      <t>年、</t>
    </r>
    <r>
      <rPr>
        <sz val="11"/>
        <color theme="1"/>
        <rFont val="Times New Roman"/>
        <family val="1"/>
      </rPr>
      <t>108</t>
    </r>
    <r>
      <rPr>
        <sz val="11"/>
        <color theme="1"/>
        <rFont val="新細明體"/>
        <family val="1"/>
        <charset val="136"/>
      </rPr>
      <t>年資料，由警政署與法務部調查局提供。</t>
    </r>
    <phoneticPr fontId="6" type="noConversion"/>
  </si>
  <si>
    <r>
      <t>5.</t>
    </r>
    <r>
      <rPr>
        <sz val="11"/>
        <rFont val="新細明體"/>
        <family val="1"/>
        <charset val="136"/>
      </rPr>
      <t>「違反貪污治罪條例」廉政署提供資料之來源：臺灣高等檢察署統計室</t>
    </r>
    <r>
      <rPr>
        <sz val="11"/>
        <rFont val="Times New Roman"/>
        <family val="1"/>
      </rPr>
      <t>;</t>
    </r>
    <r>
      <rPr>
        <sz val="11"/>
        <rFont val="新細明體"/>
        <family val="1"/>
        <charset val="136"/>
      </rPr>
      <t>另</t>
    </r>
    <r>
      <rPr>
        <sz val="11"/>
        <rFont val="Times New Roman"/>
        <family val="1"/>
      </rPr>
      <t>100</t>
    </r>
    <r>
      <rPr>
        <sz val="11"/>
        <rFont val="新細明體"/>
        <family val="1"/>
        <charset val="136"/>
      </rPr>
      <t>年提供件數及人數統計時間自</t>
    </r>
    <r>
      <rPr>
        <sz val="11"/>
        <rFont val="Times New Roman"/>
        <family val="1"/>
      </rPr>
      <t>100</t>
    </r>
    <r>
      <rPr>
        <sz val="11"/>
        <rFont val="新細明體"/>
        <family val="1"/>
        <charset val="136"/>
      </rPr>
      <t>年</t>
    </r>
    <r>
      <rPr>
        <sz val="11"/>
        <rFont val="Times New Roman"/>
        <family val="1"/>
      </rPr>
      <t>7</t>
    </r>
    <r>
      <rPr>
        <sz val="11"/>
        <rFont val="新細明體"/>
        <family val="1"/>
        <charset val="136"/>
      </rPr>
      <t>月</t>
    </r>
    <r>
      <rPr>
        <sz val="11"/>
        <rFont val="Times New Roman"/>
        <family val="1"/>
      </rPr>
      <t>20</t>
    </r>
    <r>
      <rPr>
        <sz val="11"/>
        <rFont val="新細明體"/>
        <family val="1"/>
        <charset val="136"/>
      </rPr>
      <t>日成立至同年</t>
    </r>
    <r>
      <rPr>
        <sz val="11"/>
        <rFont val="Times New Roman"/>
        <family val="1"/>
      </rPr>
      <t>12</t>
    </r>
    <r>
      <rPr>
        <sz val="11"/>
        <rFont val="新細明體"/>
        <family val="1"/>
        <charset val="136"/>
      </rPr>
      <t>月</t>
    </r>
    <r>
      <rPr>
        <sz val="11"/>
        <rFont val="Times New Roman"/>
        <family val="1"/>
      </rPr>
      <t>31</t>
    </r>
    <r>
      <rPr>
        <sz val="11"/>
        <rFont val="新細明體"/>
        <family val="1"/>
        <charset val="136"/>
      </rPr>
      <t xml:space="preserve">日止。
</t>
    </r>
    <r>
      <rPr>
        <sz val="11"/>
        <rFont val="Times New Roman"/>
        <family val="1"/>
      </rPr>
      <t xml:space="preserve">6. </t>
    </r>
    <r>
      <rPr>
        <sz val="11"/>
        <rFont val="新細明體"/>
        <family val="1"/>
        <charset val="136"/>
      </rPr>
      <t>槍砲彈藥刀械管制條例於</t>
    </r>
    <r>
      <rPr>
        <sz val="11"/>
        <rFont val="Times New Roman"/>
        <family val="1"/>
      </rPr>
      <t>104</t>
    </r>
    <r>
      <rPr>
        <sz val="11"/>
        <rFont val="新細明體"/>
        <family val="1"/>
        <charset val="136"/>
      </rPr>
      <t>年至</t>
    </r>
    <r>
      <rPr>
        <sz val="11"/>
        <rFont val="Times New Roman"/>
        <family val="1"/>
      </rPr>
      <t>108</t>
    </r>
    <r>
      <rPr>
        <sz val="11"/>
        <rFont val="新細明體"/>
        <family val="1"/>
        <charset val="136"/>
      </rPr>
      <t>年破獲數，由警政署與法務部調查局提供。</t>
    </r>
    <phoneticPr fontId="6" type="noConversion"/>
  </si>
  <si>
    <t>破獲/偵辦數</t>
    <phoneticPr fontId="44" type="noConversion"/>
  </si>
  <si>
    <t>發生/偵辦數</t>
    <phoneticPr fontId="44" type="noConversion"/>
  </si>
  <si>
    <t>破獲/偵辦數</t>
    <phoneticPr fontId="6" type="noConversion"/>
  </si>
  <si>
    <r>
      <rPr>
        <sz val="11"/>
        <color indexed="8"/>
        <rFont val="新細明體"/>
        <family val="1"/>
        <charset val="136"/>
      </rPr>
      <t>與</t>
    </r>
    <r>
      <rPr>
        <sz val="11"/>
        <color indexed="8"/>
        <rFont val="Times New Roman"/>
        <family val="1"/>
      </rPr>
      <t>107</t>
    </r>
    <r>
      <rPr>
        <sz val="11"/>
        <color indexed="8"/>
        <rFont val="新細明體"/>
        <family val="1"/>
        <charset val="136"/>
      </rPr>
      <t>年比較（增減數量，增減百分比）</t>
    </r>
    <phoneticPr fontId="6" type="noConversion"/>
  </si>
  <si>
    <r>
      <rPr>
        <sz val="11"/>
        <color indexed="8"/>
        <rFont val="新細明體"/>
        <family val="1"/>
        <charset val="136"/>
      </rPr>
      <t>與</t>
    </r>
    <r>
      <rPr>
        <sz val="11"/>
        <color indexed="8"/>
        <rFont val="Times New Roman"/>
        <family val="1"/>
      </rPr>
      <t>99</t>
    </r>
    <r>
      <rPr>
        <sz val="11"/>
        <color indexed="8"/>
        <rFont val="新細明體"/>
        <family val="1"/>
        <charset val="136"/>
      </rPr>
      <t>年比較（增減百分比）</t>
    </r>
    <phoneticPr fontId="6" type="noConversion"/>
  </si>
  <si>
    <r>
      <rPr>
        <sz val="11"/>
        <color indexed="8"/>
        <rFont val="新細明體"/>
        <family val="1"/>
        <charset val="136"/>
      </rPr>
      <t>發生件數（件）</t>
    </r>
    <phoneticPr fontId="44" type="noConversion"/>
  </si>
  <si>
    <r>
      <rPr>
        <sz val="11"/>
        <color indexed="8"/>
        <rFont val="新細明體"/>
        <family val="1"/>
        <charset val="136"/>
      </rPr>
      <t>破獲件數（件）</t>
    </r>
    <phoneticPr fontId="44" type="noConversion"/>
  </si>
  <si>
    <r>
      <rPr>
        <sz val="11"/>
        <color indexed="8"/>
        <rFont val="新細明體"/>
        <family val="1"/>
        <charset val="136"/>
      </rPr>
      <t>犯罪嫌疑人數（人）</t>
    </r>
    <phoneticPr fontId="44" type="noConversion"/>
  </si>
  <si>
    <t>-13,957 (-4.79%)</t>
    <phoneticPr fontId="6" type="noConversion"/>
  </si>
  <si>
    <r>
      <rPr>
        <sz val="11"/>
        <color theme="1"/>
        <rFont val="新細明體"/>
        <family val="1"/>
        <charset val="136"/>
      </rPr>
      <t>　　　　　</t>
    </r>
    <r>
      <rPr>
        <sz val="11"/>
        <color theme="1"/>
        <rFont val="Times New Roman"/>
        <family val="1"/>
      </rPr>
      <t>2.</t>
    </r>
    <r>
      <rPr>
        <sz val="11"/>
        <color theme="1"/>
        <rFont val="新細明體"/>
        <family val="1"/>
        <charset val="136"/>
      </rPr>
      <t>增減數量表示以</t>
    </r>
    <r>
      <rPr>
        <sz val="11"/>
        <color theme="1"/>
        <rFont val="Times New Roman"/>
        <family val="1"/>
      </rPr>
      <t>(108</t>
    </r>
    <r>
      <rPr>
        <sz val="11"/>
        <color theme="1"/>
        <rFont val="新細明體"/>
        <family val="1"/>
        <charset val="136"/>
      </rPr>
      <t>年發生件數</t>
    </r>
    <r>
      <rPr>
        <sz val="11"/>
        <color theme="1"/>
        <rFont val="Times New Roman"/>
        <family val="1"/>
      </rPr>
      <t>-107</t>
    </r>
    <r>
      <rPr>
        <sz val="11"/>
        <color theme="1"/>
        <rFont val="新細明體"/>
        <family val="1"/>
        <charset val="136"/>
      </rPr>
      <t>年發生件數</t>
    </r>
    <r>
      <rPr>
        <sz val="11"/>
        <color theme="1"/>
        <rFont val="Times New Roman"/>
        <family val="1"/>
      </rPr>
      <t>)</t>
    </r>
    <r>
      <rPr>
        <sz val="11"/>
        <color theme="1"/>
        <rFont val="新細明體"/>
        <family val="1"/>
        <charset val="136"/>
      </rPr>
      <t>。</t>
    </r>
    <phoneticPr fontId="6" type="noConversion"/>
  </si>
  <si>
    <r>
      <rPr>
        <sz val="11"/>
        <color theme="1"/>
        <rFont val="新細明體"/>
        <family val="1"/>
        <charset val="136"/>
      </rPr>
      <t>　　　　　</t>
    </r>
    <r>
      <rPr>
        <sz val="11"/>
        <color theme="1"/>
        <rFont val="Times New Roman"/>
        <family val="1"/>
      </rPr>
      <t>3.</t>
    </r>
    <r>
      <rPr>
        <sz val="11"/>
        <color theme="1"/>
        <rFont val="新細明體"/>
        <family val="1"/>
        <charset val="136"/>
      </rPr>
      <t>增減百分比表示以</t>
    </r>
    <r>
      <rPr>
        <sz val="11"/>
        <color theme="1"/>
        <rFont val="Times New Roman"/>
        <family val="1"/>
      </rPr>
      <t>(108</t>
    </r>
    <r>
      <rPr>
        <sz val="11"/>
        <color theme="1"/>
        <rFont val="新細明體"/>
        <family val="1"/>
        <charset val="136"/>
      </rPr>
      <t>年發生件數</t>
    </r>
    <r>
      <rPr>
        <sz val="11"/>
        <color theme="1"/>
        <rFont val="Times New Roman"/>
        <family val="1"/>
      </rPr>
      <t>-107</t>
    </r>
    <r>
      <rPr>
        <sz val="11"/>
        <color theme="1"/>
        <rFont val="新細明體"/>
        <family val="1"/>
        <charset val="136"/>
      </rPr>
      <t>年發生件數</t>
    </r>
    <r>
      <rPr>
        <sz val="11"/>
        <color theme="1"/>
        <rFont val="Times New Roman"/>
        <family val="1"/>
      </rPr>
      <t>)/107</t>
    </r>
    <r>
      <rPr>
        <sz val="11"/>
        <color theme="1"/>
        <rFont val="新細明體"/>
        <family val="1"/>
        <charset val="136"/>
      </rPr>
      <t>年發生件數</t>
    </r>
    <r>
      <rPr>
        <sz val="11"/>
        <color theme="1"/>
        <rFont val="Times New Roman"/>
        <family val="1"/>
      </rPr>
      <t>*100%</t>
    </r>
    <r>
      <rPr>
        <sz val="11"/>
        <color theme="1"/>
        <rFont val="新細明體"/>
        <family val="1"/>
        <charset val="136"/>
      </rPr>
      <t>。</t>
    </r>
    <phoneticPr fontId="6" type="noConversion"/>
  </si>
  <si>
    <r>
      <rPr>
        <sz val="15"/>
        <rFont val="新細明體"/>
        <family val="1"/>
        <charset val="136"/>
      </rPr>
      <t>表</t>
    </r>
    <r>
      <rPr>
        <sz val="15"/>
        <rFont val="Times New Roman"/>
        <family val="1"/>
      </rPr>
      <t xml:space="preserve">1-1-2   </t>
    </r>
    <r>
      <rPr>
        <sz val="15"/>
        <rFont val="新細明體"/>
        <family val="1"/>
        <charset val="136"/>
      </rPr>
      <t>近</t>
    </r>
    <r>
      <rPr>
        <sz val="15"/>
        <rFont val="Times New Roman"/>
        <family val="1"/>
      </rPr>
      <t>10</t>
    </r>
    <r>
      <rPr>
        <sz val="15"/>
        <rFont val="新細明體"/>
        <family val="1"/>
        <charset val="136"/>
      </rPr>
      <t>年全般刑案統計指標</t>
    </r>
    <phoneticPr fontId="44" type="noConversion"/>
  </si>
  <si>
    <r>
      <rPr>
        <sz val="11"/>
        <rFont val="新細明體"/>
        <family val="1"/>
        <charset val="136"/>
      </rPr>
      <t>財產犯罪</t>
    </r>
    <phoneticPr fontId="44" type="noConversion"/>
  </si>
  <si>
    <t>破獲數</t>
    <phoneticPr fontId="6" type="noConversion"/>
  </si>
  <si>
    <r>
      <t>(</t>
    </r>
    <r>
      <rPr>
        <sz val="11"/>
        <color theme="1"/>
        <rFont val="新細明體"/>
        <family val="1"/>
        <charset val="136"/>
      </rPr>
      <t>分鐘</t>
    </r>
    <r>
      <rPr>
        <sz val="11"/>
        <color theme="1"/>
        <rFont val="Times New Roman"/>
        <family val="1"/>
      </rPr>
      <t>)</t>
    </r>
    <phoneticPr fontId="6" type="noConversion"/>
  </si>
  <si>
    <r>
      <t>(</t>
    </r>
    <r>
      <rPr>
        <sz val="11"/>
        <rFont val="新細明體"/>
        <family val="1"/>
        <charset val="136"/>
      </rPr>
      <t>件</t>
    </r>
    <r>
      <rPr>
        <sz val="11"/>
        <rFont val="Times New Roman"/>
        <family val="1"/>
      </rPr>
      <t>)</t>
    </r>
    <phoneticPr fontId="44" type="noConversion"/>
  </si>
  <si>
    <r>
      <rPr>
        <sz val="11"/>
        <rFont val="新細明體"/>
        <family val="1"/>
        <charset val="136"/>
      </rPr>
      <t>計</t>
    </r>
    <phoneticPr fontId="44" type="noConversion"/>
  </si>
  <si>
    <r>
      <rPr>
        <sz val="11"/>
        <rFont val="新細明體"/>
        <family val="1"/>
        <charset val="136"/>
      </rPr>
      <t>男</t>
    </r>
    <phoneticPr fontId="44" type="noConversion"/>
  </si>
  <si>
    <r>
      <rPr>
        <sz val="11"/>
        <rFont val="新細明體"/>
        <family val="1"/>
        <charset val="136"/>
      </rPr>
      <t>女</t>
    </r>
    <phoneticPr fontId="44" type="noConversion"/>
  </si>
  <si>
    <r>
      <rPr>
        <sz val="11"/>
        <rFont val="新細明體"/>
        <family val="1"/>
        <charset val="136"/>
      </rPr>
      <t>男</t>
    </r>
    <phoneticPr fontId="44" type="noConversion"/>
  </si>
  <si>
    <r>
      <t>1</t>
    </r>
    <r>
      <rPr>
        <sz val="11"/>
        <color theme="1"/>
        <rFont val="新細明體"/>
        <family val="1"/>
        <charset val="136"/>
      </rPr>
      <t>分</t>
    </r>
    <r>
      <rPr>
        <sz val="11"/>
        <color theme="1"/>
        <rFont val="Times New Roman"/>
        <family val="1"/>
      </rPr>
      <t>35</t>
    </r>
    <r>
      <rPr>
        <sz val="11"/>
        <color theme="1"/>
        <rFont val="新細明體"/>
        <family val="1"/>
        <charset val="136"/>
      </rPr>
      <t>秒</t>
    </r>
    <phoneticPr fontId="6" type="noConversion"/>
  </si>
  <si>
    <r>
      <t>1</t>
    </r>
    <r>
      <rPr>
        <sz val="11"/>
        <color theme="1"/>
        <rFont val="新細明體"/>
        <family val="1"/>
        <charset val="136"/>
      </rPr>
      <t>分</t>
    </r>
    <r>
      <rPr>
        <sz val="11"/>
        <color theme="1"/>
        <rFont val="Times New Roman"/>
        <family val="1"/>
      </rPr>
      <t>43</t>
    </r>
    <r>
      <rPr>
        <sz val="11"/>
        <color theme="1"/>
        <rFont val="新細明體"/>
        <family val="1"/>
        <charset val="136"/>
      </rPr>
      <t>秒</t>
    </r>
    <phoneticPr fontId="6" type="noConversion"/>
  </si>
  <si>
    <r>
      <t>1</t>
    </r>
    <r>
      <rPr>
        <sz val="11"/>
        <color theme="1"/>
        <rFont val="新細明體"/>
        <family val="1"/>
        <charset val="136"/>
      </rPr>
      <t>分</t>
    </r>
    <r>
      <rPr>
        <sz val="11"/>
        <color theme="1"/>
        <rFont val="Times New Roman"/>
        <family val="1"/>
      </rPr>
      <t>53</t>
    </r>
    <r>
      <rPr>
        <sz val="11"/>
        <color theme="1"/>
        <rFont val="新細明體"/>
        <family val="1"/>
        <charset val="136"/>
      </rPr>
      <t>秒</t>
    </r>
    <phoneticPr fontId="6" type="noConversion"/>
  </si>
  <si>
    <r>
      <t>2</t>
    </r>
    <r>
      <rPr>
        <sz val="11"/>
        <color theme="1"/>
        <rFont val="新細明體"/>
        <family val="1"/>
        <charset val="136"/>
      </rPr>
      <t>分</t>
    </r>
    <r>
      <rPr>
        <sz val="11"/>
        <color theme="1"/>
        <rFont val="Times New Roman"/>
        <family val="1"/>
      </rPr>
      <t>2</t>
    </r>
    <r>
      <rPr>
        <sz val="11"/>
        <color theme="1"/>
        <rFont val="新細明體"/>
        <family val="1"/>
        <charset val="136"/>
      </rPr>
      <t>秒</t>
    </r>
    <phoneticPr fontId="6" type="noConversion"/>
  </si>
  <si>
    <r>
      <t>1</t>
    </r>
    <r>
      <rPr>
        <sz val="11"/>
        <color theme="1"/>
        <rFont val="新細明體"/>
        <family val="1"/>
        <charset val="136"/>
      </rPr>
      <t>分</t>
    </r>
    <r>
      <rPr>
        <sz val="11"/>
        <color theme="1"/>
        <rFont val="Times New Roman"/>
        <family val="1"/>
      </rPr>
      <t>58</t>
    </r>
    <r>
      <rPr>
        <sz val="11"/>
        <color theme="1"/>
        <rFont val="新細明體"/>
        <family val="1"/>
        <charset val="136"/>
      </rPr>
      <t>秒</t>
    </r>
    <phoneticPr fontId="6" type="noConversion"/>
  </si>
  <si>
    <r>
      <t>105</t>
    </r>
    <r>
      <rPr>
        <sz val="11"/>
        <color indexed="8"/>
        <rFont val="新細明體"/>
        <family val="1"/>
        <charset val="136"/>
      </rPr>
      <t>年</t>
    </r>
    <phoneticPr fontId="6" type="noConversion"/>
  </si>
  <si>
    <r>
      <t>2</t>
    </r>
    <r>
      <rPr>
        <sz val="11"/>
        <color theme="1"/>
        <rFont val="新細明體"/>
        <family val="1"/>
        <charset val="136"/>
      </rPr>
      <t>分</t>
    </r>
    <r>
      <rPr>
        <sz val="11"/>
        <color theme="1"/>
        <rFont val="Times New Roman"/>
        <family val="1"/>
      </rPr>
      <t>4</t>
    </r>
    <r>
      <rPr>
        <sz val="11"/>
        <color theme="1"/>
        <rFont val="新細明體"/>
        <family val="1"/>
        <charset val="136"/>
      </rPr>
      <t>秒</t>
    </r>
    <phoneticPr fontId="6" type="noConversion"/>
  </si>
  <si>
    <r>
      <t>2</t>
    </r>
    <r>
      <rPr>
        <sz val="11"/>
        <color theme="1"/>
        <rFont val="新細明體"/>
        <family val="1"/>
        <charset val="136"/>
      </rPr>
      <t>分</t>
    </r>
    <r>
      <rPr>
        <sz val="11"/>
        <color theme="1"/>
        <rFont val="Times New Roman"/>
        <family val="1"/>
      </rPr>
      <t>5</t>
    </r>
    <r>
      <rPr>
        <sz val="11"/>
        <color theme="1"/>
        <rFont val="新細明體"/>
        <family val="1"/>
        <charset val="136"/>
      </rPr>
      <t>秒</t>
    </r>
    <phoneticPr fontId="6" type="noConversion"/>
  </si>
  <si>
    <r>
      <t>2</t>
    </r>
    <r>
      <rPr>
        <sz val="11"/>
        <color theme="1"/>
        <rFont val="新細明體"/>
        <family val="1"/>
        <charset val="136"/>
      </rPr>
      <t>分</t>
    </r>
    <r>
      <rPr>
        <sz val="11"/>
        <color theme="1"/>
        <rFont val="Times New Roman"/>
        <family val="1"/>
      </rPr>
      <t>21</t>
    </r>
    <r>
      <rPr>
        <sz val="11"/>
        <color theme="1"/>
        <rFont val="新細明體"/>
        <family val="1"/>
        <charset val="136"/>
      </rPr>
      <t>秒</t>
    </r>
    <phoneticPr fontId="6" type="noConversion"/>
  </si>
  <si>
    <r>
      <rPr>
        <sz val="11"/>
        <color theme="1"/>
        <rFont val="新細明體"/>
        <family val="1"/>
        <charset val="136"/>
      </rPr>
      <t>說　　明：</t>
    </r>
    <r>
      <rPr>
        <sz val="11"/>
        <color theme="1"/>
        <rFont val="Times New Roman"/>
        <family val="1"/>
      </rPr>
      <t>1.</t>
    </r>
    <r>
      <rPr>
        <sz val="11"/>
        <color theme="1"/>
        <rFont val="新細明體"/>
        <family val="1"/>
        <charset val="136"/>
      </rPr>
      <t>暴力犯罪包含強盜罪、搶奪罪、重大恐嚇取財罪、擄人勒贖罪、殺人罪（不含過失致死）、重傷罪、強制性交罪</t>
    </r>
    <r>
      <rPr>
        <sz val="11"/>
        <color theme="1"/>
        <rFont val="Times New Roman"/>
        <family val="1"/>
      </rPr>
      <t>(</t>
    </r>
    <r>
      <rPr>
        <sz val="11"/>
        <color theme="1"/>
        <rFont val="新細明體"/>
        <family val="1"/>
        <charset val="136"/>
      </rPr>
      <t>含強制性交、共同強制性交、對幼性交</t>
    </r>
    <r>
      <rPr>
        <sz val="11"/>
        <color theme="1"/>
        <rFont val="Times New Roman"/>
        <family val="1"/>
      </rPr>
      <t>)</t>
    </r>
    <r>
      <rPr>
        <sz val="11"/>
        <color theme="1"/>
        <rFont val="新細明體"/>
        <family val="1"/>
        <charset val="136"/>
      </rPr>
      <t>，以下各表均同。</t>
    </r>
    <phoneticPr fontId="44" type="noConversion"/>
  </si>
  <si>
    <r>
      <rPr>
        <sz val="11"/>
        <rFont val="新細明體"/>
        <family val="1"/>
        <charset val="136"/>
      </rPr>
      <t>　　　　　</t>
    </r>
    <r>
      <rPr>
        <sz val="11"/>
        <rFont val="Times New Roman"/>
        <family val="1"/>
      </rPr>
      <t>2.</t>
    </r>
    <r>
      <rPr>
        <sz val="11"/>
        <rFont val="新細明體"/>
        <family val="1"/>
        <charset val="136"/>
      </rPr>
      <t>自</t>
    </r>
    <r>
      <rPr>
        <sz val="11"/>
        <rFont val="Times New Roman"/>
        <family val="1"/>
      </rPr>
      <t>106</t>
    </r>
    <r>
      <rPr>
        <sz val="11"/>
        <rFont val="新細明體"/>
        <family val="1"/>
        <charset val="136"/>
      </rPr>
      <t>年</t>
    </r>
    <r>
      <rPr>
        <sz val="11"/>
        <rFont val="Times New Roman"/>
        <family val="1"/>
      </rPr>
      <t>1</t>
    </r>
    <r>
      <rPr>
        <sz val="11"/>
        <rFont val="新細明體"/>
        <family val="1"/>
        <charset val="136"/>
      </rPr>
      <t>月起暴力犯罪項下「強制性交」統計項排除「對幼性交」。</t>
    </r>
    <phoneticPr fontId="6" type="noConversion"/>
  </si>
  <si>
    <r>
      <rPr>
        <sz val="11"/>
        <color theme="1"/>
        <rFont val="新細明體"/>
        <family val="1"/>
        <charset val="136"/>
      </rPr>
      <t>　　　　　</t>
    </r>
    <r>
      <rPr>
        <sz val="11"/>
        <color theme="1"/>
        <rFont val="Times New Roman"/>
        <family val="1"/>
      </rPr>
      <t>3.</t>
    </r>
    <r>
      <rPr>
        <sz val="11"/>
        <color theme="1"/>
        <rFont val="新細明體"/>
        <family val="1"/>
        <charset val="136"/>
      </rPr>
      <t>財產犯罪包含竊盜罪、詐欺罪、背信罪、重利罪、贓物罪，以下各表均同。</t>
    </r>
    <phoneticPr fontId="6" type="noConversion"/>
  </si>
  <si>
    <t>資料來源：內政部警政署刑事警察局。
說　　明：所謂其他項，係指經記載的毒品項目與犯罪種類，和實際毒品犯罪種類不一致，無法歸類之意。</t>
    <phoneticPr fontId="44" type="noConversion"/>
  </si>
  <si>
    <r>
      <rPr>
        <sz val="15"/>
        <color indexed="8"/>
        <rFont val="新細明體"/>
        <family val="1"/>
        <charset val="136"/>
      </rPr>
      <t>表</t>
    </r>
    <r>
      <rPr>
        <sz val="15"/>
        <color indexed="8"/>
        <rFont val="Times New Roman"/>
        <family val="1"/>
      </rPr>
      <t xml:space="preserve">1-4-7   </t>
    </r>
    <r>
      <rPr>
        <sz val="15"/>
        <color indexed="8"/>
        <rFont val="新細明體"/>
        <family val="1"/>
        <charset val="136"/>
      </rPr>
      <t>近</t>
    </r>
    <r>
      <rPr>
        <sz val="15"/>
        <color indexed="8"/>
        <rFont val="Times New Roman"/>
        <family val="1"/>
      </rPr>
      <t>10</t>
    </r>
    <r>
      <rPr>
        <sz val="15"/>
        <color indexed="8"/>
        <rFont val="新細明體"/>
        <family val="1"/>
        <charset val="136"/>
      </rPr>
      <t>年各國監禁率趨勢</t>
    </r>
    <phoneticPr fontId="61" type="noConversion"/>
  </si>
  <si>
    <r>
      <rPr>
        <sz val="11"/>
        <color indexed="8"/>
        <rFont val="新細明體"/>
        <family val="1"/>
        <charset val="136"/>
      </rPr>
      <t>單位</t>
    </r>
    <r>
      <rPr>
        <sz val="11"/>
        <color indexed="8"/>
        <rFont val="Times New Roman"/>
        <family val="1"/>
      </rPr>
      <t>:</t>
    </r>
    <r>
      <rPr>
        <sz val="11"/>
        <color indexed="8"/>
        <rFont val="新細明體"/>
        <family val="1"/>
        <charset val="136"/>
      </rPr>
      <t>人</t>
    </r>
    <r>
      <rPr>
        <sz val="11"/>
        <color indexed="8"/>
        <rFont val="Times New Roman"/>
        <family val="1"/>
      </rPr>
      <t>/10</t>
    </r>
    <r>
      <rPr>
        <sz val="11"/>
        <color indexed="8"/>
        <rFont val="新細明體"/>
        <family val="1"/>
        <charset val="136"/>
      </rPr>
      <t>萬人口</t>
    </r>
    <phoneticPr fontId="6" type="noConversion"/>
  </si>
  <si>
    <r>
      <rPr>
        <sz val="11"/>
        <rFont val="新細明體"/>
        <family val="1"/>
        <charset val="136"/>
      </rPr>
      <t>臺灣</t>
    </r>
    <phoneticPr fontId="44" type="noConversion"/>
  </si>
  <si>
    <r>
      <rPr>
        <sz val="11"/>
        <rFont val="新細明體"/>
        <family val="1"/>
        <charset val="136"/>
      </rPr>
      <t>英國</t>
    </r>
  </si>
  <si>
    <r>
      <rPr>
        <sz val="11"/>
        <color indexed="8"/>
        <rFont val="新細明體"/>
        <family val="1"/>
        <charset val="136"/>
      </rPr>
      <t>瑞典</t>
    </r>
    <phoneticPr fontId="61" type="noConversion"/>
  </si>
  <si>
    <r>
      <t>99</t>
    </r>
    <r>
      <rPr>
        <sz val="11"/>
        <color indexed="8"/>
        <rFont val="新細明體"/>
        <family val="1"/>
        <charset val="136"/>
      </rPr>
      <t>年</t>
    </r>
    <phoneticPr fontId="44" type="noConversion"/>
  </si>
  <si>
    <r>
      <t>100</t>
    </r>
    <r>
      <rPr>
        <sz val="11"/>
        <color indexed="8"/>
        <rFont val="新細明體"/>
        <family val="1"/>
        <charset val="136"/>
      </rPr>
      <t>年</t>
    </r>
    <r>
      <rPr>
        <sz val="11"/>
        <color indexed="8"/>
        <rFont val="標楷體"/>
        <family val="4"/>
        <charset val="136"/>
      </rPr>
      <t/>
    </r>
  </si>
  <si>
    <r>
      <t>101</t>
    </r>
    <r>
      <rPr>
        <sz val="11"/>
        <color indexed="8"/>
        <rFont val="新細明體"/>
        <family val="1"/>
        <charset val="136"/>
      </rPr>
      <t>年</t>
    </r>
    <r>
      <rPr>
        <sz val="11"/>
        <color indexed="8"/>
        <rFont val="標楷體"/>
        <family val="4"/>
        <charset val="136"/>
      </rPr>
      <t/>
    </r>
  </si>
  <si>
    <r>
      <t>102</t>
    </r>
    <r>
      <rPr>
        <sz val="11"/>
        <color indexed="8"/>
        <rFont val="新細明體"/>
        <family val="1"/>
        <charset val="136"/>
      </rPr>
      <t>年</t>
    </r>
    <r>
      <rPr>
        <sz val="11"/>
        <color indexed="8"/>
        <rFont val="標楷體"/>
        <family val="4"/>
        <charset val="136"/>
      </rPr>
      <t/>
    </r>
  </si>
  <si>
    <r>
      <t>103</t>
    </r>
    <r>
      <rPr>
        <sz val="11"/>
        <color indexed="8"/>
        <rFont val="新細明體"/>
        <family val="1"/>
        <charset val="136"/>
      </rPr>
      <t>年</t>
    </r>
    <r>
      <rPr>
        <sz val="11"/>
        <color indexed="8"/>
        <rFont val="標楷體"/>
        <family val="4"/>
        <charset val="136"/>
      </rPr>
      <t/>
    </r>
  </si>
  <si>
    <r>
      <t>104</t>
    </r>
    <r>
      <rPr>
        <sz val="11"/>
        <color indexed="8"/>
        <rFont val="新細明體"/>
        <family val="1"/>
        <charset val="136"/>
      </rPr>
      <t>年</t>
    </r>
    <r>
      <rPr>
        <sz val="11"/>
        <color indexed="8"/>
        <rFont val="標楷體"/>
        <family val="4"/>
        <charset val="136"/>
      </rPr>
      <t/>
    </r>
  </si>
  <si>
    <r>
      <t>105</t>
    </r>
    <r>
      <rPr>
        <sz val="11"/>
        <color indexed="8"/>
        <rFont val="新細明體"/>
        <family val="1"/>
        <charset val="136"/>
      </rPr>
      <t>年</t>
    </r>
    <r>
      <rPr>
        <sz val="11"/>
        <color indexed="8"/>
        <rFont val="標楷體"/>
        <family val="4"/>
        <charset val="136"/>
      </rPr>
      <t/>
    </r>
  </si>
  <si>
    <r>
      <t>106</t>
    </r>
    <r>
      <rPr>
        <sz val="11"/>
        <color indexed="8"/>
        <rFont val="新細明體"/>
        <family val="1"/>
        <charset val="136"/>
      </rPr>
      <t>年</t>
    </r>
    <r>
      <rPr>
        <sz val="11"/>
        <color indexed="8"/>
        <rFont val="標楷體"/>
        <family val="4"/>
        <charset val="136"/>
      </rPr>
      <t/>
    </r>
  </si>
  <si>
    <r>
      <t>107</t>
    </r>
    <r>
      <rPr>
        <sz val="11"/>
        <color indexed="8"/>
        <rFont val="新細明體"/>
        <family val="1"/>
        <charset val="136"/>
      </rPr>
      <t>年</t>
    </r>
    <r>
      <rPr>
        <sz val="11"/>
        <color indexed="8"/>
        <rFont val="標楷體"/>
        <family val="4"/>
        <charset val="136"/>
      </rPr>
      <t/>
    </r>
  </si>
  <si>
    <r>
      <rPr>
        <sz val="11"/>
        <rFont val="新細明體"/>
        <family val="1"/>
        <charset val="136"/>
      </rPr>
      <t>未釋出</t>
    </r>
    <phoneticPr fontId="61" type="noConversion"/>
  </si>
  <si>
    <r>
      <t>108</t>
    </r>
    <r>
      <rPr>
        <sz val="11"/>
        <color indexed="8"/>
        <rFont val="新細明體"/>
        <family val="1"/>
        <charset val="136"/>
      </rPr>
      <t>年</t>
    </r>
    <r>
      <rPr>
        <sz val="11"/>
        <color indexed="8"/>
        <rFont val="標楷體"/>
        <family val="4"/>
        <charset val="136"/>
      </rPr>
      <t/>
    </r>
  </si>
  <si>
    <r>
      <rPr>
        <sz val="11"/>
        <rFont val="新細明體"/>
        <family val="1"/>
        <charset val="136"/>
      </rPr>
      <t>未釋出</t>
    </r>
    <phoneticPr fontId="61" type="noConversion"/>
  </si>
  <si>
    <r>
      <rPr>
        <sz val="11"/>
        <rFont val="新細明體"/>
        <family val="1"/>
        <charset val="136"/>
      </rPr>
      <t>未釋出</t>
    </r>
    <phoneticPr fontId="61" type="noConversion"/>
  </si>
  <si>
    <r>
      <rPr>
        <sz val="11"/>
        <color indexed="8"/>
        <rFont val="新細明體"/>
        <family val="1"/>
        <charset val="136"/>
      </rPr>
      <t>臺灣</t>
    </r>
    <r>
      <rPr>
        <sz val="11"/>
        <color indexed="8"/>
        <rFont val="Times New Roman"/>
        <family val="1"/>
      </rPr>
      <t xml:space="preserve">  99-109</t>
    </r>
    <r>
      <rPr>
        <sz val="11"/>
        <color indexed="8"/>
        <rFont val="新細明體"/>
        <family val="1"/>
        <charset val="136"/>
      </rPr>
      <t>年</t>
    </r>
    <r>
      <rPr>
        <sz val="11"/>
        <color indexed="8"/>
        <rFont val="Times New Roman"/>
        <family val="1"/>
      </rPr>
      <t xml:space="preserve"> </t>
    </r>
    <r>
      <rPr>
        <sz val="11"/>
        <color indexed="8"/>
        <rFont val="新細明體"/>
        <family val="1"/>
        <charset val="136"/>
      </rPr>
      <t>法務部統計處、內政部戶政司</t>
    </r>
    <r>
      <rPr>
        <sz val="11"/>
        <color indexed="8"/>
        <rFont val="Times New Roman"/>
        <family val="1"/>
      </rPr>
      <t xml:space="preserve"> </t>
    </r>
    <phoneticPr fontId="61" type="noConversion"/>
  </si>
  <si>
    <r>
      <rPr>
        <sz val="11"/>
        <color indexed="8"/>
        <rFont val="新細明體"/>
        <family val="1"/>
        <charset val="136"/>
      </rPr>
      <t>日本</t>
    </r>
    <r>
      <rPr>
        <sz val="11"/>
        <color indexed="8"/>
        <rFont val="Times New Roman"/>
        <family val="1"/>
      </rPr>
      <t xml:space="preserve">  99</t>
    </r>
    <r>
      <rPr>
        <sz val="11"/>
        <color indexed="8"/>
        <rFont val="新細明體"/>
        <family val="1"/>
        <charset val="136"/>
      </rPr>
      <t>、</t>
    </r>
    <r>
      <rPr>
        <sz val="11"/>
        <color indexed="8"/>
        <rFont val="Times New Roman"/>
        <family val="1"/>
      </rPr>
      <t>101</t>
    </r>
    <r>
      <rPr>
        <sz val="11"/>
        <color indexed="8"/>
        <rFont val="新細明體"/>
        <family val="1"/>
        <charset val="136"/>
      </rPr>
      <t>、</t>
    </r>
    <r>
      <rPr>
        <sz val="11"/>
        <color indexed="8"/>
        <rFont val="Times New Roman"/>
        <family val="1"/>
      </rPr>
      <t>103</t>
    </r>
    <r>
      <rPr>
        <sz val="11"/>
        <color indexed="8"/>
        <rFont val="新細明體"/>
        <family val="1"/>
        <charset val="136"/>
      </rPr>
      <t>、</t>
    </r>
    <r>
      <rPr>
        <sz val="11"/>
        <color indexed="8"/>
        <rFont val="Times New Roman"/>
        <family val="1"/>
      </rPr>
      <t>104</t>
    </r>
    <r>
      <rPr>
        <sz val="11"/>
        <color indexed="8"/>
        <rFont val="新細明體"/>
        <family val="1"/>
        <charset val="136"/>
      </rPr>
      <t>、</t>
    </r>
    <r>
      <rPr>
        <sz val="11"/>
        <color indexed="8"/>
        <rFont val="Times New Roman"/>
        <family val="1"/>
      </rPr>
      <t>105</t>
    </r>
    <r>
      <rPr>
        <sz val="11"/>
        <color indexed="8"/>
        <rFont val="新細明體"/>
        <family val="1"/>
        <charset val="136"/>
      </rPr>
      <t>、</t>
    </r>
    <r>
      <rPr>
        <sz val="11"/>
        <color indexed="8"/>
        <rFont val="Times New Roman"/>
        <family val="1"/>
      </rPr>
      <t>107</t>
    </r>
    <r>
      <rPr>
        <sz val="11"/>
        <color indexed="8"/>
        <rFont val="新細明體"/>
        <family val="1"/>
        <charset val="136"/>
      </rPr>
      <t>、</t>
    </r>
    <r>
      <rPr>
        <sz val="11"/>
        <color indexed="8"/>
        <rFont val="Times New Roman"/>
        <family val="1"/>
      </rPr>
      <t>108</t>
    </r>
    <r>
      <rPr>
        <sz val="11"/>
        <color indexed="8"/>
        <rFont val="新細明體"/>
        <family val="1"/>
        <charset val="136"/>
      </rPr>
      <t>年數據：</t>
    </r>
    <r>
      <rPr>
        <sz val="11"/>
        <color indexed="8"/>
        <rFont val="Times New Roman"/>
        <family val="1"/>
      </rPr>
      <t>Japanese government statistics bureau figures. http://prisonstudies.org/country/japan (retrieved on 2020/08/05)</t>
    </r>
    <r>
      <rPr>
        <sz val="11"/>
        <color indexed="8"/>
        <rFont val="新細明體"/>
        <family val="1"/>
        <charset val="136"/>
      </rPr>
      <t>；</t>
    </r>
    <r>
      <rPr>
        <sz val="11"/>
        <color indexed="8"/>
        <rFont val="Times New Roman"/>
        <family val="1"/>
      </rPr>
      <t>100</t>
    </r>
    <r>
      <rPr>
        <sz val="11"/>
        <color indexed="8"/>
        <rFont val="新細明體"/>
        <family val="1"/>
        <charset val="136"/>
      </rPr>
      <t>、</t>
    </r>
    <r>
      <rPr>
        <sz val="11"/>
        <color indexed="8"/>
        <rFont val="Times New Roman"/>
        <family val="1"/>
      </rPr>
      <t>102</t>
    </r>
    <r>
      <rPr>
        <sz val="11"/>
        <color indexed="8"/>
        <rFont val="新細明體"/>
        <family val="1"/>
        <charset val="136"/>
      </rPr>
      <t>、</t>
    </r>
    <r>
      <rPr>
        <sz val="11"/>
        <color indexed="8"/>
        <rFont val="Times New Roman"/>
        <family val="1"/>
      </rPr>
      <t>106</t>
    </r>
    <r>
      <rPr>
        <sz val="11"/>
        <color indexed="8"/>
        <rFont val="新細明體"/>
        <family val="1"/>
        <charset val="136"/>
      </rPr>
      <t>年數據：</t>
    </r>
    <r>
      <rPr>
        <sz val="11"/>
        <color indexed="8"/>
        <rFont val="Times New Roman"/>
        <family val="1"/>
      </rPr>
      <t>UNODC</t>
    </r>
    <r>
      <rPr>
        <sz val="11"/>
        <color indexed="8"/>
        <rFont val="新細明體"/>
        <family val="1"/>
        <charset val="136"/>
      </rPr>
      <t>資料庫。</t>
    </r>
    <r>
      <rPr>
        <sz val="11"/>
        <color indexed="8"/>
        <rFont val="Times New Roman"/>
        <family val="1"/>
      </rPr>
      <t>https://dataunodc.un.org/ (retrieved on 2020/08/05)</t>
    </r>
    <phoneticPr fontId="61" type="noConversion"/>
  </si>
  <si>
    <r>
      <rPr>
        <sz val="11"/>
        <color indexed="8"/>
        <rFont val="新細明體"/>
        <family val="1"/>
        <charset val="136"/>
      </rPr>
      <t>英國</t>
    </r>
    <r>
      <rPr>
        <sz val="11"/>
        <color indexed="8"/>
        <rFont val="Times New Roman"/>
        <family val="1"/>
      </rPr>
      <t xml:space="preserve">  99</t>
    </r>
    <r>
      <rPr>
        <sz val="11"/>
        <color indexed="8"/>
        <rFont val="新細明體"/>
        <family val="1"/>
        <charset val="136"/>
      </rPr>
      <t>、</t>
    </r>
    <r>
      <rPr>
        <sz val="11"/>
        <color indexed="8"/>
        <rFont val="Times New Roman"/>
        <family val="1"/>
      </rPr>
      <t>101</t>
    </r>
    <r>
      <rPr>
        <sz val="11"/>
        <color indexed="8"/>
        <rFont val="新細明體"/>
        <family val="1"/>
        <charset val="136"/>
      </rPr>
      <t>、</t>
    </r>
    <r>
      <rPr>
        <sz val="11"/>
        <color indexed="8"/>
        <rFont val="Times New Roman"/>
        <family val="1"/>
      </rPr>
      <t>103</t>
    </r>
    <r>
      <rPr>
        <sz val="11"/>
        <color indexed="8"/>
        <rFont val="新細明體"/>
        <family val="1"/>
        <charset val="136"/>
      </rPr>
      <t>、</t>
    </r>
    <r>
      <rPr>
        <sz val="11"/>
        <color indexed="8"/>
        <rFont val="Times New Roman"/>
        <family val="1"/>
      </rPr>
      <t>104</t>
    </r>
    <r>
      <rPr>
        <sz val="11"/>
        <color indexed="8"/>
        <rFont val="新細明體"/>
        <family val="1"/>
        <charset val="136"/>
      </rPr>
      <t>、</t>
    </r>
    <r>
      <rPr>
        <sz val="11"/>
        <color indexed="8"/>
        <rFont val="Times New Roman"/>
        <family val="1"/>
      </rPr>
      <t>105</t>
    </r>
    <r>
      <rPr>
        <sz val="11"/>
        <color indexed="8"/>
        <rFont val="新細明體"/>
        <family val="1"/>
        <charset val="136"/>
      </rPr>
      <t>、</t>
    </r>
    <r>
      <rPr>
        <sz val="11"/>
        <color indexed="8"/>
        <rFont val="Times New Roman"/>
        <family val="1"/>
      </rPr>
      <t>107</t>
    </r>
    <r>
      <rPr>
        <sz val="11"/>
        <color indexed="8"/>
        <rFont val="新細明體"/>
        <family val="1"/>
        <charset val="136"/>
      </rPr>
      <t>、</t>
    </r>
    <r>
      <rPr>
        <sz val="11"/>
        <color indexed="8"/>
        <rFont val="Times New Roman"/>
        <family val="1"/>
      </rPr>
      <t>108</t>
    </r>
    <r>
      <rPr>
        <sz val="11"/>
        <color indexed="8"/>
        <rFont val="新細明體"/>
        <family val="1"/>
        <charset val="136"/>
      </rPr>
      <t>年數據：</t>
    </r>
    <r>
      <rPr>
        <sz val="11"/>
        <color indexed="8"/>
        <rFont val="Times New Roman"/>
        <family val="1"/>
      </rPr>
      <t>Office for National Statistics figures. http://prisonstudies.org/country/united-kingdom-england-wales (retrieved on 2020/08/05)</t>
    </r>
    <r>
      <rPr>
        <sz val="11"/>
        <color indexed="8"/>
        <rFont val="新細明體"/>
        <family val="1"/>
        <charset val="136"/>
      </rPr>
      <t>；</t>
    </r>
    <r>
      <rPr>
        <sz val="11"/>
        <color indexed="8"/>
        <rFont val="Times New Roman"/>
        <family val="1"/>
      </rPr>
      <t>100</t>
    </r>
    <r>
      <rPr>
        <sz val="11"/>
        <color indexed="8"/>
        <rFont val="新細明體"/>
        <family val="1"/>
        <charset val="136"/>
      </rPr>
      <t>、</t>
    </r>
    <r>
      <rPr>
        <sz val="11"/>
        <color indexed="8"/>
        <rFont val="Times New Roman"/>
        <family val="1"/>
      </rPr>
      <t>102</t>
    </r>
    <r>
      <rPr>
        <sz val="11"/>
        <color indexed="8"/>
        <rFont val="新細明體"/>
        <family val="1"/>
        <charset val="136"/>
      </rPr>
      <t>、</t>
    </r>
    <r>
      <rPr>
        <sz val="11"/>
        <color indexed="8"/>
        <rFont val="Times New Roman"/>
        <family val="1"/>
      </rPr>
      <t>106</t>
    </r>
    <r>
      <rPr>
        <sz val="11"/>
        <color indexed="8"/>
        <rFont val="新細明體"/>
        <family val="1"/>
        <charset val="136"/>
      </rPr>
      <t>年數據：</t>
    </r>
    <r>
      <rPr>
        <sz val="11"/>
        <color indexed="8"/>
        <rFont val="Times New Roman"/>
        <family val="1"/>
      </rPr>
      <t>UNODC</t>
    </r>
    <r>
      <rPr>
        <sz val="11"/>
        <color indexed="8"/>
        <rFont val="新細明體"/>
        <family val="1"/>
        <charset val="136"/>
      </rPr>
      <t>資料庫。</t>
    </r>
    <r>
      <rPr>
        <sz val="11"/>
        <color indexed="8"/>
        <rFont val="Times New Roman"/>
        <family val="1"/>
      </rPr>
      <t>https://dataunodc.un.org/ (retrieved on 2020/08/05)</t>
    </r>
    <phoneticPr fontId="61" type="noConversion"/>
  </si>
  <si>
    <r>
      <rPr>
        <sz val="11"/>
        <color indexed="8"/>
        <rFont val="新細明體"/>
        <family val="1"/>
        <charset val="136"/>
      </rPr>
      <t>美國</t>
    </r>
    <r>
      <rPr>
        <sz val="11"/>
        <color indexed="8"/>
        <rFont val="Times New Roman"/>
        <family val="1"/>
      </rPr>
      <t xml:space="preserve">  99</t>
    </r>
    <r>
      <rPr>
        <sz val="11"/>
        <color indexed="8"/>
        <rFont val="新細明體"/>
        <family val="1"/>
        <charset val="136"/>
      </rPr>
      <t>、</t>
    </r>
    <r>
      <rPr>
        <sz val="11"/>
        <color indexed="8"/>
        <rFont val="Times New Roman"/>
        <family val="1"/>
      </rPr>
      <t>101</t>
    </r>
    <r>
      <rPr>
        <sz val="11"/>
        <color indexed="8"/>
        <rFont val="新細明體"/>
        <family val="1"/>
        <charset val="136"/>
      </rPr>
      <t>、</t>
    </r>
    <r>
      <rPr>
        <sz val="11"/>
        <color indexed="8"/>
        <rFont val="Times New Roman"/>
        <family val="1"/>
      </rPr>
      <t>103</t>
    </r>
    <r>
      <rPr>
        <sz val="11"/>
        <color indexed="8"/>
        <rFont val="新細明體"/>
        <family val="1"/>
        <charset val="136"/>
      </rPr>
      <t>、</t>
    </r>
    <r>
      <rPr>
        <sz val="11"/>
        <color indexed="8"/>
        <rFont val="Times New Roman"/>
        <family val="1"/>
      </rPr>
      <t>104</t>
    </r>
    <r>
      <rPr>
        <sz val="11"/>
        <color indexed="8"/>
        <rFont val="新細明體"/>
        <family val="1"/>
        <charset val="136"/>
      </rPr>
      <t>、</t>
    </r>
    <r>
      <rPr>
        <sz val="11"/>
        <color indexed="8"/>
        <rFont val="Times New Roman"/>
        <family val="1"/>
      </rPr>
      <t>105</t>
    </r>
    <r>
      <rPr>
        <sz val="11"/>
        <color indexed="8"/>
        <rFont val="新細明體"/>
        <family val="1"/>
        <charset val="136"/>
      </rPr>
      <t>年數據：</t>
    </r>
    <r>
      <rPr>
        <sz val="11"/>
        <color indexed="8"/>
        <rFont val="Times New Roman"/>
        <family val="1"/>
      </rPr>
      <t>U.S. Census Bureau. http://prisonstudies.org/country/united-states-america (retrieved on 2020/08/05)</t>
    </r>
    <r>
      <rPr>
        <sz val="11"/>
        <color indexed="8"/>
        <rFont val="新細明體"/>
        <family val="1"/>
        <charset val="136"/>
      </rPr>
      <t>；</t>
    </r>
    <r>
      <rPr>
        <sz val="11"/>
        <color indexed="8"/>
        <rFont val="Times New Roman"/>
        <family val="1"/>
      </rPr>
      <t>100</t>
    </r>
    <r>
      <rPr>
        <sz val="11"/>
        <color indexed="8"/>
        <rFont val="新細明體"/>
        <family val="1"/>
        <charset val="136"/>
      </rPr>
      <t>、</t>
    </r>
    <r>
      <rPr>
        <sz val="11"/>
        <color indexed="8"/>
        <rFont val="Times New Roman"/>
        <family val="1"/>
      </rPr>
      <t>102</t>
    </r>
    <r>
      <rPr>
        <sz val="11"/>
        <color indexed="8"/>
        <rFont val="新細明體"/>
        <family val="1"/>
        <charset val="136"/>
      </rPr>
      <t>、</t>
    </r>
    <r>
      <rPr>
        <sz val="11"/>
        <color indexed="8"/>
        <rFont val="Times New Roman"/>
        <family val="1"/>
      </rPr>
      <t>106</t>
    </r>
    <r>
      <rPr>
        <sz val="11"/>
        <color indexed="8"/>
        <rFont val="新細明體"/>
        <family val="1"/>
        <charset val="136"/>
      </rPr>
      <t>年數據：</t>
    </r>
    <r>
      <rPr>
        <sz val="11"/>
        <color indexed="8"/>
        <rFont val="Times New Roman"/>
        <family val="1"/>
      </rPr>
      <t>UNODC</t>
    </r>
    <r>
      <rPr>
        <sz val="11"/>
        <color indexed="8"/>
        <rFont val="新細明體"/>
        <family val="1"/>
        <charset val="136"/>
      </rPr>
      <t>資料庫。</t>
    </r>
    <r>
      <rPr>
        <sz val="11"/>
        <color indexed="8"/>
        <rFont val="Times New Roman"/>
        <family val="1"/>
      </rPr>
      <t>https://dataunodc.un.org/ (retrieved on 2020/08/05)</t>
    </r>
    <phoneticPr fontId="61" type="noConversion"/>
  </si>
  <si>
    <r>
      <rPr>
        <sz val="11"/>
        <color indexed="8"/>
        <rFont val="新細明體"/>
        <family val="1"/>
        <charset val="136"/>
      </rPr>
      <t>瑞典</t>
    </r>
    <r>
      <rPr>
        <sz val="11"/>
        <color indexed="8"/>
        <rFont val="Times New Roman"/>
        <family val="1"/>
      </rPr>
      <t xml:space="preserve">  99</t>
    </r>
    <r>
      <rPr>
        <sz val="11"/>
        <color indexed="8"/>
        <rFont val="新細明體"/>
        <family val="1"/>
        <charset val="136"/>
      </rPr>
      <t>、</t>
    </r>
    <r>
      <rPr>
        <sz val="11"/>
        <color indexed="8"/>
        <rFont val="Times New Roman"/>
        <family val="1"/>
      </rPr>
      <t>101</t>
    </r>
    <r>
      <rPr>
        <sz val="11"/>
        <color indexed="8"/>
        <rFont val="新細明體"/>
        <family val="1"/>
        <charset val="136"/>
      </rPr>
      <t>、</t>
    </r>
    <r>
      <rPr>
        <sz val="11"/>
        <color indexed="8"/>
        <rFont val="Times New Roman"/>
        <family val="1"/>
      </rPr>
      <t>103</t>
    </r>
    <r>
      <rPr>
        <sz val="11"/>
        <color indexed="8"/>
        <rFont val="新細明體"/>
        <family val="1"/>
        <charset val="136"/>
      </rPr>
      <t>、</t>
    </r>
    <r>
      <rPr>
        <sz val="11"/>
        <color indexed="8"/>
        <rFont val="Times New Roman"/>
        <family val="1"/>
      </rPr>
      <t>104</t>
    </r>
    <r>
      <rPr>
        <sz val="11"/>
        <color indexed="8"/>
        <rFont val="新細明體"/>
        <family val="1"/>
        <charset val="136"/>
      </rPr>
      <t>、</t>
    </r>
    <r>
      <rPr>
        <sz val="11"/>
        <color indexed="8"/>
        <rFont val="Times New Roman"/>
        <family val="1"/>
      </rPr>
      <t>105</t>
    </r>
    <r>
      <rPr>
        <sz val="11"/>
        <color indexed="8"/>
        <rFont val="新細明體"/>
        <family val="1"/>
        <charset val="136"/>
      </rPr>
      <t>、</t>
    </r>
    <r>
      <rPr>
        <sz val="11"/>
        <color indexed="8"/>
        <rFont val="Times New Roman"/>
        <family val="1"/>
      </rPr>
      <t>106</t>
    </r>
    <r>
      <rPr>
        <sz val="11"/>
        <color indexed="8"/>
        <rFont val="新細明體"/>
        <family val="1"/>
        <charset val="136"/>
      </rPr>
      <t>年數據：</t>
    </r>
    <r>
      <rPr>
        <sz val="11"/>
        <color indexed="8"/>
        <rFont val="Times New Roman"/>
        <family val="1"/>
      </rPr>
      <t>Eurostat figures. http://www.prisonstudies.org/country/sweden(retrieved on 2020/08/05)</t>
    </r>
    <r>
      <rPr>
        <sz val="11"/>
        <color indexed="8"/>
        <rFont val="新細明體"/>
        <family val="1"/>
        <charset val="136"/>
      </rPr>
      <t>；</t>
    </r>
    <r>
      <rPr>
        <sz val="11"/>
        <color indexed="8"/>
        <rFont val="Times New Roman"/>
        <family val="1"/>
      </rPr>
      <t>100</t>
    </r>
    <r>
      <rPr>
        <sz val="11"/>
        <color indexed="8"/>
        <rFont val="新細明體"/>
        <family val="1"/>
        <charset val="136"/>
      </rPr>
      <t>、</t>
    </r>
    <r>
      <rPr>
        <sz val="11"/>
        <color indexed="8"/>
        <rFont val="Times New Roman"/>
        <family val="1"/>
      </rPr>
      <t>102</t>
    </r>
    <r>
      <rPr>
        <sz val="11"/>
        <color indexed="8"/>
        <rFont val="新細明體"/>
        <family val="1"/>
        <charset val="136"/>
      </rPr>
      <t>、</t>
    </r>
    <r>
      <rPr>
        <sz val="11"/>
        <color indexed="8"/>
        <rFont val="Times New Roman"/>
        <family val="1"/>
      </rPr>
      <t>106</t>
    </r>
    <r>
      <rPr>
        <sz val="11"/>
        <color indexed="8"/>
        <rFont val="新細明體"/>
        <family val="1"/>
        <charset val="136"/>
      </rPr>
      <t>年數據：</t>
    </r>
    <r>
      <rPr>
        <sz val="11"/>
        <color indexed="8"/>
        <rFont val="Times New Roman"/>
        <family val="1"/>
      </rPr>
      <t>UNODC</t>
    </r>
    <r>
      <rPr>
        <sz val="11"/>
        <color indexed="8"/>
        <rFont val="新細明體"/>
        <family val="1"/>
        <charset val="136"/>
      </rPr>
      <t>資料庫，</t>
    </r>
    <r>
      <rPr>
        <sz val="11"/>
        <color indexed="8"/>
        <rFont val="Times New Roman"/>
        <family val="1"/>
      </rPr>
      <t>https://dataunodc.un.org/(retrieved on 2020/08/05)</t>
    </r>
    <phoneticPr fontId="61" type="noConversion"/>
  </si>
  <si>
    <r>
      <rPr>
        <sz val="11"/>
        <color indexed="8"/>
        <rFont val="新細明體"/>
        <family val="1"/>
        <charset val="136"/>
      </rPr>
      <t>說　　明：</t>
    </r>
    <phoneticPr fontId="44" type="noConversion"/>
  </si>
  <si>
    <r>
      <t xml:space="preserve">1. </t>
    </r>
    <r>
      <rPr>
        <sz val="11"/>
        <color indexed="8"/>
        <rFont val="新細明體"/>
        <family val="1"/>
        <charset val="136"/>
      </rPr>
      <t>監禁率＝｛總收容人數／年底總人口數｝</t>
    </r>
    <r>
      <rPr>
        <sz val="11"/>
        <color indexed="8"/>
        <rFont val="Times New Roman"/>
        <family val="1"/>
      </rPr>
      <t>×100,000</t>
    </r>
    <phoneticPr fontId="44" type="noConversion"/>
  </si>
  <si>
    <r>
      <t xml:space="preserve">2. </t>
    </r>
    <r>
      <rPr>
        <sz val="11"/>
        <color indexed="8"/>
        <rFont val="新細明體"/>
        <family val="1"/>
        <charset val="136"/>
      </rPr>
      <t>美國監禁率最新資料只釋出至</t>
    </r>
    <r>
      <rPr>
        <sz val="11"/>
        <color indexed="8"/>
        <rFont val="Times New Roman"/>
        <family val="1"/>
      </rPr>
      <t>106</t>
    </r>
    <r>
      <rPr>
        <sz val="11"/>
        <color indexed="8"/>
        <rFont val="新細明體"/>
        <family val="1"/>
        <charset val="136"/>
      </rPr>
      <t>年底；瑞典則僅釋出至</t>
    </r>
    <r>
      <rPr>
        <sz val="11"/>
        <color indexed="8"/>
        <rFont val="Times New Roman"/>
        <family val="1"/>
      </rPr>
      <t>107</t>
    </r>
    <r>
      <rPr>
        <sz val="11"/>
        <color indexed="8"/>
        <rFont val="新細明體"/>
        <family val="1"/>
        <charset val="136"/>
      </rPr>
      <t>年底。</t>
    </r>
    <phoneticPr fontId="6" type="noConversion"/>
  </si>
  <si>
    <r>
      <t xml:space="preserve">3. </t>
    </r>
    <r>
      <rPr>
        <sz val="11"/>
        <color indexed="8"/>
        <rFont val="新細明體"/>
        <family val="1"/>
        <charset val="136"/>
      </rPr>
      <t>英國人口統計為年中統計而非年底統計，故英國監禁率之計算公式＝｛總收容人數／年中總人口數｝</t>
    </r>
    <r>
      <rPr>
        <sz val="11"/>
        <color indexed="8"/>
        <rFont val="Times New Roman"/>
        <family val="1"/>
      </rPr>
      <t>×100,000</t>
    </r>
    <phoneticPr fontId="6" type="noConversion"/>
  </si>
  <si>
    <r>
      <t xml:space="preserve">4. </t>
    </r>
    <r>
      <rPr>
        <sz val="11"/>
        <color indexed="8"/>
        <rFont val="細明體"/>
        <family val="3"/>
        <charset val="136"/>
      </rPr>
      <t>本表監禁率為無條件進位至個位數。</t>
    </r>
    <phoneticPr fontId="61" type="noConversion"/>
  </si>
  <si>
    <t>-103,585 (-27.85%)</t>
    <phoneticPr fontId="61" type="noConversion"/>
  </si>
  <si>
    <t>-37,794 (-12.75%)</t>
    <phoneticPr fontId="61" type="noConversion"/>
  </si>
  <si>
    <t>8,324 (3.09%)</t>
    <phoneticPr fontId="61" type="noConversion"/>
  </si>
  <si>
    <t>-469.99 (-29.24%)</t>
    <phoneticPr fontId="6" type="noConversion"/>
  </si>
  <si>
    <r>
      <rPr>
        <sz val="11"/>
        <color theme="1"/>
        <rFont val="新細明體"/>
        <family val="1"/>
        <charset val="136"/>
      </rPr>
      <t>單位</t>
    </r>
    <r>
      <rPr>
        <sz val="11"/>
        <color theme="1"/>
        <rFont val="Times New Roman"/>
        <family val="1"/>
      </rPr>
      <t>:</t>
    </r>
    <r>
      <rPr>
        <sz val="11"/>
        <color theme="1"/>
        <rFont val="新細明體"/>
        <family val="1"/>
        <charset val="136"/>
      </rPr>
      <t>件</t>
    </r>
    <r>
      <rPr>
        <sz val="11"/>
        <color theme="1"/>
        <rFont val="Times New Roman"/>
        <family val="1"/>
      </rPr>
      <t>/10</t>
    </r>
    <r>
      <rPr>
        <sz val="11"/>
        <color theme="1"/>
        <rFont val="新細明體"/>
        <family val="1"/>
        <charset val="136"/>
      </rPr>
      <t>萬人口</t>
    </r>
  </si>
  <si>
    <r>
      <rPr>
        <sz val="11"/>
        <color theme="1"/>
        <rFont val="新細明體"/>
        <family val="1"/>
        <charset val="136"/>
      </rPr>
      <t>日本</t>
    </r>
  </si>
  <si>
    <r>
      <rPr>
        <sz val="11"/>
        <color theme="1"/>
        <rFont val="新細明體"/>
        <family val="1"/>
        <charset val="136"/>
      </rPr>
      <t>英國</t>
    </r>
  </si>
  <si>
    <r>
      <rPr>
        <sz val="11"/>
        <color theme="1"/>
        <rFont val="新細明體"/>
        <family val="1"/>
        <charset val="136"/>
      </rPr>
      <t>美國</t>
    </r>
  </si>
  <si>
    <r>
      <t>100</t>
    </r>
    <r>
      <rPr>
        <sz val="11"/>
        <rFont val="新細明體"/>
        <family val="1"/>
        <charset val="136"/>
      </rPr>
      <t>年</t>
    </r>
    <r>
      <rPr>
        <sz val="11"/>
        <rFont val="標楷體"/>
        <family val="4"/>
        <charset val="136"/>
      </rPr>
      <t/>
    </r>
  </si>
  <si>
    <r>
      <t>101</t>
    </r>
    <r>
      <rPr>
        <sz val="11"/>
        <rFont val="新細明體"/>
        <family val="1"/>
        <charset val="136"/>
      </rPr>
      <t>年</t>
    </r>
    <r>
      <rPr>
        <sz val="11"/>
        <rFont val="標楷體"/>
        <family val="4"/>
        <charset val="136"/>
      </rPr>
      <t/>
    </r>
  </si>
  <si>
    <r>
      <t>102</t>
    </r>
    <r>
      <rPr>
        <sz val="11"/>
        <rFont val="新細明體"/>
        <family val="1"/>
        <charset val="136"/>
      </rPr>
      <t>年</t>
    </r>
    <r>
      <rPr>
        <sz val="11"/>
        <rFont val="標楷體"/>
        <family val="4"/>
        <charset val="136"/>
      </rPr>
      <t/>
    </r>
  </si>
  <si>
    <r>
      <t>103</t>
    </r>
    <r>
      <rPr>
        <sz val="11"/>
        <rFont val="新細明體"/>
        <family val="1"/>
        <charset val="136"/>
      </rPr>
      <t>年</t>
    </r>
    <r>
      <rPr>
        <sz val="11"/>
        <rFont val="標楷體"/>
        <family val="4"/>
        <charset val="136"/>
      </rPr>
      <t/>
    </r>
  </si>
  <si>
    <r>
      <t>104</t>
    </r>
    <r>
      <rPr>
        <sz val="11"/>
        <rFont val="新細明體"/>
        <family val="1"/>
        <charset val="136"/>
      </rPr>
      <t>年</t>
    </r>
    <r>
      <rPr>
        <sz val="11"/>
        <rFont val="標楷體"/>
        <family val="4"/>
        <charset val="136"/>
      </rPr>
      <t/>
    </r>
  </si>
  <si>
    <r>
      <t>105</t>
    </r>
    <r>
      <rPr>
        <sz val="11"/>
        <rFont val="新細明體"/>
        <family val="1"/>
        <charset val="136"/>
      </rPr>
      <t>年</t>
    </r>
    <r>
      <rPr>
        <sz val="11"/>
        <rFont val="標楷體"/>
        <family val="4"/>
        <charset val="136"/>
      </rPr>
      <t/>
    </r>
  </si>
  <si>
    <r>
      <t>106</t>
    </r>
    <r>
      <rPr>
        <sz val="11"/>
        <rFont val="新細明體"/>
        <family val="1"/>
        <charset val="136"/>
      </rPr>
      <t>年</t>
    </r>
    <r>
      <rPr>
        <sz val="11"/>
        <rFont val="標楷體"/>
        <family val="4"/>
        <charset val="136"/>
      </rPr>
      <t/>
    </r>
  </si>
  <si>
    <r>
      <t>107</t>
    </r>
    <r>
      <rPr>
        <sz val="11"/>
        <rFont val="新細明體"/>
        <family val="1"/>
        <charset val="136"/>
      </rPr>
      <t>年</t>
    </r>
    <r>
      <rPr>
        <sz val="11"/>
        <rFont val="標楷體"/>
        <family val="4"/>
        <charset val="136"/>
      </rPr>
      <t/>
    </r>
  </si>
  <si>
    <r>
      <t>108</t>
    </r>
    <r>
      <rPr>
        <sz val="11"/>
        <rFont val="新細明體"/>
        <family val="1"/>
        <charset val="136"/>
      </rPr>
      <t>年</t>
    </r>
    <r>
      <rPr>
        <sz val="11"/>
        <rFont val="標楷體"/>
        <family val="4"/>
        <charset val="136"/>
      </rPr>
      <t/>
    </r>
  </si>
  <si>
    <r>
      <rPr>
        <sz val="11"/>
        <rFont val="新細明體"/>
        <family val="1"/>
        <charset val="136"/>
      </rPr>
      <t>資料來源：</t>
    </r>
  </si>
  <si>
    <t>2. 英國數據時間列序為99年4月-100年3月、100年4月-101年3月...102年4月-103年3月，後則為
103年1月-103年12月...108年1月-108年12月（本表其後皆同）。</t>
  </si>
  <si>
    <r>
      <rPr>
        <sz val="15"/>
        <rFont val="新細明體"/>
        <family val="1"/>
        <charset val="136"/>
      </rPr>
      <t>表</t>
    </r>
    <r>
      <rPr>
        <sz val="15"/>
        <rFont val="Times New Roman"/>
        <family val="1"/>
      </rPr>
      <t>1-4-2</t>
    </r>
    <r>
      <rPr>
        <sz val="15"/>
        <rFont val="新細明體"/>
        <family val="1"/>
        <charset val="136"/>
      </rPr>
      <t>　近</t>
    </r>
    <r>
      <rPr>
        <sz val="15"/>
        <rFont val="Times New Roman"/>
        <family val="1"/>
      </rPr>
      <t>10</t>
    </r>
    <r>
      <rPr>
        <sz val="15"/>
        <rFont val="新細明體"/>
        <family val="1"/>
        <charset val="136"/>
      </rPr>
      <t>年各國竊盜犯罪之犯罪率趨勢</t>
    </r>
    <phoneticPr fontId="61" type="noConversion"/>
  </si>
  <si>
    <r>
      <rPr>
        <sz val="11"/>
        <rFont val="新細明體"/>
        <family val="1"/>
        <charset val="136"/>
      </rPr>
      <t>臺灣</t>
    </r>
    <phoneticPr fontId="6" type="noConversion"/>
  </si>
  <si>
    <r>
      <rPr>
        <sz val="11"/>
        <color theme="1"/>
        <rFont val="新細明體"/>
        <family val="1"/>
        <charset val="136"/>
      </rPr>
      <t>瑞典</t>
    </r>
    <phoneticPr fontId="61" type="noConversion"/>
  </si>
  <si>
    <r>
      <t>92</t>
    </r>
    <r>
      <rPr>
        <sz val="11"/>
        <color theme="1"/>
        <rFont val="新細明體"/>
        <family val="1"/>
        <charset val="136"/>
      </rPr>
      <t>年</t>
    </r>
  </si>
  <si>
    <r>
      <t>93</t>
    </r>
    <r>
      <rPr>
        <sz val="11"/>
        <color theme="1"/>
        <rFont val="新細明體"/>
        <family val="1"/>
        <charset val="136"/>
      </rPr>
      <t>年</t>
    </r>
  </si>
  <si>
    <r>
      <t>104</t>
    </r>
    <r>
      <rPr>
        <sz val="11"/>
        <color theme="1"/>
        <rFont val="新細明體"/>
        <family val="1"/>
        <charset val="136"/>
      </rPr>
      <t>年</t>
    </r>
  </si>
  <si>
    <r>
      <rPr>
        <sz val="11"/>
        <color theme="1"/>
        <rFont val="新細明體"/>
        <family val="1"/>
        <charset val="136"/>
      </rPr>
      <t>資料來源：</t>
    </r>
    <phoneticPr fontId="6" type="noConversion"/>
  </si>
  <si>
    <r>
      <rPr>
        <sz val="11"/>
        <color theme="1"/>
        <rFont val="新細明體"/>
        <family val="1"/>
        <charset val="136"/>
      </rPr>
      <t>臺灣</t>
    </r>
    <r>
      <rPr>
        <sz val="11"/>
        <color theme="1"/>
        <rFont val="Times New Roman"/>
        <family val="1"/>
      </rPr>
      <t xml:space="preserve">  2020</t>
    </r>
    <r>
      <rPr>
        <sz val="11"/>
        <color theme="1"/>
        <rFont val="新細明體"/>
        <family val="1"/>
        <charset val="136"/>
      </rPr>
      <t>年</t>
    </r>
    <r>
      <rPr>
        <sz val="11"/>
        <color theme="1"/>
        <rFont val="Times New Roman"/>
        <family val="1"/>
      </rPr>
      <t xml:space="preserve"> </t>
    </r>
    <r>
      <rPr>
        <sz val="11"/>
        <color theme="1"/>
        <rFont val="新細明體"/>
        <family val="1"/>
        <charset val="136"/>
      </rPr>
      <t>中華民國刑案統計</t>
    </r>
    <phoneticPr fontId="6" type="noConversion"/>
  </si>
  <si>
    <r>
      <rPr>
        <sz val="11"/>
        <rFont val="新細明體"/>
        <family val="1"/>
        <charset val="136"/>
      </rPr>
      <t>日本</t>
    </r>
    <r>
      <rPr>
        <sz val="11"/>
        <rFont val="Times New Roman"/>
        <family val="1"/>
      </rPr>
      <t xml:space="preserve">  2020</t>
    </r>
    <r>
      <rPr>
        <sz val="11"/>
        <rFont val="新細明體"/>
        <family val="1"/>
        <charset val="136"/>
      </rPr>
      <t>年：</t>
    </r>
    <r>
      <rPr>
        <sz val="11"/>
        <rFont val="Times New Roman"/>
        <family val="1"/>
      </rPr>
      <t>(</t>
    </r>
    <r>
      <rPr>
        <sz val="11"/>
        <rFont val="新細明體"/>
        <family val="1"/>
        <charset val="136"/>
      </rPr>
      <t>本書自行依下列資料計算</t>
    </r>
    <r>
      <rPr>
        <sz val="11"/>
        <rFont val="Times New Roman"/>
        <family val="1"/>
      </rPr>
      <t>)</t>
    </r>
    <r>
      <rPr>
        <sz val="11"/>
        <rFont val="新細明體"/>
        <family val="1"/>
        <charset val="136"/>
      </rPr>
      <t xml:space="preserve">
</t>
    </r>
    <r>
      <rPr>
        <sz val="11"/>
        <rFont val="Times New Roman"/>
        <family val="1"/>
      </rPr>
      <t xml:space="preserve">1. </t>
    </r>
    <r>
      <rPr>
        <sz val="11"/>
        <rFont val="新細明體"/>
        <family val="1"/>
        <charset val="136"/>
      </rPr>
      <t>令和元年の刑法犯に関する統計資料。</t>
    </r>
    <r>
      <rPr>
        <sz val="11"/>
        <rFont val="Times New Roman"/>
        <family val="1"/>
      </rPr>
      <t xml:space="preserve">https://www.npa.go.jp/toukei/seianki/R01/r01keihouhantoukeisiryou.pdf
    (retrieved on 2020/10/12)
2. </t>
    </r>
    <r>
      <rPr>
        <sz val="11"/>
        <rFont val="新細明體"/>
        <family val="1"/>
        <charset val="136"/>
      </rPr>
      <t>人口推計。</t>
    </r>
    <r>
      <rPr>
        <sz val="11"/>
        <rFont val="Times New Roman"/>
        <family val="1"/>
      </rPr>
      <t>https://www.e-stat.go.jp/stat-search/files?page=1&amp;layout=datalist&amp;toukei=00200524&amp;tstat=000000090001&amp;cycle=1&amp;tclass1=000001011678 (retrieved on 2020/10/12)</t>
    </r>
    <phoneticPr fontId="6" type="noConversion"/>
  </si>
  <si>
    <r>
      <rPr>
        <sz val="11"/>
        <rFont val="新細明體"/>
        <family val="1"/>
        <charset val="136"/>
      </rPr>
      <t>英國</t>
    </r>
    <r>
      <rPr>
        <sz val="11"/>
        <rFont val="Times New Roman"/>
        <family val="1"/>
      </rPr>
      <t xml:space="preserve">  2020</t>
    </r>
    <r>
      <rPr>
        <sz val="11"/>
        <rFont val="新細明體"/>
        <family val="1"/>
        <charset val="136"/>
      </rPr>
      <t>年</t>
    </r>
    <r>
      <rPr>
        <sz val="11"/>
        <rFont val="Times New Roman"/>
        <family val="1"/>
      </rPr>
      <t xml:space="preserve"> Crime in England &amp; Wales, year ending December 2019 - Appendix tables. https://www.ons.gov.uk/peoplepopulationandcommunity/crimeandjustice/datasets/crimeinenglandandwalesappendixtables (retrieved on 2020/08/05)</t>
    </r>
    <phoneticPr fontId="6" type="noConversion"/>
  </si>
  <si>
    <r>
      <rPr>
        <sz val="11"/>
        <rFont val="新細明體"/>
        <family val="1"/>
        <charset val="136"/>
      </rPr>
      <t>美國</t>
    </r>
    <r>
      <rPr>
        <sz val="11"/>
        <rFont val="Times New Roman"/>
        <family val="1"/>
      </rPr>
      <t xml:space="preserve">  2020</t>
    </r>
    <r>
      <rPr>
        <sz val="11"/>
        <rFont val="新細明體"/>
        <family val="1"/>
        <charset val="136"/>
      </rPr>
      <t>年</t>
    </r>
    <r>
      <rPr>
        <sz val="11"/>
        <rFont val="Times New Roman"/>
        <family val="1"/>
      </rPr>
      <t xml:space="preserve"> 2019 Crime in the United States.https://ucr.fbi.gov/crime-in-the-u.s/2019/crime-in-the-u.s.-2019/topic-pages/tables/table-1 (retrieved on 2020/10/05)</t>
    </r>
    <phoneticPr fontId="6" type="noConversion"/>
  </si>
  <si>
    <r>
      <rPr>
        <sz val="11"/>
        <rFont val="新細明體"/>
        <family val="1"/>
        <charset val="136"/>
      </rPr>
      <t>瑞典</t>
    </r>
    <r>
      <rPr>
        <sz val="11"/>
        <rFont val="Times New Roman"/>
        <family val="1"/>
      </rPr>
      <t xml:space="preserve">  2020</t>
    </r>
    <r>
      <rPr>
        <sz val="11"/>
        <rFont val="新細明體"/>
        <family val="1"/>
        <charset val="136"/>
      </rPr>
      <t>年</t>
    </r>
    <r>
      <rPr>
        <sz val="11"/>
        <rFont val="Times New Roman"/>
        <family val="1"/>
      </rPr>
      <t xml:space="preserve"> Reported offences, 1950-2019. https://www.bra.se/bra-in-english/home/crime-and-statistics/crime-statistics.html (retrieved on2020/08/05)</t>
    </r>
    <phoneticPr fontId="61" type="noConversion"/>
  </si>
  <si>
    <r>
      <rPr>
        <sz val="11"/>
        <color theme="1"/>
        <rFont val="新細明體"/>
        <family val="1"/>
        <charset val="136"/>
      </rPr>
      <t>說　　明：</t>
    </r>
    <phoneticPr fontId="6" type="noConversion"/>
  </si>
  <si>
    <r>
      <t xml:space="preserve">1. </t>
    </r>
    <r>
      <rPr>
        <sz val="11"/>
        <color theme="1"/>
        <rFont val="新細明體"/>
        <family val="1"/>
        <charset val="136"/>
      </rPr>
      <t>竊盜犯罪各國定義如下所示：</t>
    </r>
    <phoneticPr fontId="6" type="noConversion"/>
  </si>
  <si>
    <r>
      <t xml:space="preserve"> </t>
    </r>
    <r>
      <rPr>
        <sz val="11"/>
        <color theme="1"/>
        <rFont val="新細明體"/>
        <family val="1"/>
        <charset val="136"/>
      </rPr>
      <t>臺灣</t>
    </r>
    <r>
      <rPr>
        <sz val="11"/>
        <color theme="1"/>
        <rFont val="Times New Roman"/>
        <family val="1"/>
      </rPr>
      <t xml:space="preserve">  </t>
    </r>
    <r>
      <rPr>
        <sz val="11"/>
        <color theme="1"/>
        <rFont val="新細明體"/>
        <family val="1"/>
        <charset val="136"/>
      </rPr>
      <t>一般竊盜</t>
    </r>
    <r>
      <rPr>
        <sz val="11"/>
        <color theme="1"/>
        <rFont val="Times New Roman"/>
        <family val="1"/>
      </rPr>
      <t>(</t>
    </r>
    <r>
      <rPr>
        <sz val="11"/>
        <color theme="1"/>
        <rFont val="新細明體"/>
        <family val="1"/>
        <charset val="136"/>
      </rPr>
      <t>含汽機車竊盜</t>
    </r>
    <r>
      <rPr>
        <sz val="11"/>
        <color theme="1"/>
        <rFont val="Times New Roman"/>
        <family val="1"/>
      </rPr>
      <t>)</t>
    </r>
    <r>
      <rPr>
        <sz val="11"/>
        <color theme="1"/>
        <rFont val="新細明體"/>
        <family val="1"/>
        <charset val="136"/>
      </rPr>
      <t>。</t>
    </r>
    <phoneticPr fontId="6" type="noConversion"/>
  </si>
  <si>
    <r>
      <t xml:space="preserve"> </t>
    </r>
    <r>
      <rPr>
        <sz val="11"/>
        <color theme="1"/>
        <rFont val="新細明體"/>
        <family val="1"/>
        <charset val="136"/>
      </rPr>
      <t>日本</t>
    </r>
    <r>
      <rPr>
        <sz val="11"/>
        <color theme="1"/>
        <rFont val="Times New Roman"/>
        <family val="1"/>
      </rPr>
      <t xml:space="preserve">  </t>
    </r>
    <r>
      <rPr>
        <sz val="11"/>
        <color theme="1"/>
        <rFont val="新細明體"/>
        <family val="1"/>
        <charset val="136"/>
      </rPr>
      <t>一般竊盜</t>
    </r>
    <r>
      <rPr>
        <sz val="11"/>
        <color theme="1"/>
        <rFont val="Times New Roman"/>
        <family val="1"/>
      </rPr>
      <t>(</t>
    </r>
    <r>
      <rPr>
        <sz val="11"/>
        <color theme="1"/>
        <rFont val="新細明體"/>
        <family val="1"/>
        <charset val="136"/>
      </rPr>
      <t>含汽機車竊盜</t>
    </r>
    <r>
      <rPr>
        <sz val="11"/>
        <color theme="1"/>
        <rFont val="Times New Roman"/>
        <family val="1"/>
      </rPr>
      <t>)</t>
    </r>
    <r>
      <rPr>
        <sz val="11"/>
        <color theme="1"/>
        <rFont val="新細明體"/>
        <family val="1"/>
        <charset val="136"/>
      </rPr>
      <t>。</t>
    </r>
    <phoneticPr fontId="6" type="noConversion"/>
  </si>
  <si>
    <r>
      <t xml:space="preserve"> </t>
    </r>
    <r>
      <rPr>
        <sz val="11"/>
        <color theme="1"/>
        <rFont val="新細明體"/>
        <family val="1"/>
        <charset val="136"/>
      </rPr>
      <t>英國</t>
    </r>
    <r>
      <rPr>
        <sz val="11"/>
        <color theme="1"/>
        <rFont val="Times New Roman"/>
        <family val="1"/>
      </rPr>
      <t xml:space="preserve">  </t>
    </r>
    <r>
      <rPr>
        <sz val="11"/>
        <color theme="1"/>
        <rFont val="新細明體"/>
        <family val="1"/>
        <charset val="136"/>
      </rPr>
      <t>建物內竊盜（</t>
    </r>
    <r>
      <rPr>
        <sz val="11"/>
        <color theme="1"/>
        <rFont val="Times New Roman"/>
        <family val="1"/>
      </rPr>
      <t>burglary</t>
    </r>
    <r>
      <rPr>
        <sz val="11"/>
        <color theme="1"/>
        <rFont val="新細明體"/>
        <family val="1"/>
        <charset val="136"/>
      </rPr>
      <t>）、車輛竊盜（</t>
    </r>
    <r>
      <rPr>
        <sz val="11"/>
        <color theme="1"/>
        <rFont val="Times New Roman"/>
        <family val="1"/>
      </rPr>
      <t>vehicle offences</t>
    </r>
    <r>
      <rPr>
        <sz val="11"/>
        <color theme="1"/>
        <rFont val="新細明體"/>
        <family val="1"/>
        <charset val="136"/>
      </rPr>
      <t>）、一般竊盜（</t>
    </r>
    <r>
      <rPr>
        <sz val="11"/>
        <color theme="1"/>
        <rFont val="Times New Roman"/>
        <family val="1"/>
      </rPr>
      <t>theft from the person</t>
    </r>
    <r>
      <rPr>
        <sz val="11"/>
        <color theme="1"/>
        <rFont val="新細明體"/>
        <family val="1"/>
        <charset val="136"/>
      </rPr>
      <t>）、</t>
    </r>
    <phoneticPr fontId="6" type="noConversion"/>
  </si>
  <si>
    <r>
      <rPr>
        <sz val="11"/>
        <color theme="1"/>
        <rFont val="新細明體"/>
        <family val="1"/>
        <charset val="136"/>
      </rPr>
      <t>　　　</t>
    </r>
    <r>
      <rPr>
        <sz val="11"/>
        <color theme="1"/>
        <rFont val="Times New Roman"/>
        <family val="1"/>
      </rPr>
      <t xml:space="preserve">  </t>
    </r>
    <r>
      <rPr>
        <sz val="11"/>
        <color theme="1"/>
        <rFont val="新細明體"/>
        <family val="1"/>
        <charset val="136"/>
      </rPr>
      <t>順手牽羊（</t>
    </r>
    <r>
      <rPr>
        <sz val="11"/>
        <color theme="1"/>
        <rFont val="Times New Roman"/>
        <family val="1"/>
      </rPr>
      <t>shoplifting</t>
    </r>
    <r>
      <rPr>
        <sz val="11"/>
        <color theme="1"/>
        <rFont val="新細明體"/>
        <family val="1"/>
        <charset val="136"/>
      </rPr>
      <t>）。</t>
    </r>
    <phoneticPr fontId="61" type="noConversion"/>
  </si>
  <si>
    <r>
      <t xml:space="preserve"> </t>
    </r>
    <r>
      <rPr>
        <sz val="11"/>
        <color theme="1"/>
        <rFont val="新細明體"/>
        <family val="1"/>
        <charset val="136"/>
      </rPr>
      <t>美國</t>
    </r>
    <r>
      <rPr>
        <sz val="11"/>
        <color theme="1"/>
        <rFont val="Times New Roman"/>
        <family val="1"/>
      </rPr>
      <t xml:space="preserve">  </t>
    </r>
    <r>
      <rPr>
        <sz val="11"/>
        <color theme="1"/>
        <rFont val="新細明體"/>
        <family val="1"/>
        <charset val="136"/>
      </rPr>
      <t>一般竊盜</t>
    </r>
    <r>
      <rPr>
        <sz val="11"/>
        <color theme="1"/>
        <rFont val="Times New Roman"/>
        <family val="1"/>
      </rPr>
      <t>(larceny theft)</t>
    </r>
    <r>
      <rPr>
        <sz val="11"/>
        <color theme="1"/>
        <rFont val="新細明體"/>
        <family val="1"/>
        <charset val="136"/>
      </rPr>
      <t>、住宅竊盜（</t>
    </r>
    <r>
      <rPr>
        <sz val="11"/>
        <color theme="1"/>
        <rFont val="Times New Roman"/>
        <family val="1"/>
      </rPr>
      <t>burglary</t>
    </r>
    <r>
      <rPr>
        <sz val="11"/>
        <color theme="1"/>
        <rFont val="新細明體"/>
        <family val="1"/>
        <charset val="136"/>
      </rPr>
      <t>）、動力車輛竊盜（</t>
    </r>
    <r>
      <rPr>
        <sz val="11"/>
        <color theme="1"/>
        <rFont val="Times New Roman"/>
        <family val="1"/>
      </rPr>
      <t>motor vehicle theft</t>
    </r>
    <r>
      <rPr>
        <sz val="11"/>
        <color theme="1"/>
        <rFont val="新細明體"/>
        <family val="1"/>
        <charset val="136"/>
      </rPr>
      <t>）。</t>
    </r>
    <phoneticPr fontId="6" type="noConversion"/>
  </si>
  <si>
    <r>
      <t xml:space="preserve"> </t>
    </r>
    <r>
      <rPr>
        <sz val="11"/>
        <color theme="1"/>
        <rFont val="新細明體"/>
        <family val="1"/>
        <charset val="136"/>
      </rPr>
      <t>瑞典</t>
    </r>
    <r>
      <rPr>
        <sz val="11"/>
        <color theme="1"/>
        <rFont val="Times New Roman"/>
        <family val="1"/>
      </rPr>
      <t xml:space="preserve">  </t>
    </r>
    <r>
      <rPr>
        <sz val="11"/>
        <color theme="1"/>
        <rFont val="新細明體"/>
        <family val="1"/>
        <charset val="136"/>
      </rPr>
      <t>刑法第八章中的竊盜行為</t>
    </r>
    <r>
      <rPr>
        <sz val="11"/>
        <color theme="1"/>
        <rFont val="Times New Roman"/>
        <family val="1"/>
      </rPr>
      <t xml:space="preserve"> (theft, crimes of stealing)</t>
    </r>
    <r>
      <rPr>
        <sz val="11"/>
        <color theme="1"/>
        <rFont val="新細明體"/>
        <family val="1"/>
        <charset val="136"/>
      </rPr>
      <t>。</t>
    </r>
    <phoneticPr fontId="61" type="noConversion"/>
  </si>
  <si>
    <r>
      <t xml:space="preserve"> </t>
    </r>
    <r>
      <rPr>
        <sz val="11"/>
        <color theme="1"/>
        <rFont val="新細明體"/>
        <family val="1"/>
        <charset val="136"/>
      </rPr>
      <t>英國與美國因就</t>
    </r>
    <r>
      <rPr>
        <sz val="11"/>
        <color theme="1"/>
        <rFont val="Times New Roman"/>
        <family val="1"/>
      </rPr>
      <t>bulgary</t>
    </r>
    <r>
      <rPr>
        <sz val="11"/>
        <color theme="1"/>
        <rFont val="新細明體"/>
        <family val="1"/>
        <charset val="136"/>
      </rPr>
      <t>一項有不同認定範圍，因此翻譯上也進行前述調整。</t>
    </r>
    <phoneticPr fontId="61" type="noConversion"/>
  </si>
  <si>
    <r>
      <t xml:space="preserve">2. </t>
    </r>
    <r>
      <rPr>
        <sz val="11"/>
        <color theme="1"/>
        <rFont val="新細明體"/>
        <family val="1"/>
        <charset val="136"/>
      </rPr>
      <t>英國</t>
    </r>
    <r>
      <rPr>
        <sz val="11"/>
        <color theme="1"/>
        <rFont val="Times New Roman"/>
        <family val="1"/>
      </rPr>
      <t>107</t>
    </r>
    <r>
      <rPr>
        <sz val="11"/>
        <color theme="1"/>
        <rFont val="新細明體"/>
        <family val="1"/>
        <charset val="136"/>
      </rPr>
      <t>年</t>
    </r>
    <r>
      <rPr>
        <sz val="11"/>
        <color theme="1"/>
        <rFont val="Times New Roman"/>
        <family val="1"/>
      </rPr>
      <t>-108</t>
    </r>
    <r>
      <rPr>
        <sz val="11"/>
        <color theme="1"/>
        <rFont val="新細明體"/>
        <family val="1"/>
        <charset val="136"/>
      </rPr>
      <t>年數據不含曼徹斯特地區。</t>
    </r>
    <phoneticPr fontId="61" type="noConversion"/>
  </si>
  <si>
    <r>
      <rPr>
        <sz val="15"/>
        <rFont val="新細明體"/>
        <family val="1"/>
        <charset val="136"/>
      </rPr>
      <t>表</t>
    </r>
    <r>
      <rPr>
        <sz val="15"/>
        <rFont val="Times New Roman"/>
        <family val="1"/>
      </rPr>
      <t>1-4-3</t>
    </r>
    <r>
      <rPr>
        <sz val="15"/>
        <rFont val="新細明體"/>
        <family val="1"/>
        <charset val="136"/>
      </rPr>
      <t>　近</t>
    </r>
    <r>
      <rPr>
        <sz val="15"/>
        <rFont val="Times New Roman"/>
        <family val="1"/>
      </rPr>
      <t>10</t>
    </r>
    <r>
      <rPr>
        <sz val="15"/>
        <rFont val="新細明體"/>
        <family val="1"/>
        <charset val="136"/>
      </rPr>
      <t>年各國詐欺犯罪之犯罪率趨勢</t>
    </r>
    <phoneticPr fontId="61" type="noConversion"/>
  </si>
  <si>
    <r>
      <rPr>
        <sz val="11"/>
        <color theme="1"/>
        <rFont val="新細明體"/>
        <family val="1"/>
        <charset val="136"/>
      </rPr>
      <t>臺灣</t>
    </r>
    <phoneticPr fontId="6" type="noConversion"/>
  </si>
  <si>
    <r>
      <rPr>
        <sz val="11"/>
        <color theme="1"/>
        <rFont val="新細明體"/>
        <family val="1"/>
        <charset val="136"/>
      </rPr>
      <t>日本</t>
    </r>
    <phoneticPr fontId="6" type="noConversion"/>
  </si>
  <si>
    <r>
      <rPr>
        <sz val="11"/>
        <color theme="1"/>
        <rFont val="新細明體"/>
        <family val="1"/>
        <charset val="136"/>
      </rPr>
      <t>英國</t>
    </r>
    <phoneticPr fontId="6" type="noConversion"/>
  </si>
  <si>
    <t>美國</t>
    <phoneticPr fontId="61" type="noConversion"/>
  </si>
  <si>
    <r>
      <rPr>
        <sz val="11"/>
        <color theme="1"/>
        <rFont val="新細明體"/>
        <family val="1"/>
        <charset val="136"/>
      </rPr>
      <t>瑞典</t>
    </r>
    <phoneticPr fontId="6" type="noConversion"/>
  </si>
  <si>
    <r>
      <t>99</t>
    </r>
    <r>
      <rPr>
        <sz val="11"/>
        <color theme="1"/>
        <rFont val="新細明體"/>
        <family val="1"/>
        <charset val="136"/>
      </rPr>
      <t>年</t>
    </r>
    <phoneticPr fontId="61" type="noConversion"/>
  </si>
  <si>
    <r>
      <t>100</t>
    </r>
    <r>
      <rPr>
        <sz val="11"/>
        <color theme="1"/>
        <rFont val="新細明體"/>
        <family val="1"/>
        <charset val="136"/>
      </rPr>
      <t>年</t>
    </r>
    <r>
      <rPr>
        <sz val="11"/>
        <color theme="1"/>
        <rFont val="標楷體"/>
        <family val="4"/>
        <charset val="136"/>
      </rPr>
      <t/>
    </r>
  </si>
  <si>
    <r>
      <t>101</t>
    </r>
    <r>
      <rPr>
        <sz val="11"/>
        <color theme="1"/>
        <rFont val="新細明體"/>
        <family val="1"/>
        <charset val="136"/>
      </rPr>
      <t>年</t>
    </r>
    <r>
      <rPr>
        <sz val="11"/>
        <color theme="1"/>
        <rFont val="標楷體"/>
        <family val="4"/>
        <charset val="136"/>
      </rPr>
      <t/>
    </r>
  </si>
  <si>
    <r>
      <t>102</t>
    </r>
    <r>
      <rPr>
        <sz val="11"/>
        <color theme="1"/>
        <rFont val="新細明體"/>
        <family val="1"/>
        <charset val="136"/>
      </rPr>
      <t>年</t>
    </r>
    <r>
      <rPr>
        <sz val="11"/>
        <color theme="1"/>
        <rFont val="標楷體"/>
        <family val="4"/>
        <charset val="136"/>
      </rPr>
      <t/>
    </r>
  </si>
  <si>
    <r>
      <t>103</t>
    </r>
    <r>
      <rPr>
        <sz val="11"/>
        <color theme="1"/>
        <rFont val="新細明體"/>
        <family val="1"/>
        <charset val="136"/>
      </rPr>
      <t>年</t>
    </r>
    <r>
      <rPr>
        <sz val="11"/>
        <color theme="1"/>
        <rFont val="標楷體"/>
        <family val="4"/>
        <charset val="136"/>
      </rPr>
      <t/>
    </r>
  </si>
  <si>
    <r>
      <t>104</t>
    </r>
    <r>
      <rPr>
        <sz val="11"/>
        <color theme="1"/>
        <rFont val="新細明體"/>
        <family val="1"/>
        <charset val="136"/>
      </rPr>
      <t>年</t>
    </r>
    <r>
      <rPr>
        <sz val="11"/>
        <color theme="1"/>
        <rFont val="標楷體"/>
        <family val="4"/>
        <charset val="136"/>
      </rPr>
      <t/>
    </r>
  </si>
  <si>
    <r>
      <t>105</t>
    </r>
    <r>
      <rPr>
        <sz val="11"/>
        <color theme="1"/>
        <rFont val="新細明體"/>
        <family val="1"/>
        <charset val="136"/>
      </rPr>
      <t>年</t>
    </r>
    <r>
      <rPr>
        <sz val="11"/>
        <color theme="1"/>
        <rFont val="標楷體"/>
        <family val="4"/>
        <charset val="136"/>
      </rPr>
      <t/>
    </r>
  </si>
  <si>
    <r>
      <t>106</t>
    </r>
    <r>
      <rPr>
        <sz val="11"/>
        <color theme="1"/>
        <rFont val="新細明體"/>
        <family val="1"/>
        <charset val="136"/>
      </rPr>
      <t>年</t>
    </r>
    <r>
      <rPr>
        <sz val="11"/>
        <color theme="1"/>
        <rFont val="標楷體"/>
        <family val="4"/>
        <charset val="136"/>
      </rPr>
      <t/>
    </r>
  </si>
  <si>
    <r>
      <t>107</t>
    </r>
    <r>
      <rPr>
        <sz val="11"/>
        <color theme="1"/>
        <rFont val="新細明體"/>
        <family val="1"/>
        <charset val="136"/>
      </rPr>
      <t>年</t>
    </r>
    <r>
      <rPr>
        <sz val="11"/>
        <color theme="1"/>
        <rFont val="標楷體"/>
        <family val="4"/>
        <charset val="136"/>
      </rPr>
      <t/>
    </r>
  </si>
  <si>
    <r>
      <t>108</t>
    </r>
    <r>
      <rPr>
        <sz val="11"/>
        <color theme="1"/>
        <rFont val="新細明體"/>
        <family val="1"/>
        <charset val="136"/>
      </rPr>
      <t>年</t>
    </r>
    <r>
      <rPr>
        <sz val="11"/>
        <color theme="1"/>
        <rFont val="標楷體"/>
        <family val="4"/>
        <charset val="136"/>
      </rPr>
      <t/>
    </r>
  </si>
  <si>
    <r>
      <rPr>
        <sz val="11"/>
        <color theme="1"/>
        <rFont val="新細明體"/>
        <family val="1"/>
        <charset val="136"/>
      </rPr>
      <t>臺灣</t>
    </r>
    <r>
      <rPr>
        <sz val="11"/>
        <color theme="1"/>
        <rFont val="Times New Roman"/>
        <family val="1"/>
      </rPr>
      <t xml:space="preserve">  2020</t>
    </r>
    <r>
      <rPr>
        <sz val="11"/>
        <color theme="1"/>
        <rFont val="新細明體"/>
        <family val="1"/>
        <charset val="136"/>
      </rPr>
      <t>年</t>
    </r>
    <r>
      <rPr>
        <sz val="11"/>
        <color theme="1"/>
        <rFont val="Times New Roman"/>
        <family val="1"/>
      </rPr>
      <t xml:space="preserve"> </t>
    </r>
    <r>
      <rPr>
        <sz val="11"/>
        <color theme="1"/>
        <rFont val="新細明體"/>
        <family val="1"/>
        <charset val="136"/>
      </rPr>
      <t>中華民國刑案統計</t>
    </r>
    <phoneticPr fontId="6" type="noConversion"/>
  </si>
  <si>
    <r>
      <rPr>
        <sz val="11"/>
        <rFont val="新細明體"/>
        <family val="1"/>
        <charset val="136"/>
      </rPr>
      <t>日本</t>
    </r>
    <r>
      <rPr>
        <sz val="11"/>
        <rFont val="Times New Roman"/>
        <family val="1"/>
      </rPr>
      <t xml:space="preserve">  2020</t>
    </r>
    <r>
      <rPr>
        <sz val="11"/>
        <rFont val="新細明體"/>
        <family val="1"/>
        <charset val="136"/>
      </rPr>
      <t>年：</t>
    </r>
    <r>
      <rPr>
        <sz val="11"/>
        <rFont val="Times New Roman"/>
        <family val="1"/>
      </rPr>
      <t>(</t>
    </r>
    <r>
      <rPr>
        <sz val="11"/>
        <rFont val="新細明體"/>
        <family val="1"/>
        <charset val="136"/>
      </rPr>
      <t>本書自行依下列資料計算</t>
    </r>
    <r>
      <rPr>
        <sz val="11"/>
        <rFont val="Times New Roman"/>
        <family val="1"/>
      </rPr>
      <t>)</t>
    </r>
    <r>
      <rPr>
        <sz val="11"/>
        <rFont val="新細明體"/>
        <family val="1"/>
        <charset val="136"/>
      </rPr>
      <t xml:space="preserve">
</t>
    </r>
    <r>
      <rPr>
        <sz val="11"/>
        <rFont val="Times New Roman"/>
        <family val="1"/>
      </rPr>
      <t xml:space="preserve">1. </t>
    </r>
    <r>
      <rPr>
        <sz val="11"/>
        <rFont val="新細明體"/>
        <family val="1"/>
        <charset val="136"/>
      </rPr>
      <t>令和元年の刑法犯に関する統計資料。</t>
    </r>
    <r>
      <rPr>
        <sz val="11"/>
        <rFont val="Times New Roman"/>
        <family val="1"/>
      </rPr>
      <t xml:space="preserve">https://www.npa.go.jp/toukei/seianki/R01/r01keihouhantoukeisiryou.pdf
    (retrieved on 2020/10/12)
2. </t>
    </r>
    <r>
      <rPr>
        <sz val="11"/>
        <rFont val="新細明體"/>
        <family val="1"/>
        <charset val="136"/>
      </rPr>
      <t>人口推計。</t>
    </r>
    <r>
      <rPr>
        <sz val="11"/>
        <rFont val="Times New Roman"/>
        <family val="1"/>
      </rPr>
      <t>https://www.e-stat.go.jp/stat-search/files?page=1&amp;layout=datalist&amp;toukei=00200524&amp;tstat=000000090001&amp;cycle=1&amp;tclass1=000001011678 (retrieved on 2020/10/12)</t>
    </r>
    <phoneticPr fontId="6" type="noConversion"/>
  </si>
  <si>
    <r>
      <rPr>
        <sz val="11"/>
        <rFont val="新細明體"/>
        <family val="1"/>
        <charset val="136"/>
      </rPr>
      <t>英國</t>
    </r>
    <r>
      <rPr>
        <sz val="11"/>
        <rFont val="Times New Roman"/>
        <family val="1"/>
      </rPr>
      <t xml:space="preserve">  2020</t>
    </r>
    <r>
      <rPr>
        <sz val="11"/>
        <rFont val="新細明體"/>
        <family val="1"/>
        <charset val="136"/>
      </rPr>
      <t>年</t>
    </r>
    <r>
      <rPr>
        <sz val="11"/>
        <rFont val="Times New Roman"/>
        <family val="1"/>
      </rPr>
      <t xml:space="preserve"> Crime in England &amp; Wales, year ending December 2018 - Appendix tables. https://www.ons.gov.uk/peoplepopulationandcommunity/crimeandjustice/datasets/crimeinenglandandwalesappendixtables (retrieved on 2020/08/05)</t>
    </r>
    <phoneticPr fontId="6" type="noConversion"/>
  </si>
  <si>
    <r>
      <rPr>
        <sz val="11"/>
        <rFont val="新細明體"/>
        <family val="1"/>
        <charset val="136"/>
      </rPr>
      <t>瑞典</t>
    </r>
    <r>
      <rPr>
        <sz val="11"/>
        <rFont val="Times New Roman"/>
        <family val="1"/>
      </rPr>
      <t xml:space="preserve">  2020</t>
    </r>
    <r>
      <rPr>
        <sz val="11"/>
        <rFont val="新細明體"/>
        <family val="1"/>
        <charset val="136"/>
      </rPr>
      <t>年</t>
    </r>
    <r>
      <rPr>
        <sz val="11"/>
        <rFont val="Times New Roman"/>
        <family val="1"/>
      </rPr>
      <t xml:space="preserve"> Reported offences, 1950-2019. https://www.bra.se/bra-in-english/home/crime-and-statistics/crime-statistics.html (retrieved on2020/08/05)</t>
    </r>
    <phoneticPr fontId="61" type="noConversion"/>
  </si>
  <si>
    <r>
      <rPr>
        <sz val="11"/>
        <rFont val="新細明體"/>
        <family val="1"/>
        <charset val="136"/>
      </rPr>
      <t xml:space="preserve">美國：
</t>
    </r>
    <r>
      <rPr>
        <sz val="11"/>
        <rFont val="Times New Roman"/>
        <family val="1"/>
      </rPr>
      <t>1.(99</t>
    </r>
    <r>
      <rPr>
        <sz val="11"/>
        <rFont val="新細明體"/>
        <family val="1"/>
        <charset val="136"/>
      </rPr>
      <t>年至</t>
    </r>
    <r>
      <rPr>
        <sz val="11"/>
        <rFont val="Times New Roman"/>
        <family val="1"/>
      </rPr>
      <t>101</t>
    </r>
    <r>
      <rPr>
        <sz val="11"/>
        <rFont val="新細明體"/>
        <family val="1"/>
        <charset val="136"/>
      </rPr>
      <t>年</t>
    </r>
    <r>
      <rPr>
        <sz val="11"/>
        <rFont val="Times New Roman"/>
        <family val="1"/>
      </rPr>
      <t>) 2020</t>
    </r>
    <r>
      <rPr>
        <sz val="11"/>
        <rFont val="新細明體"/>
        <family val="1"/>
        <charset val="136"/>
      </rPr>
      <t>年</t>
    </r>
    <r>
      <rPr>
        <sz val="11"/>
        <rFont val="Times New Roman"/>
        <family val="1"/>
      </rPr>
      <t xml:space="preserve"> Federal bureau of investigation crime data explorer. https://crime-data-explorer.fr.cloud.gov/explorer/national/united-states/arrest (retrieved on 2020/08/05)
2.(102</t>
    </r>
    <r>
      <rPr>
        <sz val="11"/>
        <rFont val="新細明體"/>
        <family val="1"/>
        <charset val="136"/>
      </rPr>
      <t>年至</t>
    </r>
    <r>
      <rPr>
        <sz val="11"/>
        <rFont val="Times New Roman"/>
        <family val="1"/>
      </rPr>
      <t>108</t>
    </r>
    <r>
      <rPr>
        <sz val="11"/>
        <rFont val="新細明體"/>
        <family val="1"/>
        <charset val="136"/>
      </rPr>
      <t>年</t>
    </r>
    <r>
      <rPr>
        <sz val="11"/>
        <rFont val="Times New Roman"/>
        <family val="1"/>
      </rPr>
      <t>) 2020</t>
    </r>
    <r>
      <rPr>
        <sz val="11"/>
        <rFont val="新細明體"/>
        <family val="1"/>
        <charset val="136"/>
      </rPr>
      <t>年</t>
    </r>
    <r>
      <rPr>
        <sz val="11"/>
        <rFont val="Times New Roman"/>
        <family val="1"/>
      </rPr>
      <t xml:space="preserve"> UNODC</t>
    </r>
    <r>
      <rPr>
        <sz val="11"/>
        <rFont val="新細明體"/>
        <family val="1"/>
        <charset val="136"/>
      </rPr>
      <t>資料庫。</t>
    </r>
    <r>
      <rPr>
        <sz val="11"/>
        <rFont val="Times New Roman"/>
        <family val="1"/>
      </rPr>
      <t>https://dataunodc.un.org/ (retrieved on 2020/08/05)</t>
    </r>
    <phoneticPr fontId="61" type="noConversion"/>
  </si>
  <si>
    <r>
      <rPr>
        <sz val="11"/>
        <color theme="1"/>
        <rFont val="新細明體"/>
        <family val="1"/>
        <charset val="136"/>
      </rPr>
      <t>說　　明：</t>
    </r>
    <phoneticPr fontId="6" type="noConversion"/>
  </si>
  <si>
    <r>
      <t xml:space="preserve">1. </t>
    </r>
    <r>
      <rPr>
        <sz val="11"/>
        <color theme="1"/>
        <rFont val="新細明體"/>
        <family val="1"/>
        <charset val="136"/>
      </rPr>
      <t>英國</t>
    </r>
    <r>
      <rPr>
        <sz val="11"/>
        <color theme="1"/>
        <rFont val="Times New Roman"/>
        <family val="1"/>
      </rPr>
      <t>107</t>
    </r>
    <r>
      <rPr>
        <sz val="11"/>
        <color theme="1"/>
        <rFont val="新細明體"/>
        <family val="1"/>
        <charset val="136"/>
      </rPr>
      <t>年</t>
    </r>
    <r>
      <rPr>
        <sz val="11"/>
        <color theme="1"/>
        <rFont val="Times New Roman"/>
        <family val="1"/>
      </rPr>
      <t>-108</t>
    </r>
    <r>
      <rPr>
        <sz val="11"/>
        <color theme="1"/>
        <rFont val="新細明體"/>
        <family val="1"/>
        <charset val="136"/>
      </rPr>
      <t>年數據不含曼徹斯特地區。</t>
    </r>
    <phoneticPr fontId="61" type="noConversion"/>
  </si>
  <si>
    <r>
      <t xml:space="preserve">2. </t>
    </r>
    <r>
      <rPr>
        <sz val="11"/>
        <color theme="1"/>
        <rFont val="新細明體"/>
        <family val="1"/>
        <charset val="136"/>
      </rPr>
      <t>美國</t>
    </r>
    <r>
      <rPr>
        <sz val="11"/>
        <color theme="1"/>
        <rFont val="Times New Roman"/>
        <family val="1"/>
      </rPr>
      <t>99</t>
    </r>
    <r>
      <rPr>
        <sz val="11"/>
        <color theme="1"/>
        <rFont val="新細明體"/>
        <family val="1"/>
        <charset val="136"/>
      </rPr>
      <t>年至</t>
    </r>
    <r>
      <rPr>
        <sz val="11"/>
        <color theme="1"/>
        <rFont val="Times New Roman"/>
        <family val="1"/>
      </rPr>
      <t>101</t>
    </r>
    <r>
      <rPr>
        <sz val="11"/>
        <color theme="1"/>
        <rFont val="新細明體"/>
        <family val="1"/>
        <charset val="136"/>
      </rPr>
      <t>年犯罪率數據為本表自行計算所得，計算方式為先於聯邦調查局資料庫取得案件數，再於美國普查局</t>
    </r>
    <r>
      <rPr>
        <sz val="11"/>
        <color theme="1"/>
        <rFont val="Times New Roman"/>
        <family val="1"/>
      </rPr>
      <t xml:space="preserve"> (U.S. Census Bureau) </t>
    </r>
    <r>
      <rPr>
        <sz val="11"/>
        <color theme="1"/>
        <rFont val="新細明體"/>
        <family val="1"/>
        <charset val="136"/>
      </rPr>
      <t>取得每年度人口資料，以該年</t>
    </r>
    <r>
      <rPr>
        <sz val="11"/>
        <color theme="1"/>
        <rFont val="Times New Roman"/>
        <family val="1"/>
      </rPr>
      <t>7</t>
    </r>
    <r>
      <rPr>
        <sz val="11"/>
        <color theme="1"/>
        <rFont val="新細明體"/>
        <family val="1"/>
        <charset val="136"/>
      </rPr>
      <t>月</t>
    </r>
    <r>
      <rPr>
        <sz val="11"/>
        <color theme="1"/>
        <rFont val="Times New Roman"/>
        <family val="1"/>
      </rPr>
      <t>1</t>
    </r>
    <r>
      <rPr>
        <sz val="11"/>
        <color theme="1"/>
        <rFont val="新細明體"/>
        <family val="1"/>
        <charset val="136"/>
      </rPr>
      <t>日之人口數計算。</t>
    </r>
    <phoneticPr fontId="61" type="noConversion"/>
  </si>
  <si>
    <r>
      <rPr>
        <sz val="15"/>
        <rFont val="新細明體"/>
        <family val="1"/>
        <charset val="136"/>
      </rPr>
      <t>表</t>
    </r>
    <r>
      <rPr>
        <sz val="15"/>
        <rFont val="Times New Roman"/>
        <family val="1"/>
      </rPr>
      <t>1-4-4</t>
    </r>
    <r>
      <rPr>
        <sz val="15"/>
        <rFont val="新細明體"/>
        <family val="1"/>
        <charset val="136"/>
      </rPr>
      <t>　近</t>
    </r>
    <r>
      <rPr>
        <sz val="15"/>
        <rFont val="Times New Roman"/>
        <family val="1"/>
      </rPr>
      <t>10</t>
    </r>
    <r>
      <rPr>
        <sz val="15"/>
        <rFont val="新細明體"/>
        <family val="1"/>
        <charset val="136"/>
      </rPr>
      <t>年各國故意殺人犯罪之犯罪率趨勢</t>
    </r>
    <phoneticPr fontId="61" type="noConversion"/>
  </si>
  <si>
    <r>
      <rPr>
        <sz val="11"/>
        <color theme="1"/>
        <rFont val="新細明體"/>
        <family val="1"/>
        <charset val="136"/>
      </rPr>
      <t>單位</t>
    </r>
    <r>
      <rPr>
        <sz val="11"/>
        <color theme="1"/>
        <rFont val="Times New Roman"/>
        <family val="1"/>
      </rPr>
      <t>:</t>
    </r>
    <r>
      <rPr>
        <sz val="11"/>
        <color theme="1"/>
        <rFont val="新細明體"/>
        <family val="1"/>
        <charset val="136"/>
      </rPr>
      <t>件</t>
    </r>
    <r>
      <rPr>
        <sz val="11"/>
        <color theme="1"/>
        <rFont val="Times New Roman"/>
        <family val="1"/>
      </rPr>
      <t>/10</t>
    </r>
    <r>
      <rPr>
        <sz val="11"/>
        <color theme="1"/>
        <rFont val="新細明體"/>
        <family val="1"/>
        <charset val="136"/>
      </rPr>
      <t>萬人口</t>
    </r>
    <phoneticPr fontId="6" type="noConversion"/>
  </si>
  <si>
    <r>
      <rPr>
        <sz val="11"/>
        <rFont val="新細明體"/>
        <family val="1"/>
        <charset val="136"/>
      </rPr>
      <t>臺灣</t>
    </r>
    <phoneticPr fontId="6" type="noConversion"/>
  </si>
  <si>
    <r>
      <rPr>
        <sz val="11"/>
        <color theme="1"/>
        <rFont val="新細明體"/>
        <family val="1"/>
        <charset val="136"/>
      </rPr>
      <t>瑞典</t>
    </r>
    <phoneticPr fontId="61" type="noConversion"/>
  </si>
  <si>
    <r>
      <t>99</t>
    </r>
    <r>
      <rPr>
        <sz val="11"/>
        <color theme="1"/>
        <rFont val="新細明體"/>
        <family val="1"/>
        <charset val="136"/>
      </rPr>
      <t>年</t>
    </r>
    <phoneticPr fontId="61" type="noConversion"/>
  </si>
  <si>
    <r>
      <t>100</t>
    </r>
    <r>
      <rPr>
        <sz val="11"/>
        <color theme="1"/>
        <rFont val="新細明體"/>
        <family val="1"/>
        <charset val="136"/>
      </rPr>
      <t>年</t>
    </r>
    <r>
      <rPr>
        <sz val="11"/>
        <color theme="1"/>
        <rFont val="DFKai-SB"/>
        <family val="4"/>
        <charset val="136"/>
      </rPr>
      <t/>
    </r>
  </si>
  <si>
    <r>
      <t>101</t>
    </r>
    <r>
      <rPr>
        <sz val="11"/>
        <color theme="1"/>
        <rFont val="新細明體"/>
        <family val="1"/>
        <charset val="136"/>
      </rPr>
      <t>年</t>
    </r>
    <r>
      <rPr>
        <sz val="11"/>
        <color theme="1"/>
        <rFont val="DFKai-SB"/>
        <family val="4"/>
        <charset val="136"/>
      </rPr>
      <t/>
    </r>
  </si>
  <si>
    <r>
      <t>102</t>
    </r>
    <r>
      <rPr>
        <sz val="11"/>
        <color theme="1"/>
        <rFont val="新細明體"/>
        <family val="1"/>
        <charset val="136"/>
      </rPr>
      <t>年</t>
    </r>
    <r>
      <rPr>
        <sz val="11"/>
        <color theme="1"/>
        <rFont val="DFKai-SB"/>
        <family val="4"/>
        <charset val="136"/>
      </rPr>
      <t/>
    </r>
  </si>
  <si>
    <r>
      <t>103</t>
    </r>
    <r>
      <rPr>
        <sz val="11"/>
        <color theme="1"/>
        <rFont val="新細明體"/>
        <family val="1"/>
        <charset val="136"/>
      </rPr>
      <t>年</t>
    </r>
    <r>
      <rPr>
        <sz val="11"/>
        <color theme="1"/>
        <rFont val="DFKai-SB"/>
        <family val="4"/>
        <charset val="136"/>
      </rPr>
      <t/>
    </r>
  </si>
  <si>
    <r>
      <t>104</t>
    </r>
    <r>
      <rPr>
        <sz val="11"/>
        <color theme="1"/>
        <rFont val="新細明體"/>
        <family val="1"/>
        <charset val="136"/>
      </rPr>
      <t>年</t>
    </r>
    <r>
      <rPr>
        <sz val="11"/>
        <color theme="1"/>
        <rFont val="DFKai-SB"/>
        <family val="4"/>
        <charset val="136"/>
      </rPr>
      <t/>
    </r>
  </si>
  <si>
    <r>
      <t>105</t>
    </r>
    <r>
      <rPr>
        <sz val="11"/>
        <color theme="1"/>
        <rFont val="新細明體"/>
        <family val="1"/>
        <charset val="136"/>
      </rPr>
      <t>年</t>
    </r>
    <r>
      <rPr>
        <sz val="11"/>
        <color theme="1"/>
        <rFont val="DFKai-SB"/>
        <family val="4"/>
        <charset val="136"/>
      </rPr>
      <t/>
    </r>
  </si>
  <si>
    <r>
      <t>106</t>
    </r>
    <r>
      <rPr>
        <sz val="11"/>
        <color theme="1"/>
        <rFont val="新細明體"/>
        <family val="1"/>
        <charset val="136"/>
      </rPr>
      <t>年</t>
    </r>
    <r>
      <rPr>
        <sz val="11"/>
        <color theme="1"/>
        <rFont val="DFKai-SB"/>
        <family val="4"/>
        <charset val="136"/>
      </rPr>
      <t/>
    </r>
  </si>
  <si>
    <r>
      <t>107</t>
    </r>
    <r>
      <rPr>
        <sz val="11"/>
        <color theme="1"/>
        <rFont val="新細明體"/>
        <family val="1"/>
        <charset val="136"/>
      </rPr>
      <t>年</t>
    </r>
    <r>
      <rPr>
        <sz val="11"/>
        <color theme="1"/>
        <rFont val="DFKai-SB"/>
        <family val="4"/>
        <charset val="136"/>
      </rPr>
      <t/>
    </r>
  </si>
  <si>
    <r>
      <t>108</t>
    </r>
    <r>
      <rPr>
        <sz val="11"/>
        <color theme="1"/>
        <rFont val="新細明體"/>
        <family val="1"/>
        <charset val="136"/>
      </rPr>
      <t>年</t>
    </r>
    <r>
      <rPr>
        <sz val="11"/>
        <color theme="1"/>
        <rFont val="DFKai-SB"/>
        <family val="4"/>
        <charset val="136"/>
      </rPr>
      <t/>
    </r>
  </si>
  <si>
    <r>
      <rPr>
        <sz val="11"/>
        <color theme="1"/>
        <rFont val="新細明體"/>
        <family val="1"/>
        <charset val="136"/>
      </rPr>
      <t>資料來源：</t>
    </r>
    <phoneticPr fontId="6" type="noConversion"/>
  </si>
  <si>
    <r>
      <rPr>
        <sz val="11"/>
        <color theme="1"/>
        <rFont val="新細明體"/>
        <family val="1"/>
        <charset val="136"/>
      </rPr>
      <t>臺灣</t>
    </r>
    <r>
      <rPr>
        <sz val="11"/>
        <color theme="1"/>
        <rFont val="Times New Roman"/>
        <family val="1"/>
      </rPr>
      <t xml:space="preserve">  2020</t>
    </r>
    <r>
      <rPr>
        <sz val="11"/>
        <color theme="1"/>
        <rFont val="新細明體"/>
        <family val="1"/>
        <charset val="136"/>
      </rPr>
      <t>年</t>
    </r>
    <r>
      <rPr>
        <sz val="11"/>
        <color theme="1"/>
        <rFont val="Times New Roman"/>
        <family val="1"/>
      </rPr>
      <t xml:space="preserve"> </t>
    </r>
    <r>
      <rPr>
        <sz val="11"/>
        <color theme="1"/>
        <rFont val="新細明體"/>
        <family val="1"/>
        <charset val="136"/>
      </rPr>
      <t>中華民國刑案統計</t>
    </r>
    <phoneticPr fontId="6" type="noConversion"/>
  </si>
  <si>
    <r>
      <rPr>
        <sz val="11"/>
        <rFont val="新細明體"/>
        <family val="1"/>
        <charset val="136"/>
      </rPr>
      <t>美國</t>
    </r>
    <r>
      <rPr>
        <sz val="11"/>
        <rFont val="Times New Roman"/>
        <family val="1"/>
      </rPr>
      <t xml:space="preserve">  2020</t>
    </r>
    <r>
      <rPr>
        <sz val="11"/>
        <rFont val="新細明體"/>
        <family val="1"/>
        <charset val="136"/>
      </rPr>
      <t>年</t>
    </r>
    <r>
      <rPr>
        <sz val="11"/>
        <rFont val="Times New Roman"/>
        <family val="1"/>
      </rPr>
      <t xml:space="preserve"> 2019 Crime in the United States.https://ucr.fbi.gov/crime-in-the-u.s/2019/crime-in-the-u.s.-2019/topic-pages/tables/table-1 (retrieved on 2020/10/05)</t>
    </r>
    <phoneticPr fontId="6" type="noConversion"/>
  </si>
  <si>
    <r>
      <rPr>
        <sz val="11"/>
        <rFont val="新細明體"/>
        <family val="1"/>
        <charset val="136"/>
      </rPr>
      <t>瑞典：</t>
    </r>
    <phoneticPr fontId="61" type="noConversion"/>
  </si>
  <si>
    <r>
      <t>1. (99</t>
    </r>
    <r>
      <rPr>
        <sz val="11"/>
        <color theme="1"/>
        <rFont val="新細明體"/>
        <family val="1"/>
        <charset val="136"/>
      </rPr>
      <t>年至</t>
    </r>
    <r>
      <rPr>
        <sz val="11"/>
        <color theme="1"/>
        <rFont val="Times New Roman"/>
        <family val="1"/>
      </rPr>
      <t>107</t>
    </r>
    <r>
      <rPr>
        <sz val="11"/>
        <color theme="1"/>
        <rFont val="新細明體"/>
        <family val="1"/>
        <charset val="136"/>
      </rPr>
      <t>年</t>
    </r>
    <r>
      <rPr>
        <sz val="11"/>
        <color theme="1"/>
        <rFont val="Times New Roman"/>
        <family val="1"/>
      </rPr>
      <t>) 2020</t>
    </r>
    <r>
      <rPr>
        <sz val="11"/>
        <color theme="1"/>
        <rFont val="新細明體"/>
        <family val="1"/>
        <charset val="136"/>
      </rPr>
      <t>年</t>
    </r>
    <r>
      <rPr>
        <sz val="11"/>
        <color theme="1"/>
        <rFont val="Times New Roman"/>
        <family val="1"/>
      </rPr>
      <t xml:space="preserve"> Statistics on Crime, United Nations Office on Drugs and Crime.https://dataunodc.un.org/content/data/homicide/homicide-rate (retrieved on 2020/08/05)</t>
    </r>
    <phoneticPr fontId="61" type="noConversion"/>
  </si>
  <si>
    <r>
      <t>2. (108</t>
    </r>
    <r>
      <rPr>
        <sz val="11"/>
        <color theme="1"/>
        <rFont val="新細明體"/>
        <family val="1"/>
        <charset val="136"/>
      </rPr>
      <t>年</t>
    </r>
    <r>
      <rPr>
        <sz val="11"/>
        <color theme="1"/>
        <rFont val="Times New Roman"/>
        <family val="1"/>
      </rPr>
      <t>) 2020</t>
    </r>
    <r>
      <rPr>
        <sz val="11"/>
        <color theme="1"/>
        <rFont val="新細明體"/>
        <family val="1"/>
        <charset val="136"/>
      </rPr>
      <t>年</t>
    </r>
    <r>
      <rPr>
        <sz val="11"/>
        <color theme="1"/>
        <rFont val="Times New Roman"/>
        <family val="1"/>
      </rPr>
      <t xml:space="preserve"> Murder and manslaughter, https://www.bra.se/bra-in-english/home/crime-and-statistics/murder-and-manslaughter.html (retrieved on 2020/08/05)</t>
    </r>
    <phoneticPr fontId="61" type="noConversion"/>
  </si>
  <si>
    <r>
      <rPr>
        <sz val="11"/>
        <color theme="1"/>
        <rFont val="新細明體"/>
        <family val="1"/>
        <charset val="136"/>
      </rPr>
      <t>說　　明：</t>
    </r>
    <phoneticPr fontId="61" type="noConversion"/>
  </si>
  <si>
    <r>
      <t xml:space="preserve">1. </t>
    </r>
    <r>
      <rPr>
        <sz val="11"/>
        <color theme="1"/>
        <rFont val="新細明體"/>
        <family val="1"/>
        <charset val="136"/>
      </rPr>
      <t>殺人犯罪各國定義如下所示：</t>
    </r>
    <phoneticPr fontId="6" type="noConversion"/>
  </si>
  <si>
    <r>
      <rPr>
        <sz val="11"/>
        <color theme="1"/>
        <rFont val="新細明體"/>
        <family val="1"/>
        <charset val="136"/>
      </rPr>
      <t>臺灣</t>
    </r>
    <r>
      <rPr>
        <sz val="11"/>
        <color theme="1"/>
        <rFont val="Times New Roman"/>
        <family val="1"/>
      </rPr>
      <t xml:space="preserve">  </t>
    </r>
    <r>
      <rPr>
        <sz val="11"/>
        <color theme="1"/>
        <rFont val="新細明體"/>
        <family val="1"/>
        <charset val="136"/>
      </rPr>
      <t>故意殺人</t>
    </r>
    <r>
      <rPr>
        <sz val="11"/>
        <color theme="1"/>
        <rFont val="Times New Roman"/>
        <family val="1"/>
      </rPr>
      <t>(</t>
    </r>
    <r>
      <rPr>
        <sz val="11"/>
        <color theme="1"/>
        <rFont val="新細明體"/>
        <family val="1"/>
        <charset val="136"/>
      </rPr>
      <t>不含過失致死</t>
    </r>
    <r>
      <rPr>
        <sz val="11"/>
        <color theme="1"/>
        <rFont val="Times New Roman"/>
        <family val="1"/>
      </rPr>
      <t>)</t>
    </r>
    <phoneticPr fontId="6" type="noConversion"/>
  </si>
  <si>
    <r>
      <rPr>
        <sz val="11"/>
        <color theme="1"/>
        <rFont val="新細明體"/>
        <family val="1"/>
        <charset val="136"/>
      </rPr>
      <t>日本</t>
    </r>
    <r>
      <rPr>
        <sz val="11"/>
        <color theme="1"/>
        <rFont val="Times New Roman"/>
        <family val="1"/>
      </rPr>
      <t xml:space="preserve">  </t>
    </r>
    <r>
      <rPr>
        <sz val="11"/>
        <color theme="1"/>
        <rFont val="新細明體"/>
        <family val="1"/>
        <charset val="136"/>
      </rPr>
      <t>故意殺人及強盜殺人</t>
    </r>
    <r>
      <rPr>
        <sz val="11"/>
        <color theme="1"/>
        <rFont val="Times New Roman"/>
        <family val="1"/>
      </rPr>
      <t>(</t>
    </r>
    <r>
      <rPr>
        <sz val="11"/>
        <color theme="1"/>
        <rFont val="新細明體"/>
        <family val="1"/>
        <charset val="136"/>
      </rPr>
      <t>包含未遂</t>
    </r>
    <r>
      <rPr>
        <sz val="11"/>
        <color theme="1"/>
        <rFont val="Times New Roman"/>
        <family val="1"/>
      </rPr>
      <t>)</t>
    </r>
    <phoneticPr fontId="6" type="noConversion"/>
  </si>
  <si>
    <r>
      <rPr>
        <sz val="11"/>
        <color theme="1"/>
        <rFont val="新細明體"/>
        <family val="1"/>
        <charset val="136"/>
      </rPr>
      <t>英國</t>
    </r>
    <r>
      <rPr>
        <sz val="11"/>
        <color theme="1"/>
        <rFont val="Times New Roman"/>
        <family val="1"/>
      </rPr>
      <t xml:space="preserve">  </t>
    </r>
    <r>
      <rPr>
        <sz val="11"/>
        <color theme="1"/>
        <rFont val="新細明體"/>
        <family val="1"/>
        <charset val="136"/>
      </rPr>
      <t>故意殺人（</t>
    </r>
    <r>
      <rPr>
        <sz val="11"/>
        <color theme="1"/>
        <rFont val="Times New Roman"/>
        <family val="1"/>
      </rPr>
      <t>murder</t>
    </r>
    <r>
      <rPr>
        <sz val="11"/>
        <color theme="1"/>
        <rFont val="新細明體"/>
        <family val="1"/>
        <charset val="136"/>
      </rPr>
      <t>）、臨時起意殺人（</t>
    </r>
    <r>
      <rPr>
        <sz val="11"/>
        <color theme="1"/>
        <rFont val="Times New Roman"/>
        <family val="1"/>
      </rPr>
      <t>manslaughter</t>
    </r>
    <r>
      <rPr>
        <sz val="11"/>
        <color theme="1"/>
        <rFont val="新細明體"/>
        <family val="1"/>
        <charset val="136"/>
      </rPr>
      <t>）及殺嬰（</t>
    </r>
    <r>
      <rPr>
        <sz val="11"/>
        <color theme="1"/>
        <rFont val="Times New Roman"/>
        <family val="1"/>
      </rPr>
      <t>infanticide</t>
    </r>
    <r>
      <rPr>
        <sz val="11"/>
        <color theme="1"/>
        <rFont val="新細明體"/>
        <family val="1"/>
        <charset val="136"/>
      </rPr>
      <t>）</t>
    </r>
    <phoneticPr fontId="6" type="noConversion"/>
  </si>
  <si>
    <r>
      <rPr>
        <sz val="11"/>
        <color theme="1"/>
        <rFont val="新細明體"/>
        <family val="1"/>
        <charset val="136"/>
      </rPr>
      <t>美國</t>
    </r>
    <r>
      <rPr>
        <sz val="11"/>
        <color theme="1"/>
        <rFont val="Times New Roman"/>
        <family val="1"/>
      </rPr>
      <t xml:space="preserve">  </t>
    </r>
    <r>
      <rPr>
        <sz val="11"/>
        <color theme="1"/>
        <rFont val="新細明體"/>
        <family val="1"/>
        <charset val="136"/>
      </rPr>
      <t>故意殺人（</t>
    </r>
    <r>
      <rPr>
        <sz val="11"/>
        <color theme="1"/>
        <rFont val="Times New Roman"/>
        <family val="1"/>
      </rPr>
      <t>murder</t>
    </r>
    <r>
      <rPr>
        <sz val="11"/>
        <color theme="1"/>
        <rFont val="新細明體"/>
        <family val="1"/>
        <charset val="136"/>
      </rPr>
      <t>）、非預謀故意殺人（</t>
    </r>
    <r>
      <rPr>
        <sz val="11"/>
        <color theme="1"/>
        <rFont val="Times New Roman"/>
        <family val="1"/>
      </rPr>
      <t>nonnegligent manslaughter</t>
    </r>
    <r>
      <rPr>
        <sz val="11"/>
        <color theme="1"/>
        <rFont val="新細明體"/>
        <family val="1"/>
        <charset val="136"/>
      </rPr>
      <t>）</t>
    </r>
    <r>
      <rPr>
        <sz val="11"/>
        <color theme="1"/>
        <rFont val="Times New Roman"/>
        <family val="1"/>
      </rPr>
      <t>(</t>
    </r>
    <r>
      <rPr>
        <sz val="11"/>
        <color theme="1"/>
        <rFont val="新細明體"/>
        <family val="1"/>
        <charset val="136"/>
      </rPr>
      <t>不含未遂</t>
    </r>
    <r>
      <rPr>
        <sz val="11"/>
        <color theme="1"/>
        <rFont val="Times New Roman"/>
        <family val="1"/>
      </rPr>
      <t>)</t>
    </r>
    <phoneticPr fontId="6" type="noConversion"/>
  </si>
  <si>
    <r>
      <rPr>
        <sz val="11"/>
        <color theme="1"/>
        <rFont val="新細明體"/>
        <family val="1"/>
        <charset val="136"/>
      </rPr>
      <t>瑞典</t>
    </r>
    <r>
      <rPr>
        <sz val="11"/>
        <color theme="1"/>
        <rFont val="Times New Roman"/>
        <family val="1"/>
      </rPr>
      <t xml:space="preserve">  </t>
    </r>
    <r>
      <rPr>
        <sz val="11"/>
        <color theme="1"/>
        <rFont val="新細明體"/>
        <family val="1"/>
        <charset val="136"/>
      </rPr>
      <t>故意殺人（</t>
    </r>
    <r>
      <rPr>
        <sz val="11"/>
        <color theme="1"/>
        <rFont val="Times New Roman"/>
        <family val="1"/>
      </rPr>
      <t>murder</t>
    </r>
    <r>
      <rPr>
        <sz val="11"/>
        <color theme="1"/>
        <rFont val="新細明體"/>
        <family val="1"/>
        <charset val="136"/>
      </rPr>
      <t>）、臨時起意殺人（</t>
    </r>
    <r>
      <rPr>
        <sz val="11"/>
        <color theme="1"/>
        <rFont val="Times New Roman"/>
        <family val="1"/>
      </rPr>
      <t>manslaughter</t>
    </r>
    <r>
      <rPr>
        <sz val="11"/>
        <color theme="1"/>
        <rFont val="新細明體"/>
        <family val="1"/>
        <charset val="136"/>
      </rPr>
      <t>）</t>
    </r>
    <phoneticPr fontId="6" type="noConversion"/>
  </si>
  <si>
    <r>
      <t xml:space="preserve">2. </t>
    </r>
    <r>
      <rPr>
        <sz val="11"/>
        <color theme="1"/>
        <rFont val="新細明體"/>
        <family val="1"/>
        <charset val="136"/>
      </rPr>
      <t>瑞典</t>
    </r>
    <r>
      <rPr>
        <sz val="11"/>
        <color theme="1"/>
        <rFont val="Times New Roman"/>
        <family val="1"/>
      </rPr>
      <t>108</t>
    </r>
    <r>
      <rPr>
        <sz val="11"/>
        <color theme="1"/>
        <rFont val="新細明體"/>
        <family val="1"/>
        <charset val="136"/>
      </rPr>
      <t>年數據，依表</t>
    </r>
    <r>
      <rPr>
        <sz val="11"/>
        <color theme="1"/>
        <rFont val="Times New Roman"/>
        <family val="1"/>
      </rPr>
      <t>1-4-4</t>
    </r>
    <r>
      <rPr>
        <sz val="11"/>
        <color theme="1"/>
        <rFont val="新細明體"/>
        <family val="1"/>
        <charset val="136"/>
      </rPr>
      <t>參考資料之故意殺人罪案件數，並依瑞典統計局（</t>
    </r>
    <r>
      <rPr>
        <sz val="11"/>
        <color theme="1"/>
        <rFont val="Times New Roman"/>
        <family val="1"/>
      </rPr>
      <t>Statistics Sweden</t>
    </r>
    <r>
      <rPr>
        <sz val="11"/>
        <color theme="1"/>
        <rFont val="新細明體"/>
        <family val="1"/>
        <charset val="136"/>
      </rPr>
      <t>）所提供之</t>
    </r>
    <r>
      <rPr>
        <sz val="11"/>
        <color theme="1"/>
        <rFont val="Times New Roman"/>
        <family val="1"/>
      </rPr>
      <t>108</t>
    </r>
    <r>
      <rPr>
        <sz val="11"/>
        <color theme="1"/>
        <rFont val="新細明體"/>
        <family val="1"/>
        <charset val="136"/>
      </rPr>
      <t>年期中人口數計算而得。</t>
    </r>
    <r>
      <rPr>
        <sz val="11"/>
        <color theme="1"/>
        <rFont val="Times New Roman"/>
        <family val="1"/>
      </rPr>
      <t>https://www.scb.se/en/finding-statistics/statistics-by-subject-area/population/population-composition/population-statistics/ (retrieved on 2020/08/05)</t>
    </r>
    <phoneticPr fontId="61" type="noConversion"/>
  </si>
  <si>
    <r>
      <t xml:space="preserve">3. </t>
    </r>
    <r>
      <rPr>
        <sz val="12"/>
        <color theme="1"/>
        <rFont val="細明體"/>
        <family val="3"/>
        <charset val="136"/>
      </rPr>
      <t>英國</t>
    </r>
    <r>
      <rPr>
        <sz val="12"/>
        <color theme="1"/>
        <rFont val="Times New Roman"/>
        <family val="1"/>
      </rPr>
      <t>107</t>
    </r>
    <r>
      <rPr>
        <sz val="12"/>
        <color theme="1"/>
        <rFont val="細明體"/>
        <family val="3"/>
        <charset val="136"/>
      </rPr>
      <t>年</t>
    </r>
    <r>
      <rPr>
        <sz val="12"/>
        <color theme="1"/>
        <rFont val="Times New Roman"/>
        <family val="1"/>
      </rPr>
      <t>-108</t>
    </r>
    <r>
      <rPr>
        <sz val="12"/>
        <color theme="1"/>
        <rFont val="細明體"/>
        <family val="3"/>
        <charset val="136"/>
      </rPr>
      <t>年數據不含曼徹斯特地區。</t>
    </r>
    <phoneticPr fontId="61" type="noConversion"/>
  </si>
  <si>
    <r>
      <rPr>
        <sz val="15"/>
        <rFont val="新細明體"/>
        <family val="1"/>
        <charset val="136"/>
      </rPr>
      <t>表</t>
    </r>
    <r>
      <rPr>
        <sz val="15"/>
        <rFont val="Times New Roman"/>
        <family val="1"/>
      </rPr>
      <t>1-4-5</t>
    </r>
    <r>
      <rPr>
        <sz val="15"/>
        <rFont val="新細明體"/>
        <family val="1"/>
        <charset val="136"/>
      </rPr>
      <t>　近</t>
    </r>
    <r>
      <rPr>
        <sz val="15"/>
        <rFont val="Times New Roman"/>
        <family val="1"/>
      </rPr>
      <t>10</t>
    </r>
    <r>
      <rPr>
        <sz val="15"/>
        <rFont val="新細明體"/>
        <family val="1"/>
        <charset val="136"/>
      </rPr>
      <t>年各國強盜犯罪之犯罪率趨勢</t>
    </r>
    <phoneticPr fontId="61" type="noConversion"/>
  </si>
  <si>
    <r>
      <rPr>
        <sz val="11"/>
        <color theme="1"/>
        <rFont val="新細明體"/>
        <family val="1"/>
        <charset val="136"/>
      </rPr>
      <t>美國</t>
    </r>
    <phoneticPr fontId="6" type="noConversion"/>
  </si>
  <si>
    <r>
      <rPr>
        <sz val="12"/>
        <color theme="1"/>
        <rFont val="新細明體"/>
        <family val="1"/>
        <charset val="136"/>
      </rPr>
      <t>瑞典</t>
    </r>
    <phoneticPr fontId="61" type="noConversion"/>
  </si>
  <si>
    <r>
      <rPr>
        <sz val="11"/>
        <color theme="1"/>
        <rFont val="新細明體"/>
        <family val="1"/>
        <charset val="136"/>
      </rPr>
      <t>資料來源：</t>
    </r>
    <phoneticPr fontId="6" type="noConversion"/>
  </si>
  <si>
    <r>
      <rPr>
        <sz val="11"/>
        <color theme="1"/>
        <rFont val="新細明體"/>
        <family val="1"/>
        <charset val="136"/>
      </rPr>
      <t>臺灣</t>
    </r>
    <r>
      <rPr>
        <sz val="11"/>
        <color theme="1"/>
        <rFont val="Times New Roman"/>
        <family val="1"/>
      </rPr>
      <t xml:space="preserve"> 2020</t>
    </r>
    <r>
      <rPr>
        <sz val="11"/>
        <color theme="1"/>
        <rFont val="新細明體"/>
        <family val="1"/>
        <charset val="136"/>
      </rPr>
      <t>年</t>
    </r>
    <r>
      <rPr>
        <sz val="11"/>
        <color theme="1"/>
        <rFont val="Times New Roman"/>
        <family val="1"/>
      </rPr>
      <t xml:space="preserve"> </t>
    </r>
    <r>
      <rPr>
        <sz val="11"/>
        <color theme="1"/>
        <rFont val="新細明體"/>
        <family val="1"/>
        <charset val="136"/>
      </rPr>
      <t>中華民國刑案統計</t>
    </r>
    <phoneticPr fontId="6" type="noConversion"/>
  </si>
  <si>
    <r>
      <rPr>
        <sz val="11"/>
        <rFont val="新細明體"/>
        <family val="1"/>
        <charset val="136"/>
      </rPr>
      <t>日本</t>
    </r>
    <r>
      <rPr>
        <sz val="11"/>
        <rFont val="Times New Roman"/>
        <family val="1"/>
      </rPr>
      <t xml:space="preserve">  2020</t>
    </r>
    <r>
      <rPr>
        <sz val="11"/>
        <rFont val="新細明體"/>
        <family val="1"/>
        <charset val="136"/>
      </rPr>
      <t>年：</t>
    </r>
    <r>
      <rPr>
        <sz val="11"/>
        <rFont val="Times New Roman"/>
        <family val="1"/>
      </rPr>
      <t>(</t>
    </r>
    <r>
      <rPr>
        <sz val="11"/>
        <rFont val="新細明體"/>
        <family val="1"/>
        <charset val="136"/>
      </rPr>
      <t>本書自行依下列資料計算</t>
    </r>
    <r>
      <rPr>
        <sz val="11"/>
        <rFont val="Times New Roman"/>
        <family val="1"/>
      </rPr>
      <t>)</t>
    </r>
    <r>
      <rPr>
        <sz val="11"/>
        <rFont val="新細明體"/>
        <family val="1"/>
        <charset val="136"/>
      </rPr>
      <t xml:space="preserve">
</t>
    </r>
    <r>
      <rPr>
        <sz val="11"/>
        <rFont val="Times New Roman"/>
        <family val="1"/>
      </rPr>
      <t xml:space="preserve">1. </t>
    </r>
    <r>
      <rPr>
        <sz val="11"/>
        <rFont val="新細明體"/>
        <family val="1"/>
        <charset val="136"/>
      </rPr>
      <t>令和元年の刑法犯に関する統計資料。</t>
    </r>
    <r>
      <rPr>
        <sz val="11"/>
        <rFont val="Times New Roman"/>
        <family val="1"/>
      </rPr>
      <t xml:space="preserve">https://www.npa.go.jp/toukei/seianki/R01/r01keihouhantoukeisiryou.pdf
    (retrieved on 2020/10/12)
2. </t>
    </r>
    <r>
      <rPr>
        <sz val="11"/>
        <rFont val="新細明體"/>
        <family val="1"/>
        <charset val="136"/>
      </rPr>
      <t>人口推計。</t>
    </r>
    <r>
      <rPr>
        <sz val="11"/>
        <rFont val="Times New Roman"/>
        <family val="1"/>
      </rPr>
      <t>https://www.e-stat.go.jp/stat-search/files?page=1&amp;layout=datalist&amp;toukei=00200524&amp;tstat=000000090001&amp;cycle=1&amp;tclass1=000001011678 (retrieved on 2020/10/12)</t>
    </r>
    <phoneticPr fontId="6" type="noConversion"/>
  </si>
  <si>
    <r>
      <rPr>
        <sz val="11"/>
        <rFont val="新細明體"/>
        <family val="1"/>
        <charset val="136"/>
      </rPr>
      <t>美國</t>
    </r>
    <r>
      <rPr>
        <sz val="11"/>
        <rFont val="Times New Roman"/>
        <family val="1"/>
      </rPr>
      <t xml:space="preserve">  2020</t>
    </r>
    <r>
      <rPr>
        <sz val="11"/>
        <rFont val="新細明體"/>
        <family val="1"/>
        <charset val="136"/>
      </rPr>
      <t>年</t>
    </r>
    <r>
      <rPr>
        <sz val="11"/>
        <rFont val="Times New Roman"/>
        <family val="1"/>
      </rPr>
      <t xml:space="preserve"> 2019 Crime in the United States.https://ucr.fbi.gov/crime-in-the-u.s/2019/crime-in-the-u.s.-2019/topic-pages/tables/table-1 (retrieved on 2020/10/05)</t>
    </r>
    <phoneticPr fontId="6" type="noConversion"/>
  </si>
  <si>
    <r>
      <rPr>
        <sz val="11"/>
        <rFont val="新細明體"/>
        <family val="1"/>
        <charset val="136"/>
      </rPr>
      <t>瑞典</t>
    </r>
    <r>
      <rPr>
        <sz val="11"/>
        <rFont val="Times New Roman"/>
        <family val="1"/>
      </rPr>
      <t xml:space="preserve">  2020</t>
    </r>
    <r>
      <rPr>
        <sz val="11"/>
        <rFont val="新細明體"/>
        <family val="1"/>
        <charset val="136"/>
      </rPr>
      <t>年</t>
    </r>
    <r>
      <rPr>
        <sz val="11"/>
        <rFont val="Times New Roman"/>
        <family val="1"/>
      </rPr>
      <t xml:space="preserve"> Reported offences, 1950-2019. https://www.bra.se/bra-in-english/home/crime-and-statistics/crime-statistics.html (retrieved on 2020/08/05)</t>
    </r>
    <phoneticPr fontId="61" type="noConversion"/>
  </si>
  <si>
    <t>說明：</t>
    <phoneticPr fontId="61" type="noConversion"/>
  </si>
  <si>
    <r>
      <rPr>
        <sz val="12"/>
        <color theme="1"/>
        <rFont val="新細明體"/>
        <family val="1"/>
        <charset val="136"/>
      </rPr>
      <t>英國</t>
    </r>
    <r>
      <rPr>
        <sz val="12"/>
        <color theme="1"/>
        <rFont val="Times New Roman"/>
        <family val="1"/>
      </rPr>
      <t>107</t>
    </r>
    <r>
      <rPr>
        <sz val="12"/>
        <color theme="1"/>
        <rFont val="新細明體"/>
        <family val="1"/>
        <charset val="136"/>
      </rPr>
      <t>年</t>
    </r>
    <r>
      <rPr>
        <sz val="12"/>
        <color theme="1"/>
        <rFont val="Times New Roman"/>
        <family val="1"/>
      </rPr>
      <t>-108</t>
    </r>
    <r>
      <rPr>
        <sz val="12"/>
        <color theme="1"/>
        <rFont val="新細明體"/>
        <family val="1"/>
        <charset val="136"/>
      </rPr>
      <t>年數據不含曼徹斯特地區。</t>
    </r>
    <phoneticPr fontId="61" type="noConversion"/>
  </si>
  <si>
    <r>
      <rPr>
        <sz val="15"/>
        <rFont val="新細明體"/>
        <family val="1"/>
        <charset val="136"/>
      </rPr>
      <t>表</t>
    </r>
    <r>
      <rPr>
        <sz val="15"/>
        <rFont val="Times New Roman"/>
        <family val="1"/>
      </rPr>
      <t>1-4-6</t>
    </r>
    <r>
      <rPr>
        <sz val="15"/>
        <rFont val="新細明體"/>
        <family val="1"/>
        <charset val="136"/>
      </rPr>
      <t>　近</t>
    </r>
    <r>
      <rPr>
        <sz val="15"/>
        <rFont val="Times New Roman"/>
        <family val="1"/>
      </rPr>
      <t>10</t>
    </r>
    <r>
      <rPr>
        <sz val="15"/>
        <rFont val="新細明體"/>
        <family val="1"/>
        <charset val="136"/>
      </rPr>
      <t>年各國強制性交犯罪之犯罪率趨勢</t>
    </r>
    <phoneticPr fontId="61" type="noConversion"/>
  </si>
  <si>
    <r>
      <rPr>
        <sz val="11"/>
        <color theme="1"/>
        <rFont val="新細明體"/>
        <family val="1"/>
        <charset val="136"/>
      </rPr>
      <t>日本</t>
    </r>
    <phoneticPr fontId="6" type="noConversion"/>
  </si>
  <si>
    <r>
      <rPr>
        <sz val="11"/>
        <color theme="1"/>
        <rFont val="新細明體"/>
        <family val="1"/>
        <charset val="136"/>
      </rPr>
      <t>英國</t>
    </r>
    <phoneticPr fontId="6" type="noConversion"/>
  </si>
  <si>
    <r>
      <rPr>
        <sz val="11"/>
        <color theme="1"/>
        <rFont val="新細明體"/>
        <family val="1"/>
        <charset val="136"/>
      </rPr>
      <t>瑞典</t>
    </r>
    <phoneticPr fontId="6" type="noConversion"/>
  </si>
  <si>
    <r>
      <rPr>
        <sz val="11"/>
        <color theme="1"/>
        <rFont val="新細明體"/>
        <family val="1"/>
        <charset val="136"/>
      </rPr>
      <t>瑞典</t>
    </r>
    <phoneticPr fontId="6" type="noConversion"/>
  </si>
  <si>
    <r>
      <t>100年</t>
    </r>
    <r>
      <rPr>
        <sz val="11"/>
        <color theme="1"/>
        <rFont val="新細明體"/>
        <family val="1"/>
        <charset val="136"/>
      </rPr>
      <t/>
    </r>
  </si>
  <si>
    <r>
      <t>101年</t>
    </r>
    <r>
      <rPr>
        <sz val="11"/>
        <color theme="1"/>
        <rFont val="新細明體"/>
        <family val="1"/>
        <charset val="136"/>
      </rPr>
      <t/>
    </r>
  </si>
  <si>
    <r>
      <t>102年</t>
    </r>
    <r>
      <rPr>
        <sz val="11"/>
        <color theme="1"/>
        <rFont val="新細明體"/>
        <family val="1"/>
        <charset val="136"/>
      </rPr>
      <t/>
    </r>
  </si>
  <si>
    <r>
      <t>103年</t>
    </r>
    <r>
      <rPr>
        <sz val="11"/>
        <color theme="1"/>
        <rFont val="新細明體"/>
        <family val="1"/>
        <charset val="136"/>
      </rPr>
      <t/>
    </r>
  </si>
  <si>
    <r>
      <t>104年</t>
    </r>
    <r>
      <rPr>
        <sz val="11"/>
        <color theme="1"/>
        <rFont val="新細明體"/>
        <family val="1"/>
        <charset val="136"/>
      </rPr>
      <t/>
    </r>
  </si>
  <si>
    <r>
      <t>105年</t>
    </r>
    <r>
      <rPr>
        <sz val="11"/>
        <color theme="1"/>
        <rFont val="新細明體"/>
        <family val="1"/>
        <charset val="136"/>
      </rPr>
      <t/>
    </r>
  </si>
  <si>
    <r>
      <t>106年</t>
    </r>
    <r>
      <rPr>
        <sz val="11"/>
        <color theme="1"/>
        <rFont val="新細明體"/>
        <family val="1"/>
        <charset val="136"/>
      </rPr>
      <t/>
    </r>
  </si>
  <si>
    <r>
      <t>107年</t>
    </r>
    <r>
      <rPr>
        <sz val="11"/>
        <color theme="1"/>
        <rFont val="新細明體"/>
        <family val="1"/>
        <charset val="136"/>
      </rPr>
      <t/>
    </r>
  </si>
  <si>
    <r>
      <t>108年</t>
    </r>
    <r>
      <rPr>
        <sz val="11"/>
        <color theme="1"/>
        <rFont val="新細明體"/>
        <family val="1"/>
        <charset val="136"/>
      </rPr>
      <t/>
    </r>
  </si>
  <si>
    <r>
      <rPr>
        <sz val="11"/>
        <color theme="1"/>
        <rFont val="新細明體"/>
        <family val="1"/>
        <charset val="136"/>
      </rPr>
      <t>臺灣</t>
    </r>
    <r>
      <rPr>
        <sz val="11"/>
        <color theme="1"/>
        <rFont val="Times New Roman"/>
        <family val="1"/>
      </rPr>
      <t xml:space="preserve"> 2020</t>
    </r>
    <r>
      <rPr>
        <sz val="11"/>
        <color theme="1"/>
        <rFont val="新細明體"/>
        <family val="1"/>
        <charset val="136"/>
      </rPr>
      <t>年</t>
    </r>
    <r>
      <rPr>
        <sz val="11"/>
        <color theme="1"/>
        <rFont val="Times New Roman"/>
        <family val="1"/>
      </rPr>
      <t xml:space="preserve"> </t>
    </r>
    <r>
      <rPr>
        <sz val="11"/>
        <color theme="1"/>
        <rFont val="新細明體"/>
        <family val="1"/>
        <charset val="136"/>
      </rPr>
      <t>中華民國刑案統計</t>
    </r>
    <phoneticPr fontId="6" type="noConversion"/>
  </si>
  <si>
    <r>
      <rPr>
        <sz val="11"/>
        <rFont val="新細明體"/>
        <family val="1"/>
        <charset val="136"/>
      </rPr>
      <t>日本</t>
    </r>
    <r>
      <rPr>
        <sz val="11"/>
        <rFont val="Times New Roman"/>
        <family val="1"/>
      </rPr>
      <t xml:space="preserve">  2020</t>
    </r>
    <r>
      <rPr>
        <sz val="11"/>
        <rFont val="新細明體"/>
        <family val="1"/>
        <charset val="136"/>
      </rPr>
      <t>年：</t>
    </r>
    <r>
      <rPr>
        <sz val="11"/>
        <rFont val="Times New Roman"/>
        <family val="1"/>
      </rPr>
      <t>(</t>
    </r>
    <r>
      <rPr>
        <sz val="11"/>
        <rFont val="新細明體"/>
        <family val="1"/>
        <charset val="136"/>
      </rPr>
      <t>本書自行依下列資料計算</t>
    </r>
    <r>
      <rPr>
        <sz val="11"/>
        <rFont val="Times New Roman"/>
        <family val="1"/>
      </rPr>
      <t>)</t>
    </r>
    <r>
      <rPr>
        <sz val="11"/>
        <rFont val="新細明體"/>
        <family val="1"/>
        <charset val="136"/>
      </rPr>
      <t xml:space="preserve">
</t>
    </r>
    <r>
      <rPr>
        <sz val="11"/>
        <rFont val="Times New Roman"/>
        <family val="1"/>
      </rPr>
      <t xml:space="preserve">1. </t>
    </r>
    <r>
      <rPr>
        <sz val="11"/>
        <rFont val="新細明體"/>
        <family val="1"/>
        <charset val="136"/>
      </rPr>
      <t>令和元年の刑法犯に関する統計資料。</t>
    </r>
    <r>
      <rPr>
        <sz val="11"/>
        <rFont val="Times New Roman"/>
        <family val="1"/>
      </rPr>
      <t xml:space="preserve">https://www.npa.go.jp/toukei/seianki/R01/r01keihouhantoukeisiryou.pdf
    (retrieved on 2020/10/12)
2. </t>
    </r>
    <r>
      <rPr>
        <sz val="11"/>
        <rFont val="新細明體"/>
        <family val="1"/>
        <charset val="136"/>
      </rPr>
      <t>人口推計。</t>
    </r>
    <r>
      <rPr>
        <sz val="11"/>
        <rFont val="Times New Roman"/>
        <family val="1"/>
      </rPr>
      <t>https://www.e-stat.go.jp/stat-search/files?page=1&amp;layout=datalist&amp;toukei=00200524&amp;tstat=000000090001&amp;cycle=1&amp;tclass1=000001011678 (retrieved on 2020/10/12)</t>
    </r>
    <phoneticPr fontId="6" type="noConversion"/>
  </si>
  <si>
    <r>
      <rPr>
        <sz val="11"/>
        <rFont val="新細明體"/>
        <family val="1"/>
        <charset val="136"/>
      </rPr>
      <t>美國</t>
    </r>
    <r>
      <rPr>
        <sz val="11"/>
        <rFont val="Times New Roman"/>
        <family val="1"/>
      </rPr>
      <t xml:space="preserve">  2020</t>
    </r>
    <r>
      <rPr>
        <sz val="11"/>
        <rFont val="新細明體"/>
        <family val="1"/>
        <charset val="136"/>
      </rPr>
      <t>年</t>
    </r>
    <r>
      <rPr>
        <sz val="11"/>
        <rFont val="Times New Roman"/>
        <family val="1"/>
      </rPr>
      <t xml:space="preserve"> 2019 Crime in the United States.https://ucr.fbi.gov/crime-in-the-u.s/2019/crime-in-the-u.s.-2019/topic-pages/tables/table-1 (retrieved on 2020/10/05)</t>
    </r>
    <phoneticPr fontId="6" type="noConversion"/>
  </si>
  <si>
    <r>
      <rPr>
        <sz val="11"/>
        <rFont val="新細明體"/>
        <family val="1"/>
        <charset val="136"/>
      </rPr>
      <t>瑞典</t>
    </r>
    <r>
      <rPr>
        <sz val="11"/>
        <rFont val="Times New Roman"/>
        <family val="1"/>
      </rPr>
      <t xml:space="preserve">  2020</t>
    </r>
    <r>
      <rPr>
        <sz val="11"/>
        <rFont val="新細明體"/>
        <family val="1"/>
        <charset val="136"/>
      </rPr>
      <t>年</t>
    </r>
    <r>
      <rPr>
        <sz val="11"/>
        <rFont val="Times New Roman"/>
        <family val="1"/>
      </rPr>
      <t xml:space="preserve"> Reported offences, 1950-2019. https://www.bra.se/bra-in-english/home/crime-and-statistics/crime-statistics.html (retrieved on 2020/08/05)</t>
    </r>
    <phoneticPr fontId="61" type="noConversion"/>
  </si>
  <si>
    <t>說明：</t>
    <phoneticPr fontId="61" type="noConversion"/>
  </si>
  <si>
    <r>
      <t xml:space="preserve">1. </t>
    </r>
    <r>
      <rPr>
        <sz val="12"/>
        <color theme="1"/>
        <rFont val="細明體"/>
        <family val="3"/>
        <charset val="136"/>
      </rPr>
      <t>英國</t>
    </r>
    <r>
      <rPr>
        <sz val="12"/>
        <color theme="1"/>
        <rFont val="Times New Roman"/>
        <family val="1"/>
      </rPr>
      <t>107</t>
    </r>
    <r>
      <rPr>
        <sz val="12"/>
        <color theme="1"/>
        <rFont val="細明體"/>
        <family val="3"/>
        <charset val="136"/>
      </rPr>
      <t>年</t>
    </r>
    <r>
      <rPr>
        <sz val="12"/>
        <color theme="1"/>
        <rFont val="Times New Roman"/>
        <family val="1"/>
      </rPr>
      <t>-108</t>
    </r>
    <r>
      <rPr>
        <sz val="12"/>
        <color theme="1"/>
        <rFont val="細明體"/>
        <family val="3"/>
        <charset val="136"/>
      </rPr>
      <t>年數據不含曼徹斯特地區。</t>
    </r>
    <phoneticPr fontId="61" type="noConversion"/>
  </si>
  <si>
    <r>
      <t xml:space="preserve">2. </t>
    </r>
    <r>
      <rPr>
        <sz val="12"/>
        <color theme="1"/>
        <rFont val="細明體"/>
        <family val="3"/>
        <charset val="136"/>
      </rPr>
      <t>美國</t>
    </r>
    <r>
      <rPr>
        <sz val="12"/>
        <color theme="1"/>
        <rFont val="Times New Roman"/>
        <family val="1"/>
      </rPr>
      <t>99</t>
    </r>
    <r>
      <rPr>
        <sz val="12"/>
        <color theme="1"/>
        <rFont val="細明體"/>
        <family val="3"/>
        <charset val="136"/>
      </rPr>
      <t>年至</t>
    </r>
    <r>
      <rPr>
        <sz val="12"/>
        <color theme="1"/>
        <rFont val="Times New Roman"/>
        <family val="1"/>
      </rPr>
      <t>101</t>
    </r>
    <r>
      <rPr>
        <sz val="12"/>
        <color theme="1"/>
        <rFont val="細明體"/>
        <family val="3"/>
        <charset val="136"/>
      </rPr>
      <t>年數據欄位為</t>
    </r>
    <r>
      <rPr>
        <sz val="12"/>
        <color theme="1"/>
        <rFont val="Times New Roman"/>
        <family val="1"/>
      </rPr>
      <t>"Legacy Rape"</t>
    </r>
    <r>
      <rPr>
        <sz val="12"/>
        <color theme="1"/>
        <rFont val="細明體"/>
        <family val="3"/>
        <charset val="136"/>
      </rPr>
      <t>，其後為</t>
    </r>
    <r>
      <rPr>
        <sz val="12"/>
        <color theme="1"/>
        <rFont val="Times New Roman"/>
        <family val="1"/>
      </rPr>
      <t>"Revised Rape"</t>
    </r>
    <r>
      <rPr>
        <sz val="12"/>
        <color theme="1"/>
        <rFont val="細明體"/>
        <family val="3"/>
        <charset val="136"/>
      </rPr>
      <t>。說明詳如：</t>
    </r>
    <r>
      <rPr>
        <sz val="12"/>
        <color theme="1"/>
        <rFont val="Times New Roman"/>
        <family val="1"/>
      </rPr>
      <t>https://www.bjs.gov/ucrdata/offenses.cfm 
    (retrieved on 2020/10/12)</t>
    </r>
    <phoneticPr fontId="61" type="noConversion"/>
  </si>
  <si>
    <r>
      <rPr>
        <sz val="15"/>
        <rFont val="新細明體"/>
        <family val="1"/>
        <charset val="136"/>
      </rPr>
      <t>表</t>
    </r>
    <r>
      <rPr>
        <sz val="15"/>
        <rFont val="Times New Roman"/>
        <family val="1"/>
      </rPr>
      <t>1-4-1</t>
    </r>
    <r>
      <rPr>
        <sz val="15"/>
        <rFont val="新細明體"/>
        <family val="1"/>
        <charset val="136"/>
      </rPr>
      <t>　近</t>
    </r>
    <r>
      <rPr>
        <sz val="15"/>
        <rFont val="Times New Roman"/>
        <family val="1"/>
      </rPr>
      <t>10</t>
    </r>
    <r>
      <rPr>
        <sz val="15"/>
        <rFont val="新細明體"/>
        <family val="1"/>
        <charset val="136"/>
      </rPr>
      <t>年各國犯罪率趨勢</t>
    </r>
    <phoneticPr fontId="61" type="noConversion"/>
  </si>
  <si>
    <r>
      <rPr>
        <sz val="11"/>
        <rFont val="新細明體"/>
        <family val="1"/>
        <charset val="136"/>
      </rPr>
      <t>臺灣</t>
    </r>
    <phoneticPr fontId="6" type="noConversion"/>
  </si>
  <si>
    <r>
      <rPr>
        <sz val="11"/>
        <rFont val="新細明體"/>
        <family val="1"/>
        <charset val="136"/>
      </rPr>
      <t>臺灣</t>
    </r>
    <r>
      <rPr>
        <sz val="11"/>
        <rFont val="Times New Roman"/>
        <family val="1"/>
      </rPr>
      <t xml:space="preserve">  2020</t>
    </r>
    <r>
      <rPr>
        <sz val="11"/>
        <rFont val="新細明體"/>
        <family val="1"/>
        <charset val="136"/>
      </rPr>
      <t>年</t>
    </r>
    <r>
      <rPr>
        <sz val="11"/>
        <rFont val="Times New Roman"/>
        <family val="1"/>
      </rPr>
      <t xml:space="preserve"> </t>
    </r>
    <r>
      <rPr>
        <sz val="11"/>
        <rFont val="新細明體"/>
        <family val="1"/>
        <charset val="136"/>
      </rPr>
      <t>中華民國刑案統計</t>
    </r>
    <phoneticPr fontId="6" type="noConversion"/>
  </si>
  <si>
    <r>
      <rPr>
        <sz val="11"/>
        <rFont val="新細明體"/>
        <family val="1"/>
        <charset val="136"/>
      </rPr>
      <t>日本</t>
    </r>
    <r>
      <rPr>
        <sz val="11"/>
        <rFont val="Times New Roman"/>
        <family val="1"/>
      </rPr>
      <t xml:space="preserve">  2020</t>
    </r>
    <r>
      <rPr>
        <sz val="11"/>
        <rFont val="新細明體"/>
        <family val="1"/>
        <charset val="136"/>
      </rPr>
      <t>年：</t>
    </r>
    <r>
      <rPr>
        <sz val="11"/>
        <rFont val="Times New Roman"/>
        <family val="1"/>
      </rPr>
      <t>(</t>
    </r>
    <r>
      <rPr>
        <sz val="11"/>
        <rFont val="新細明體"/>
        <family val="1"/>
        <charset val="136"/>
      </rPr>
      <t>本書自行依下列資料計算</t>
    </r>
    <r>
      <rPr>
        <sz val="11"/>
        <rFont val="Times New Roman"/>
        <family val="1"/>
      </rPr>
      <t xml:space="preserve">)
1. </t>
    </r>
    <r>
      <rPr>
        <sz val="11"/>
        <rFont val="新細明體"/>
        <family val="1"/>
        <charset val="136"/>
      </rPr>
      <t>令和元年の刑法犯に関する統計資料。</t>
    </r>
    <r>
      <rPr>
        <sz val="11"/>
        <rFont val="Times New Roman"/>
        <family val="1"/>
      </rPr>
      <t xml:space="preserve">https://www.npa.go.jp/toukei/seianki/R01/r01keihouhantoukeisiryou.pdf
    (retrieved on 2020/10/12)
2. </t>
    </r>
    <r>
      <rPr>
        <sz val="11"/>
        <rFont val="新細明體"/>
        <family val="1"/>
        <charset val="136"/>
      </rPr>
      <t>人口推計。</t>
    </r>
    <r>
      <rPr>
        <sz val="11"/>
        <rFont val="Times New Roman"/>
        <family val="1"/>
      </rPr>
      <t>https://www.e-stat.go.jp/stat-search/files?page=1&amp;layout=datalist&amp;toukei=00200524&amp;tstat=000000090001&amp;cycle=1&amp;tclass1=000001011678 (retrieved on 2020/10/12)</t>
    </r>
    <phoneticPr fontId="6" type="noConversion"/>
  </si>
  <si>
    <r>
      <rPr>
        <sz val="11"/>
        <rFont val="新細明體"/>
        <family val="1"/>
        <charset val="136"/>
      </rPr>
      <t>英國</t>
    </r>
    <r>
      <rPr>
        <sz val="11"/>
        <rFont val="Times New Roman"/>
        <family val="1"/>
      </rPr>
      <t xml:space="preserve">  2020</t>
    </r>
    <r>
      <rPr>
        <sz val="11"/>
        <rFont val="新細明體"/>
        <family val="1"/>
        <charset val="136"/>
      </rPr>
      <t>年</t>
    </r>
    <r>
      <rPr>
        <sz val="11"/>
        <rFont val="Times New Roman"/>
        <family val="1"/>
      </rPr>
      <t xml:space="preserve"> Crime in England &amp; Wales, year ending December 2019 - Appendix tables. https://www.ons.gov.uk/peoplepopulationandcommunity/crimeandjustice/datasets/crimeinenglandandwalesappendixtables (retrieved on 2020/08/05)</t>
    </r>
    <phoneticPr fontId="6" type="noConversion"/>
  </si>
  <si>
    <r>
      <rPr>
        <sz val="11"/>
        <rFont val="新細明體"/>
        <family val="1"/>
        <charset val="136"/>
      </rPr>
      <t>瑞典</t>
    </r>
    <r>
      <rPr>
        <sz val="11"/>
        <rFont val="Times New Roman"/>
        <family val="1"/>
      </rPr>
      <t xml:space="preserve">  2020</t>
    </r>
    <r>
      <rPr>
        <sz val="11"/>
        <rFont val="新細明體"/>
        <family val="1"/>
        <charset val="136"/>
      </rPr>
      <t>年</t>
    </r>
    <r>
      <rPr>
        <sz val="11"/>
        <rFont val="Times New Roman"/>
        <family val="1"/>
      </rPr>
      <t xml:space="preserve"> Reported offences, 1950-2019. https://www.bra.se/bra-in-english/home/crime-and-statistics/crime-statistics.html (retrieved on2020/08/05)</t>
    </r>
    <phoneticPr fontId="61" type="noConversion"/>
  </si>
  <si>
    <r>
      <t xml:space="preserve"> </t>
    </r>
    <r>
      <rPr>
        <sz val="11"/>
        <rFont val="新細明體"/>
        <family val="1"/>
        <charset val="136"/>
      </rPr>
      <t>說　　明：</t>
    </r>
    <phoneticPr fontId="6" type="noConversion"/>
  </si>
  <si>
    <r>
      <t xml:space="preserve">1. </t>
    </r>
    <r>
      <rPr>
        <sz val="11"/>
        <rFont val="新細明體"/>
        <family val="1"/>
        <charset val="136"/>
      </rPr>
      <t>犯罪率</t>
    </r>
    <r>
      <rPr>
        <sz val="11"/>
        <rFont val="Times New Roman"/>
        <family val="1"/>
      </rPr>
      <t xml:space="preserve"> </t>
    </r>
    <r>
      <rPr>
        <sz val="11"/>
        <rFont val="新細明體"/>
        <family val="1"/>
        <charset val="136"/>
      </rPr>
      <t>＝（刑案發生數</t>
    </r>
    <r>
      <rPr>
        <sz val="11"/>
        <rFont val="Times New Roman"/>
        <family val="1"/>
      </rPr>
      <t xml:space="preserve">/ </t>
    </r>
    <r>
      <rPr>
        <sz val="11"/>
        <rFont val="新細明體"/>
        <family val="1"/>
        <charset val="136"/>
      </rPr>
      <t>年中人口數）</t>
    </r>
    <r>
      <rPr>
        <sz val="11"/>
        <rFont val="Times New Roman"/>
        <family val="1"/>
      </rPr>
      <t>x 100,000</t>
    </r>
    <phoneticPr fontId="61" type="noConversion"/>
  </si>
  <si>
    <r>
      <t xml:space="preserve">3. </t>
    </r>
    <r>
      <rPr>
        <sz val="11"/>
        <rFont val="新細明體"/>
        <family val="1"/>
        <charset val="136"/>
      </rPr>
      <t>英國計算犯罪率範圍包括人身暴力犯罪</t>
    </r>
    <r>
      <rPr>
        <sz val="11"/>
        <rFont val="Times New Roman"/>
        <family val="1"/>
      </rPr>
      <t>(Violence against the person)</t>
    </r>
    <r>
      <rPr>
        <sz val="11"/>
        <rFont val="新細明體"/>
        <family val="1"/>
        <charset val="136"/>
      </rPr>
      <t>、性侵害</t>
    </r>
    <r>
      <rPr>
        <sz val="11"/>
        <rFont val="Times New Roman"/>
        <family val="1"/>
      </rPr>
      <t>(Sexual Offences)</t>
    </r>
    <r>
      <rPr>
        <sz val="11"/>
        <rFont val="新細明體"/>
        <family val="1"/>
        <charset val="136"/>
      </rPr>
      <t>、竊盜</t>
    </r>
    <r>
      <rPr>
        <sz val="11"/>
        <rFont val="Times New Roman"/>
        <family val="1"/>
      </rPr>
      <t>(Theft offences)</t>
    </r>
    <r>
      <rPr>
        <sz val="11"/>
        <rFont val="新細明體"/>
        <family val="1"/>
        <charset val="136"/>
      </rPr>
      <t>、破壞和縱火</t>
    </r>
    <r>
      <rPr>
        <sz val="11"/>
        <rFont val="Times New Roman"/>
        <family val="1"/>
      </rPr>
      <t>(Criminal damage and arson)</t>
    </r>
    <r>
      <rPr>
        <sz val="11"/>
        <rFont val="新細明體"/>
        <family val="1"/>
        <charset val="136"/>
      </rPr>
      <t>、毒品犯罪</t>
    </r>
    <r>
      <rPr>
        <sz val="11"/>
        <rFont val="Times New Roman"/>
        <family val="1"/>
      </rPr>
      <t>(Drug Offences)</t>
    </r>
    <r>
      <rPr>
        <sz val="11"/>
        <rFont val="新細明體"/>
        <family val="1"/>
        <charset val="136"/>
      </rPr>
      <t>、持有槍械犯罪</t>
    </r>
    <r>
      <rPr>
        <sz val="11"/>
        <rFont val="Times New Roman"/>
        <family val="1"/>
      </rPr>
      <t>(Possession of weapons offences)</t>
    </r>
    <r>
      <rPr>
        <sz val="11"/>
        <rFont val="新細明體"/>
        <family val="1"/>
        <charset val="136"/>
      </rPr>
      <t>、違反社會秩序</t>
    </r>
    <r>
      <rPr>
        <sz val="11"/>
        <rFont val="Times New Roman"/>
        <family val="1"/>
      </rPr>
      <t>(Public order offences)</t>
    </r>
    <r>
      <rPr>
        <sz val="11"/>
        <rFont val="新細明體"/>
        <family val="1"/>
        <charset val="136"/>
      </rPr>
      <t>、其他各類反社會秩序犯罪</t>
    </r>
    <r>
      <rPr>
        <sz val="11"/>
        <rFont val="Times New Roman"/>
        <family val="1"/>
      </rPr>
      <t>(Miscellaneous crimes against society)</t>
    </r>
    <r>
      <rPr>
        <sz val="11"/>
        <rFont val="新細明體"/>
        <family val="1"/>
        <charset val="136"/>
      </rPr>
      <t>。</t>
    </r>
    <phoneticPr fontId="61" type="noConversion"/>
  </si>
  <si>
    <r>
      <t xml:space="preserve">4. </t>
    </r>
    <r>
      <rPr>
        <sz val="11"/>
        <rFont val="新細明體"/>
        <family val="1"/>
        <charset val="136"/>
      </rPr>
      <t>瑞典計算犯罪率範圍為違反刑法的犯罪</t>
    </r>
    <r>
      <rPr>
        <sz val="11"/>
        <rFont val="Times New Roman"/>
        <family val="1"/>
      </rPr>
      <t>(Crimes against Penal Code)</t>
    </r>
    <r>
      <rPr>
        <sz val="11"/>
        <rFont val="新細明體"/>
        <family val="1"/>
        <charset val="136"/>
      </rPr>
      <t>。</t>
    </r>
    <phoneticPr fontId="61" type="noConversion"/>
  </si>
  <si>
    <r>
      <t xml:space="preserve">5. </t>
    </r>
    <r>
      <rPr>
        <sz val="11"/>
        <rFont val="新細明體"/>
        <family val="1"/>
        <charset val="136"/>
      </rPr>
      <t>美國計算犯罪率範圍為暴力犯罪</t>
    </r>
    <r>
      <rPr>
        <sz val="11"/>
        <rFont val="Times New Roman"/>
        <family val="1"/>
      </rPr>
      <t>(violent crimes)</t>
    </r>
    <r>
      <rPr>
        <sz val="11"/>
        <rFont val="新細明體"/>
        <family val="1"/>
        <charset val="136"/>
      </rPr>
      <t>和財產犯罪</t>
    </r>
    <r>
      <rPr>
        <sz val="11"/>
        <rFont val="Times New Roman"/>
        <family val="1"/>
      </rPr>
      <t>(property crimes)</t>
    </r>
    <r>
      <rPr>
        <sz val="11"/>
        <rFont val="新細明體"/>
        <family val="1"/>
        <charset val="136"/>
      </rPr>
      <t>。</t>
    </r>
    <phoneticPr fontId="61" type="noConversion"/>
  </si>
  <si>
    <r>
      <t xml:space="preserve">6. </t>
    </r>
    <r>
      <rPr>
        <sz val="11"/>
        <rFont val="細明體"/>
        <family val="1"/>
        <charset val="136"/>
      </rPr>
      <t>英國</t>
    </r>
    <r>
      <rPr>
        <sz val="11"/>
        <rFont val="Times New Roman"/>
        <family val="1"/>
      </rPr>
      <t>107</t>
    </r>
    <r>
      <rPr>
        <sz val="11"/>
        <rFont val="細明體"/>
        <family val="1"/>
        <charset val="136"/>
      </rPr>
      <t>年</t>
    </r>
    <r>
      <rPr>
        <sz val="11"/>
        <rFont val="新細明體"/>
        <family val="1"/>
        <charset val="136"/>
      </rPr>
      <t>、</t>
    </r>
    <r>
      <rPr>
        <sz val="11"/>
        <rFont val="Times New Roman"/>
        <family val="1"/>
      </rPr>
      <t>108</t>
    </r>
    <r>
      <rPr>
        <sz val="11"/>
        <rFont val="新細明體"/>
        <family val="1"/>
        <charset val="136"/>
      </rPr>
      <t>年犯罪率未含曼徹斯特地區，且是總犯罪率與詐欺犯罪率之總和。</t>
    </r>
    <phoneticPr fontId="61" type="noConversion"/>
  </si>
  <si>
    <r>
      <t>99</t>
    </r>
    <r>
      <rPr>
        <sz val="11"/>
        <color theme="1"/>
        <rFont val="新細明體"/>
        <family val="1"/>
        <charset val="136"/>
      </rPr>
      <t>年</t>
    </r>
    <phoneticPr fontId="61" type="noConversion"/>
  </si>
  <si>
    <t>(14.57%)</t>
    <phoneticPr fontId="72" type="noConversion"/>
  </si>
  <si>
    <t>(59.35%)</t>
  </si>
  <si>
    <t>(15.16%)</t>
  </si>
  <si>
    <t>(58.21%)</t>
  </si>
  <si>
    <t>(15.50%)</t>
  </si>
  <si>
    <t>(52.88%)</t>
  </si>
  <si>
    <t>(17.17%)</t>
  </si>
  <si>
    <t>(56.21%)</t>
  </si>
  <si>
    <t>(18.71%)</t>
  </si>
  <si>
    <t>(52.60%)</t>
  </si>
  <si>
    <t>(18.56%)</t>
  </si>
  <si>
    <t>(55.89%)</t>
  </si>
  <si>
    <t>(17.21%)</t>
  </si>
  <si>
    <t>(55.08%)</t>
  </si>
  <si>
    <t>(17.85%)</t>
  </si>
  <si>
    <t>(53.06%)</t>
  </si>
  <si>
    <t>(18.45%)</t>
  </si>
  <si>
    <t>(58.78%)</t>
  </si>
  <si>
    <t>(19.79%)</t>
  </si>
  <si>
    <t>(54.49%)</t>
  </si>
  <si>
    <t>(23.32%)</t>
  </si>
  <si>
    <t>(57.95%)</t>
  </si>
  <si>
    <t>(17.73%)</t>
  </si>
  <si>
    <t>(54.09%)</t>
  </si>
  <si>
    <t>(20.79%)</t>
  </si>
  <si>
    <t>(59.45%)</t>
  </si>
  <si>
    <t>(16.77%)</t>
  </si>
  <si>
    <t>(54.79%)</t>
  </si>
  <si>
    <t>(20.19%)</t>
  </si>
  <si>
    <t>(57.61%)</t>
  </si>
  <si>
    <t>(20.61%)</t>
  </si>
  <si>
    <t>(58.01%)</t>
  </si>
  <si>
    <t>(20.54%)</t>
  </si>
  <si>
    <t>(56.49%)</t>
  </si>
  <si>
    <t>(23.47%)</t>
  </si>
  <si>
    <t>(55.60%)</t>
  </si>
  <si>
    <t>(25.74%)</t>
  </si>
  <si>
    <t/>
  </si>
  <si>
    <r>
      <rPr>
        <sz val="15"/>
        <rFont val="新細明體"/>
        <family val="1"/>
        <charset val="136"/>
      </rPr>
      <t>表</t>
    </r>
    <r>
      <rPr>
        <sz val="15"/>
        <rFont val="Times New Roman"/>
        <family val="1"/>
      </rPr>
      <t>1-5-1</t>
    </r>
    <r>
      <rPr>
        <sz val="15"/>
        <rFont val="新細明體"/>
        <family val="1"/>
        <charset val="136"/>
      </rPr>
      <t>　近</t>
    </r>
    <r>
      <rPr>
        <sz val="15"/>
        <rFont val="Times New Roman"/>
        <family val="1"/>
      </rPr>
      <t>10</t>
    </r>
    <r>
      <rPr>
        <sz val="15"/>
        <rFont val="新細明體"/>
        <family val="1"/>
        <charset val="136"/>
      </rPr>
      <t>年持有第一級、第二級毒品罪之偵查終結情形</t>
    </r>
    <phoneticPr fontId="72" type="noConversion"/>
  </si>
  <si>
    <r>
      <rPr>
        <sz val="10"/>
        <rFont val="新細明體"/>
        <family val="1"/>
        <charset val="136"/>
      </rPr>
      <t>單位：人、％</t>
    </r>
    <phoneticPr fontId="72" type="noConversion"/>
  </si>
  <si>
    <r>
      <rPr>
        <sz val="12"/>
        <rFont val="新細明體"/>
        <family val="1"/>
        <charset val="136"/>
      </rPr>
      <t>第一級</t>
    </r>
    <phoneticPr fontId="72" type="noConversion"/>
  </si>
  <si>
    <r>
      <rPr>
        <sz val="12"/>
        <rFont val="新細明體"/>
        <family val="1"/>
        <charset val="136"/>
      </rPr>
      <t>第二級</t>
    </r>
    <phoneticPr fontId="72" type="noConversion"/>
  </si>
  <si>
    <r>
      <rPr>
        <sz val="12"/>
        <rFont val="新細明體"/>
        <family val="1"/>
        <charset val="136"/>
      </rPr>
      <t>總計</t>
    </r>
    <phoneticPr fontId="72" type="noConversion"/>
  </si>
  <si>
    <r>
      <rPr>
        <sz val="12"/>
        <rFont val="新細明體"/>
        <family val="1"/>
        <charset val="136"/>
      </rPr>
      <t>起訴</t>
    </r>
  </si>
  <si>
    <r>
      <rPr>
        <sz val="12"/>
        <rFont val="新細明體"/>
        <family val="1"/>
        <charset val="136"/>
      </rPr>
      <t>不起訴</t>
    </r>
    <phoneticPr fontId="72" type="noConversion"/>
  </si>
  <si>
    <r>
      <rPr>
        <sz val="12"/>
        <rFont val="新細明體"/>
        <family val="1"/>
        <charset val="136"/>
      </rPr>
      <t>總計</t>
    </r>
    <phoneticPr fontId="72" type="noConversion"/>
  </si>
  <si>
    <t>(61.23%)</t>
    <phoneticPr fontId="72" type="noConversion"/>
  </si>
  <si>
    <t>(13.64%)</t>
    <phoneticPr fontId="72" type="noConversion"/>
  </si>
  <si>
    <t>(63.72%)</t>
    <phoneticPr fontId="72" type="noConversion"/>
  </si>
  <si>
    <r>
      <t>108</t>
    </r>
    <r>
      <rPr>
        <sz val="12"/>
        <rFont val="新細明體"/>
        <family val="1"/>
        <charset val="136"/>
      </rPr>
      <t>年</t>
    </r>
  </si>
  <si>
    <r>
      <rPr>
        <sz val="10"/>
        <rFont val="新細明體"/>
        <family val="1"/>
        <charset val="136"/>
      </rPr>
      <t>資料來源：法務部統計處</t>
    </r>
    <phoneticPr fontId="6" type="noConversion"/>
  </si>
  <si>
    <r>
      <rPr>
        <sz val="15"/>
        <rFont val="新細明體"/>
        <family val="1"/>
        <charset val="136"/>
      </rPr>
      <t>表</t>
    </r>
    <r>
      <rPr>
        <sz val="15"/>
        <rFont val="Times New Roman"/>
        <family val="1"/>
      </rPr>
      <t xml:space="preserve">2-1-1   </t>
    </r>
    <r>
      <rPr>
        <sz val="15"/>
        <rFont val="新細明體"/>
        <family val="1"/>
        <charset val="136"/>
      </rPr>
      <t>近</t>
    </r>
    <r>
      <rPr>
        <sz val="15"/>
        <rFont val="Times New Roman"/>
        <family val="1"/>
      </rPr>
      <t>5</t>
    </r>
    <r>
      <rPr>
        <sz val="15"/>
        <rFont val="新細明體"/>
        <family val="1"/>
        <charset val="136"/>
      </rPr>
      <t>年地方檢察署新收刑事偵查案件數－按案件來源分</t>
    </r>
    <phoneticPr fontId="44" type="noConversion"/>
  </si>
  <si>
    <r>
      <t>104</t>
    </r>
    <r>
      <rPr>
        <sz val="12"/>
        <rFont val="新細明體"/>
        <family val="1"/>
        <charset val="136"/>
      </rPr>
      <t>年</t>
    </r>
    <phoneticPr fontId="44" type="noConversion"/>
  </si>
  <si>
    <r>
      <t>105</t>
    </r>
    <r>
      <rPr>
        <sz val="12"/>
        <rFont val="新細明體"/>
        <family val="1"/>
        <charset val="136"/>
      </rPr>
      <t>年</t>
    </r>
    <phoneticPr fontId="44" type="noConversion"/>
  </si>
  <si>
    <r>
      <t>106</t>
    </r>
    <r>
      <rPr>
        <sz val="12"/>
        <rFont val="新細明體"/>
        <family val="1"/>
        <charset val="136"/>
      </rPr>
      <t>年</t>
    </r>
    <phoneticPr fontId="44" type="noConversion"/>
  </si>
  <si>
    <r>
      <t>107</t>
    </r>
    <r>
      <rPr>
        <sz val="12"/>
        <rFont val="新細明體"/>
        <family val="1"/>
        <charset val="136"/>
      </rPr>
      <t>年</t>
    </r>
    <phoneticPr fontId="44" type="noConversion"/>
  </si>
  <si>
    <r>
      <t>108</t>
    </r>
    <r>
      <rPr>
        <sz val="12"/>
        <rFont val="新細明體"/>
        <family val="1"/>
        <charset val="136"/>
      </rPr>
      <t>年</t>
    </r>
    <phoneticPr fontId="44" type="noConversion"/>
  </si>
  <si>
    <r>
      <rPr>
        <sz val="12"/>
        <rFont val="新細明體"/>
        <family val="1"/>
        <charset val="136"/>
      </rPr>
      <t>件</t>
    </r>
    <phoneticPr fontId="44" type="noConversion"/>
  </si>
  <si>
    <r>
      <rPr>
        <sz val="12"/>
        <rFont val="新細明體"/>
        <family val="1"/>
        <charset val="136"/>
      </rPr>
      <t>件</t>
    </r>
    <phoneticPr fontId="44" type="noConversion"/>
  </si>
  <si>
    <r>
      <rPr>
        <sz val="12"/>
        <rFont val="新細明體"/>
        <family val="1"/>
        <charset val="136"/>
      </rPr>
      <t>件</t>
    </r>
    <phoneticPr fontId="44" type="noConversion"/>
  </si>
  <si>
    <r>
      <rPr>
        <sz val="12"/>
        <rFont val="新細明體"/>
        <family val="1"/>
        <charset val="136"/>
      </rPr>
      <t>總　　　　　　　　計</t>
    </r>
    <phoneticPr fontId="44" type="noConversion"/>
  </si>
  <si>
    <r>
      <rPr>
        <sz val="12"/>
        <rFont val="新細明體"/>
        <family val="1"/>
        <charset val="136"/>
      </rPr>
      <t>告訴</t>
    </r>
    <phoneticPr fontId="44" type="noConversion"/>
  </si>
  <si>
    <r>
      <rPr>
        <sz val="12"/>
        <rFont val="新細明體"/>
        <family val="1"/>
        <charset val="136"/>
      </rPr>
      <t>告發</t>
    </r>
    <phoneticPr fontId="44" type="noConversion"/>
  </si>
  <si>
    <r>
      <rPr>
        <sz val="12"/>
        <rFont val="新細明體"/>
        <family val="1"/>
        <charset val="136"/>
      </rPr>
      <t>自首</t>
    </r>
    <phoneticPr fontId="44" type="noConversion"/>
  </si>
  <si>
    <r>
      <rPr>
        <sz val="12"/>
        <rFont val="新細明體"/>
        <family val="1"/>
        <charset val="136"/>
      </rPr>
      <t>司法警察機關移送</t>
    </r>
    <phoneticPr fontId="44" type="noConversion"/>
  </si>
  <si>
    <r>
      <rPr>
        <sz val="12"/>
        <rFont val="新細明體"/>
        <family val="1"/>
        <charset val="136"/>
      </rPr>
      <t>他檢察機關移送</t>
    </r>
    <phoneticPr fontId="44" type="noConversion"/>
  </si>
  <si>
    <r>
      <rPr>
        <sz val="12"/>
        <rFont val="新細明體"/>
        <family val="1"/>
        <charset val="136"/>
      </rPr>
      <t>其他來源</t>
    </r>
    <phoneticPr fontId="44" type="noConversion"/>
  </si>
  <si>
    <r>
      <rPr>
        <sz val="12"/>
        <rFont val="新細明體"/>
        <family val="1"/>
        <charset val="136"/>
      </rPr>
      <t>自動檢舉</t>
    </r>
    <phoneticPr fontId="44" type="noConversion"/>
  </si>
  <si>
    <r>
      <rPr>
        <sz val="10"/>
        <rFont val="新細明體"/>
        <family val="1"/>
        <charset val="136"/>
      </rPr>
      <t>資料來源：法務部統計處</t>
    </r>
    <phoneticPr fontId="44" type="noConversion"/>
  </si>
  <si>
    <t>說　　明：1. 司法警察機關包括警察、海巡、憲兵、移民、調查及廉政機關。
　　　　　2. 其他來源係指非屬司法警察之其他機關（鄉鎮市公所等）移送之案件等。</t>
    <phoneticPr fontId="44" type="noConversion"/>
  </si>
  <si>
    <r>
      <rPr>
        <sz val="15"/>
        <rFont val="新細明體"/>
        <family val="1"/>
        <charset val="136"/>
      </rPr>
      <t>表</t>
    </r>
    <r>
      <rPr>
        <sz val="15"/>
        <rFont val="Times New Roman"/>
        <family val="1"/>
      </rPr>
      <t xml:space="preserve">2-1-2   </t>
    </r>
    <r>
      <rPr>
        <sz val="15"/>
        <rFont val="新細明體"/>
        <family val="1"/>
        <charset val="136"/>
      </rPr>
      <t>近</t>
    </r>
    <r>
      <rPr>
        <sz val="15"/>
        <rFont val="Times New Roman"/>
        <family val="1"/>
      </rPr>
      <t>10</t>
    </r>
    <r>
      <rPr>
        <sz val="15"/>
        <rFont val="新細明體"/>
        <family val="1"/>
        <charset val="136"/>
      </rPr>
      <t>年地方檢察署新收自動檢舉案件數</t>
    </r>
    <phoneticPr fontId="44" type="noConversion"/>
  </si>
  <si>
    <r>
      <rPr>
        <sz val="11"/>
        <rFont val="新細明體"/>
        <family val="1"/>
        <charset val="136"/>
      </rPr>
      <t>單位：件、</t>
    </r>
    <r>
      <rPr>
        <sz val="11"/>
        <rFont val="Times New Roman"/>
        <family val="1"/>
      </rPr>
      <t>%</t>
    </r>
    <phoneticPr fontId="44" type="noConversion"/>
  </si>
  <si>
    <r>
      <rPr>
        <sz val="12"/>
        <rFont val="新細明體"/>
        <family val="1"/>
        <charset val="136"/>
      </rPr>
      <t>總　　　　　　　　　　　</t>
    </r>
    <r>
      <rPr>
        <sz val="12"/>
        <rFont val="Times New Roman"/>
        <family val="1"/>
      </rPr>
      <t xml:space="preserve"> </t>
    </r>
    <r>
      <rPr>
        <sz val="12"/>
        <rFont val="新細明體"/>
        <family val="1"/>
        <charset val="136"/>
      </rPr>
      <t>計</t>
    </r>
    <phoneticPr fontId="44" type="noConversion"/>
  </si>
  <si>
    <r>
      <rPr>
        <sz val="12"/>
        <rFont val="新細明體"/>
        <family val="1"/>
        <charset val="136"/>
      </rPr>
      <t>普</t>
    </r>
    <r>
      <rPr>
        <sz val="12"/>
        <rFont val="Times New Roman"/>
        <family val="1"/>
      </rPr>
      <t xml:space="preserve">   </t>
    </r>
    <r>
      <rPr>
        <sz val="12"/>
        <rFont val="新細明體"/>
        <family val="1"/>
        <charset val="136"/>
      </rPr>
      <t>通</t>
    </r>
    <r>
      <rPr>
        <sz val="12"/>
        <rFont val="Times New Roman"/>
        <family val="1"/>
      </rPr>
      <t xml:space="preserve">   </t>
    </r>
    <r>
      <rPr>
        <sz val="12"/>
        <rFont val="新細明體"/>
        <family val="1"/>
        <charset val="136"/>
      </rPr>
      <t>刑</t>
    </r>
    <r>
      <rPr>
        <sz val="12"/>
        <rFont val="Times New Roman"/>
        <family val="1"/>
      </rPr>
      <t xml:space="preserve">   </t>
    </r>
    <r>
      <rPr>
        <sz val="12"/>
        <rFont val="新細明體"/>
        <family val="1"/>
        <charset val="136"/>
      </rPr>
      <t>法</t>
    </r>
    <r>
      <rPr>
        <sz val="12"/>
        <rFont val="Times New Roman"/>
        <family val="1"/>
      </rPr>
      <t xml:space="preserve">   </t>
    </r>
    <r>
      <rPr>
        <sz val="12"/>
        <rFont val="新細明體"/>
        <family val="1"/>
        <charset val="136"/>
      </rPr>
      <t>案</t>
    </r>
    <r>
      <rPr>
        <sz val="12"/>
        <rFont val="Times New Roman"/>
        <family val="1"/>
      </rPr>
      <t xml:space="preserve">   </t>
    </r>
    <r>
      <rPr>
        <sz val="12"/>
        <rFont val="新細明體"/>
        <family val="1"/>
        <charset val="136"/>
      </rPr>
      <t>件</t>
    </r>
    <phoneticPr fontId="44" type="noConversion"/>
  </si>
  <si>
    <r>
      <rPr>
        <sz val="12"/>
        <rFont val="新細明體"/>
        <family val="1"/>
        <charset val="136"/>
      </rPr>
      <t>特</t>
    </r>
    <r>
      <rPr>
        <sz val="12"/>
        <rFont val="Times New Roman"/>
        <family val="1"/>
      </rPr>
      <t xml:space="preserve">   </t>
    </r>
    <r>
      <rPr>
        <sz val="12"/>
        <rFont val="新細明體"/>
        <family val="1"/>
        <charset val="136"/>
      </rPr>
      <t>別</t>
    </r>
    <r>
      <rPr>
        <sz val="12"/>
        <rFont val="Times New Roman"/>
        <family val="1"/>
      </rPr>
      <t xml:space="preserve">   </t>
    </r>
    <r>
      <rPr>
        <sz val="12"/>
        <rFont val="新細明體"/>
        <family val="1"/>
        <charset val="136"/>
      </rPr>
      <t>刑</t>
    </r>
    <r>
      <rPr>
        <sz val="12"/>
        <rFont val="Times New Roman"/>
        <family val="1"/>
      </rPr>
      <t xml:space="preserve">   </t>
    </r>
    <r>
      <rPr>
        <sz val="12"/>
        <rFont val="新細明體"/>
        <family val="1"/>
        <charset val="136"/>
      </rPr>
      <t>法</t>
    </r>
    <r>
      <rPr>
        <sz val="12"/>
        <rFont val="Times New Roman"/>
        <family val="1"/>
      </rPr>
      <t xml:space="preserve">   </t>
    </r>
    <r>
      <rPr>
        <sz val="12"/>
        <rFont val="新細明體"/>
        <family val="1"/>
        <charset val="136"/>
      </rPr>
      <t>案</t>
    </r>
    <r>
      <rPr>
        <sz val="12"/>
        <rFont val="Times New Roman"/>
        <family val="1"/>
      </rPr>
      <t xml:space="preserve">   </t>
    </r>
    <r>
      <rPr>
        <sz val="12"/>
        <rFont val="新細明體"/>
        <family val="1"/>
        <charset val="136"/>
      </rPr>
      <t>件</t>
    </r>
    <phoneticPr fontId="44" type="noConversion"/>
  </si>
  <si>
    <r>
      <rPr>
        <sz val="12"/>
        <rFont val="新細明體"/>
        <family val="1"/>
        <charset val="136"/>
      </rPr>
      <t>自動檢舉</t>
    </r>
    <r>
      <rPr>
        <sz val="12"/>
        <rFont val="Times New Roman"/>
        <family val="1"/>
      </rPr>
      <t xml:space="preserve">    </t>
    </r>
    <r>
      <rPr>
        <sz val="12"/>
        <rFont val="新細明體"/>
        <family val="1"/>
        <charset val="136"/>
      </rPr>
      <t>件</t>
    </r>
    <r>
      <rPr>
        <sz val="12"/>
        <rFont val="Times New Roman"/>
        <family val="1"/>
      </rPr>
      <t xml:space="preserve">    </t>
    </r>
    <r>
      <rPr>
        <sz val="12"/>
        <rFont val="新細明體"/>
        <family val="1"/>
        <charset val="136"/>
      </rPr>
      <t>數</t>
    </r>
    <phoneticPr fontId="44" type="noConversion"/>
  </si>
  <si>
    <r>
      <rPr>
        <sz val="12"/>
        <rFont val="新細明體"/>
        <family val="1"/>
        <charset val="136"/>
      </rPr>
      <t>比率</t>
    </r>
    <phoneticPr fontId="44" type="noConversion"/>
  </si>
  <si>
    <r>
      <t>99</t>
    </r>
    <r>
      <rPr>
        <sz val="12"/>
        <rFont val="新細明體"/>
        <family val="1"/>
        <charset val="136"/>
      </rPr>
      <t>年</t>
    </r>
    <phoneticPr fontId="44" type="noConversion"/>
  </si>
  <si>
    <r>
      <t>100年</t>
    </r>
    <r>
      <rPr>
        <sz val="12"/>
        <rFont val="新細明體"/>
        <family val="1"/>
        <charset val="136"/>
      </rPr>
      <t/>
    </r>
  </si>
  <si>
    <r>
      <t>101年</t>
    </r>
    <r>
      <rPr>
        <sz val="12"/>
        <rFont val="新細明體"/>
        <family val="1"/>
        <charset val="136"/>
      </rPr>
      <t/>
    </r>
  </si>
  <si>
    <r>
      <t>102年</t>
    </r>
    <r>
      <rPr>
        <sz val="12"/>
        <rFont val="新細明體"/>
        <family val="1"/>
        <charset val="136"/>
      </rPr>
      <t/>
    </r>
  </si>
  <si>
    <r>
      <t>103年</t>
    </r>
    <r>
      <rPr>
        <sz val="12"/>
        <rFont val="新細明體"/>
        <family val="1"/>
        <charset val="136"/>
      </rPr>
      <t/>
    </r>
  </si>
  <si>
    <r>
      <t>104年</t>
    </r>
    <r>
      <rPr>
        <sz val="12"/>
        <rFont val="新細明體"/>
        <family val="1"/>
        <charset val="136"/>
      </rPr>
      <t/>
    </r>
  </si>
  <si>
    <r>
      <t>105年</t>
    </r>
    <r>
      <rPr>
        <sz val="12"/>
        <rFont val="新細明體"/>
        <family val="1"/>
        <charset val="136"/>
      </rPr>
      <t/>
    </r>
  </si>
  <si>
    <r>
      <t>106年</t>
    </r>
    <r>
      <rPr>
        <sz val="12"/>
        <rFont val="新細明體"/>
        <family val="1"/>
        <charset val="136"/>
      </rPr>
      <t/>
    </r>
  </si>
  <si>
    <r>
      <t>107年</t>
    </r>
    <r>
      <rPr>
        <sz val="12"/>
        <rFont val="新細明體"/>
        <family val="1"/>
        <charset val="136"/>
      </rPr>
      <t/>
    </r>
  </si>
  <si>
    <r>
      <t>108年</t>
    </r>
    <r>
      <rPr>
        <sz val="12"/>
        <rFont val="新細明體"/>
        <family val="1"/>
        <charset val="136"/>
      </rPr>
      <t/>
    </r>
  </si>
  <si>
    <r>
      <rPr>
        <sz val="10"/>
        <rFont val="新細明體"/>
        <family val="1"/>
        <charset val="136"/>
      </rPr>
      <t>資料來源：法務部統計處</t>
    </r>
    <phoneticPr fontId="44" type="noConversion"/>
  </si>
  <si>
    <r>
      <rPr>
        <sz val="15"/>
        <rFont val="新細明體"/>
        <family val="1"/>
        <charset val="136"/>
      </rPr>
      <t>表</t>
    </r>
    <r>
      <rPr>
        <sz val="15"/>
        <rFont val="Times New Roman"/>
        <family val="1"/>
      </rPr>
      <t>2-1-3</t>
    </r>
    <r>
      <rPr>
        <sz val="15"/>
        <rFont val="新細明體"/>
        <family val="1"/>
        <charset val="136"/>
      </rPr>
      <t>　近</t>
    </r>
    <r>
      <rPr>
        <sz val="15"/>
        <rFont val="Times New Roman"/>
        <family val="1"/>
      </rPr>
      <t>5</t>
    </r>
    <r>
      <rPr>
        <sz val="15"/>
        <rFont val="新細明體"/>
        <family val="1"/>
        <charset val="136"/>
      </rPr>
      <t>年地方檢察署新收自動檢舉案件主要罪名</t>
    </r>
    <phoneticPr fontId="44" type="noConversion"/>
  </si>
  <si>
    <r>
      <rPr>
        <sz val="11"/>
        <rFont val="新細明體"/>
        <family val="1"/>
        <charset val="136"/>
      </rPr>
      <t>單位：件、</t>
    </r>
    <r>
      <rPr>
        <sz val="11"/>
        <rFont val="Times New Roman"/>
        <family val="1"/>
      </rPr>
      <t>%</t>
    </r>
    <phoneticPr fontId="44" type="noConversion"/>
  </si>
  <si>
    <r>
      <rPr>
        <sz val="12"/>
        <rFont val="新細明體"/>
        <family val="1"/>
        <charset val="136"/>
      </rPr>
      <t>年總件數</t>
    </r>
    <phoneticPr fontId="44" type="noConversion"/>
  </si>
  <si>
    <r>
      <rPr>
        <sz val="12"/>
        <rFont val="新細明體"/>
        <family val="1"/>
        <charset val="136"/>
      </rPr>
      <t>自動檢舉</t>
    </r>
    <phoneticPr fontId="44" type="noConversion"/>
  </si>
  <si>
    <r>
      <rPr>
        <sz val="12"/>
        <rFont val="新細明體"/>
        <family val="1"/>
        <charset val="136"/>
      </rPr>
      <t>年總件數</t>
    </r>
    <phoneticPr fontId="44" type="noConversion"/>
  </si>
  <si>
    <r>
      <rPr>
        <sz val="12"/>
        <rFont val="新細明體"/>
        <family val="1"/>
        <charset val="136"/>
      </rPr>
      <t>比率</t>
    </r>
    <phoneticPr fontId="44" type="noConversion"/>
  </si>
  <si>
    <r>
      <rPr>
        <sz val="12"/>
        <rFont val="新細明體"/>
        <family val="1"/>
        <charset val="136"/>
      </rPr>
      <t>總計</t>
    </r>
    <phoneticPr fontId="44" type="noConversion"/>
  </si>
  <si>
    <r>
      <rPr>
        <sz val="12"/>
        <rFont val="新細明體"/>
        <family val="1"/>
        <charset val="136"/>
      </rPr>
      <t>詐欺罪</t>
    </r>
  </si>
  <si>
    <r>
      <rPr>
        <sz val="12"/>
        <rFont val="新細明體"/>
        <family val="1"/>
        <charset val="136"/>
      </rPr>
      <t>毒品危害防制條例</t>
    </r>
  </si>
  <si>
    <r>
      <rPr>
        <sz val="12"/>
        <rFont val="新細明體"/>
        <family val="1"/>
        <charset val="136"/>
      </rPr>
      <t>偽造文書印文罪</t>
    </r>
  </si>
  <si>
    <r>
      <rPr>
        <sz val="12"/>
        <rFont val="新細明體"/>
        <family val="1"/>
        <charset val="136"/>
      </rPr>
      <t>偽證及誣告罪</t>
    </r>
  </si>
  <si>
    <r>
      <rPr>
        <sz val="12"/>
        <rFont val="新細明體"/>
        <family val="1"/>
        <charset val="136"/>
      </rPr>
      <t>傷害罪</t>
    </r>
  </si>
  <si>
    <r>
      <rPr>
        <sz val="12"/>
        <rFont val="新細明體"/>
        <family val="1"/>
        <charset val="136"/>
      </rPr>
      <t>竊盜罪</t>
    </r>
  </si>
  <si>
    <r>
      <rPr>
        <sz val="12"/>
        <rFont val="新細明體"/>
        <family val="1"/>
        <charset val="136"/>
      </rPr>
      <t>妨害自由罪</t>
    </r>
  </si>
  <si>
    <r>
      <rPr>
        <sz val="12"/>
        <rFont val="新細明體"/>
        <family val="1"/>
        <charset val="136"/>
      </rPr>
      <t>侵占罪</t>
    </r>
  </si>
  <si>
    <r>
      <rPr>
        <sz val="12"/>
        <rFont val="新細明體"/>
        <family val="1"/>
        <charset val="136"/>
      </rPr>
      <t>公共危險罪</t>
    </r>
  </si>
  <si>
    <r>
      <rPr>
        <sz val="11"/>
        <rFont val="新細明體"/>
        <family val="1"/>
        <charset val="136"/>
      </rPr>
      <t>賭博罪</t>
    </r>
  </si>
  <si>
    <r>
      <rPr>
        <sz val="12"/>
        <rFont val="新細明體"/>
        <family val="1"/>
        <charset val="136"/>
      </rPr>
      <t>毀棄損壞罪</t>
    </r>
  </si>
  <si>
    <r>
      <rPr>
        <sz val="12"/>
        <rFont val="新細明體"/>
        <family val="1"/>
        <charset val="136"/>
      </rPr>
      <t>殺人罪</t>
    </r>
  </si>
  <si>
    <r>
      <rPr>
        <sz val="12"/>
        <rFont val="新細明體"/>
        <family val="1"/>
        <charset val="136"/>
      </rPr>
      <t>妨害名譽及信用罪</t>
    </r>
  </si>
  <si>
    <r>
      <rPr>
        <sz val="12"/>
        <rFont val="新細明體"/>
        <family val="1"/>
        <charset val="136"/>
      </rPr>
      <t>稅捐稽徵法</t>
    </r>
  </si>
  <si>
    <r>
      <rPr>
        <sz val="12"/>
        <rFont val="新細明體"/>
        <family val="1"/>
        <charset val="136"/>
      </rPr>
      <t>恐嚇及擄人勒贖罪</t>
    </r>
  </si>
  <si>
    <r>
      <rPr>
        <sz val="12"/>
        <rFont val="新細明體"/>
        <family val="1"/>
        <charset val="136"/>
      </rPr>
      <t>妨害婚姻及家庭罪</t>
    </r>
  </si>
  <si>
    <r>
      <rPr>
        <sz val="12"/>
        <rFont val="新細明體"/>
        <family val="1"/>
        <charset val="136"/>
      </rPr>
      <t>槍砲彈藥刀械管制條例</t>
    </r>
  </si>
  <si>
    <r>
      <rPr>
        <sz val="12"/>
        <rFont val="新細明體"/>
        <family val="1"/>
        <charset val="136"/>
      </rPr>
      <t>著作權法</t>
    </r>
  </si>
  <si>
    <r>
      <rPr>
        <sz val="12"/>
        <rFont val="新細明體"/>
        <family val="1"/>
        <charset val="136"/>
      </rPr>
      <t>其</t>
    </r>
    <r>
      <rPr>
        <sz val="12"/>
        <rFont val="Times New Roman"/>
        <family val="1"/>
      </rPr>
      <t xml:space="preserve">  </t>
    </r>
    <r>
      <rPr>
        <sz val="12"/>
        <rFont val="新細明體"/>
        <family val="1"/>
        <charset val="136"/>
      </rPr>
      <t>他</t>
    </r>
  </si>
  <si>
    <t>資料來源：法務部統計處
說　　明：本表比率：各罪名自動檢舉件數/總自動檢舉件數。</t>
    <phoneticPr fontId="44" type="noConversion"/>
  </si>
  <si>
    <r>
      <rPr>
        <sz val="15"/>
        <rFont val="新細明體"/>
        <family val="1"/>
        <charset val="136"/>
      </rPr>
      <t>表</t>
    </r>
    <r>
      <rPr>
        <sz val="15"/>
        <rFont val="Times New Roman"/>
        <family val="1"/>
      </rPr>
      <t>2-1-4</t>
    </r>
    <r>
      <rPr>
        <sz val="15"/>
        <rFont val="新細明體"/>
        <family val="1"/>
        <charset val="136"/>
      </rPr>
      <t>　近</t>
    </r>
    <r>
      <rPr>
        <sz val="15"/>
        <rFont val="Times New Roman"/>
        <family val="1"/>
      </rPr>
      <t>6</t>
    </r>
    <r>
      <rPr>
        <sz val="15"/>
        <rFont val="新細明體"/>
        <family val="1"/>
        <charset val="136"/>
      </rPr>
      <t>年地方檢察署新收刑事偵查案件數比較</t>
    </r>
    <phoneticPr fontId="44" type="noConversion"/>
  </si>
  <si>
    <r>
      <t>103</t>
    </r>
    <r>
      <rPr>
        <sz val="12"/>
        <rFont val="新細明體"/>
        <family val="1"/>
        <charset val="136"/>
      </rPr>
      <t>年</t>
    </r>
    <phoneticPr fontId="115" type="noConversion"/>
  </si>
  <si>
    <r>
      <rPr>
        <sz val="12"/>
        <rFont val="新細明體"/>
        <family val="1"/>
        <charset val="136"/>
      </rPr>
      <t>與上年比較增減</t>
    </r>
    <phoneticPr fontId="44" type="noConversion"/>
  </si>
  <si>
    <r>
      <t>104</t>
    </r>
    <r>
      <rPr>
        <sz val="12"/>
        <rFont val="新細明體"/>
        <family val="1"/>
        <charset val="136"/>
      </rPr>
      <t>年</t>
    </r>
    <phoneticPr fontId="115" type="noConversion"/>
  </si>
  <si>
    <r>
      <t>105</t>
    </r>
    <r>
      <rPr>
        <sz val="12"/>
        <rFont val="新細明體"/>
        <family val="1"/>
        <charset val="136"/>
      </rPr>
      <t>年</t>
    </r>
    <phoneticPr fontId="115" type="noConversion"/>
  </si>
  <si>
    <r>
      <rPr>
        <sz val="12"/>
        <rFont val="新細明體"/>
        <family val="1"/>
        <charset val="136"/>
      </rPr>
      <t>件</t>
    </r>
    <phoneticPr fontId="44" type="noConversion"/>
  </si>
  <si>
    <r>
      <rPr>
        <sz val="12"/>
        <rFont val="新細明體"/>
        <family val="1"/>
        <charset val="136"/>
      </rPr>
      <t>總計</t>
    </r>
    <phoneticPr fontId="44" type="noConversion"/>
  </si>
  <si>
    <r>
      <rPr>
        <sz val="12"/>
        <rFont val="新細明體"/>
        <family val="1"/>
        <charset val="136"/>
      </rPr>
      <t>普通刑法案件</t>
    </r>
    <phoneticPr fontId="44" type="noConversion"/>
  </si>
  <si>
    <r>
      <rPr>
        <sz val="12"/>
        <rFont val="新細明體"/>
        <family val="1"/>
        <charset val="136"/>
      </rPr>
      <t>特別刑法案件</t>
    </r>
    <phoneticPr fontId="44" type="noConversion"/>
  </si>
  <si>
    <r>
      <t>106</t>
    </r>
    <r>
      <rPr>
        <sz val="12"/>
        <rFont val="新細明體"/>
        <family val="1"/>
        <charset val="136"/>
      </rPr>
      <t>年</t>
    </r>
    <phoneticPr fontId="115" type="noConversion"/>
  </si>
  <si>
    <r>
      <rPr>
        <sz val="12"/>
        <rFont val="新細明體"/>
        <family val="1"/>
        <charset val="136"/>
      </rPr>
      <t>與上年比較增減</t>
    </r>
    <phoneticPr fontId="44" type="noConversion"/>
  </si>
  <si>
    <r>
      <t>107</t>
    </r>
    <r>
      <rPr>
        <sz val="12"/>
        <rFont val="新細明體"/>
        <family val="1"/>
        <charset val="136"/>
      </rPr>
      <t>年</t>
    </r>
    <phoneticPr fontId="115" type="noConversion"/>
  </si>
  <si>
    <r>
      <t>108</t>
    </r>
    <r>
      <rPr>
        <sz val="12"/>
        <rFont val="新細明體"/>
        <family val="1"/>
        <charset val="136"/>
      </rPr>
      <t>年</t>
    </r>
    <phoneticPr fontId="115" type="noConversion"/>
  </si>
  <si>
    <r>
      <rPr>
        <sz val="12"/>
        <rFont val="新細明體"/>
        <family val="1"/>
        <charset val="136"/>
      </rPr>
      <t>普通刑法案件</t>
    </r>
    <phoneticPr fontId="44" type="noConversion"/>
  </si>
  <si>
    <r>
      <rPr>
        <sz val="12"/>
        <rFont val="新細明體"/>
        <family val="1"/>
        <charset val="136"/>
      </rPr>
      <t>特別刑法案件</t>
    </r>
    <phoneticPr fontId="44" type="noConversion"/>
  </si>
  <si>
    <r>
      <rPr>
        <sz val="10"/>
        <rFont val="新細明體"/>
        <family val="1"/>
        <charset val="136"/>
      </rPr>
      <t>資料來源：法務部統計處</t>
    </r>
    <phoneticPr fontId="44" type="noConversion"/>
  </si>
  <si>
    <r>
      <rPr>
        <sz val="15"/>
        <rFont val="新細明體"/>
        <family val="1"/>
        <charset val="136"/>
      </rPr>
      <t>表</t>
    </r>
    <r>
      <rPr>
        <sz val="15"/>
        <rFont val="Times New Roman"/>
        <family val="1"/>
      </rPr>
      <t xml:space="preserve">2-1-5   </t>
    </r>
    <r>
      <rPr>
        <sz val="15"/>
        <rFont val="新細明體"/>
        <family val="1"/>
        <charset val="136"/>
      </rPr>
      <t>近</t>
    </r>
    <r>
      <rPr>
        <sz val="15"/>
        <rFont val="Times New Roman"/>
        <family val="1"/>
      </rPr>
      <t>5</t>
    </r>
    <r>
      <rPr>
        <sz val="15"/>
        <rFont val="新細明體"/>
        <family val="1"/>
        <charset val="136"/>
      </rPr>
      <t>年地方檢察署新收偵查普通刑法案件主要罪名</t>
    </r>
    <phoneticPr fontId="44" type="noConversion"/>
  </si>
  <si>
    <r>
      <t>104</t>
    </r>
    <r>
      <rPr>
        <sz val="12"/>
        <rFont val="新細明體"/>
        <family val="1"/>
        <charset val="136"/>
      </rPr>
      <t>年</t>
    </r>
    <phoneticPr fontId="44" type="noConversion"/>
  </si>
  <si>
    <r>
      <t>106</t>
    </r>
    <r>
      <rPr>
        <sz val="12"/>
        <rFont val="新細明體"/>
        <family val="1"/>
        <charset val="136"/>
      </rPr>
      <t>年</t>
    </r>
    <phoneticPr fontId="44" type="noConversion"/>
  </si>
  <si>
    <r>
      <t>107</t>
    </r>
    <r>
      <rPr>
        <sz val="12"/>
        <rFont val="新細明體"/>
        <family val="1"/>
        <charset val="136"/>
      </rPr>
      <t>年</t>
    </r>
    <phoneticPr fontId="44" type="noConversion"/>
  </si>
  <si>
    <r>
      <rPr>
        <sz val="12"/>
        <rFont val="新細明體"/>
        <family val="1"/>
        <charset val="136"/>
      </rPr>
      <t>件</t>
    </r>
    <r>
      <rPr>
        <sz val="12"/>
        <rFont val="Times New Roman"/>
        <family val="1"/>
      </rPr>
      <t xml:space="preserve">  </t>
    </r>
    <phoneticPr fontId="44" type="noConversion"/>
  </si>
  <si>
    <r>
      <rPr>
        <sz val="12"/>
        <rFont val="新細明體"/>
        <family val="1"/>
        <charset val="136"/>
      </rPr>
      <t>件</t>
    </r>
    <r>
      <rPr>
        <sz val="12"/>
        <rFont val="Times New Roman"/>
        <family val="1"/>
      </rPr>
      <t xml:space="preserve">  </t>
    </r>
    <phoneticPr fontId="44" type="noConversion"/>
  </si>
  <si>
    <r>
      <rPr>
        <sz val="12"/>
        <rFont val="新細明體"/>
        <family val="1"/>
        <charset val="136"/>
      </rPr>
      <t>公共危險罪</t>
    </r>
    <phoneticPr fontId="44" type="noConversion"/>
  </si>
  <si>
    <r>
      <rPr>
        <sz val="12"/>
        <rFont val="新細明體"/>
        <family val="1"/>
        <charset val="136"/>
      </rPr>
      <t>詐欺罪</t>
    </r>
    <phoneticPr fontId="44" type="noConversion"/>
  </si>
  <si>
    <r>
      <rPr>
        <sz val="12"/>
        <rFont val="新細明體"/>
        <family val="1"/>
        <charset val="136"/>
      </rPr>
      <t>傷害罪</t>
    </r>
    <phoneticPr fontId="44" type="noConversion"/>
  </si>
  <si>
    <r>
      <rPr>
        <sz val="12"/>
        <rFont val="新細明體"/>
        <family val="1"/>
        <charset val="136"/>
      </rPr>
      <t>竊盜罪</t>
    </r>
    <phoneticPr fontId="44" type="noConversion"/>
  </si>
  <si>
    <r>
      <rPr>
        <sz val="12"/>
        <rFont val="新細明體"/>
        <family val="1"/>
        <charset val="136"/>
      </rPr>
      <t>侵占罪</t>
    </r>
    <phoneticPr fontId="44" type="noConversion"/>
  </si>
  <si>
    <t xml:space="preserve"> </t>
    <phoneticPr fontId="44" type="noConversion"/>
  </si>
  <si>
    <r>
      <rPr>
        <sz val="12"/>
        <rFont val="新細明體"/>
        <family val="1"/>
        <charset val="136"/>
      </rPr>
      <t>妨害自由罪</t>
    </r>
    <phoneticPr fontId="44" type="noConversion"/>
  </si>
  <si>
    <r>
      <rPr>
        <sz val="12"/>
        <rFont val="新細明體"/>
        <family val="1"/>
        <charset val="136"/>
      </rPr>
      <t>妨害名譽及信用罪</t>
    </r>
    <phoneticPr fontId="44" type="noConversion"/>
  </si>
  <si>
    <r>
      <rPr>
        <sz val="12"/>
        <rFont val="新細明體"/>
        <family val="1"/>
        <charset val="136"/>
      </rPr>
      <t>毀棄損壞罪</t>
    </r>
    <phoneticPr fontId="44" type="noConversion"/>
  </si>
  <si>
    <r>
      <rPr>
        <sz val="12"/>
        <rFont val="新細明體"/>
        <family val="1"/>
        <charset val="136"/>
      </rPr>
      <t>偽造文書印文罪</t>
    </r>
    <phoneticPr fontId="44" type="noConversion"/>
  </si>
  <si>
    <r>
      <rPr>
        <sz val="12"/>
        <rFont val="新細明體"/>
        <family val="1"/>
        <charset val="136"/>
      </rPr>
      <t>殺人罪</t>
    </r>
    <phoneticPr fontId="44" type="noConversion"/>
  </si>
  <si>
    <r>
      <rPr>
        <sz val="12"/>
        <rFont val="新細明體"/>
        <family val="1"/>
        <charset val="136"/>
      </rPr>
      <t>賭博罪</t>
    </r>
    <phoneticPr fontId="44" type="noConversion"/>
  </si>
  <si>
    <r>
      <rPr>
        <sz val="12"/>
        <rFont val="新細明體"/>
        <family val="1"/>
        <charset val="136"/>
      </rPr>
      <t>妨害性自主罪</t>
    </r>
    <phoneticPr fontId="44" type="noConversion"/>
  </si>
  <si>
    <r>
      <rPr>
        <sz val="12"/>
        <rFont val="新細明體"/>
        <family val="1"/>
        <charset val="136"/>
      </rPr>
      <t>偽證及誣告罪</t>
    </r>
    <phoneticPr fontId="44" type="noConversion"/>
  </si>
  <si>
    <r>
      <rPr>
        <sz val="12"/>
        <rFont val="新細明體"/>
        <family val="1"/>
        <charset val="136"/>
      </rPr>
      <t>背信及重利罪</t>
    </r>
    <phoneticPr fontId="44" type="noConversion"/>
  </si>
  <si>
    <r>
      <rPr>
        <sz val="12"/>
        <rFont val="新細明體"/>
        <family val="1"/>
        <charset val="136"/>
      </rPr>
      <t>妨害公務罪</t>
    </r>
    <phoneticPr fontId="44" type="noConversion"/>
  </si>
  <si>
    <r>
      <rPr>
        <sz val="12"/>
        <rFont val="新細明體"/>
        <family val="1"/>
        <charset val="136"/>
      </rPr>
      <t>妨害婚姻及家庭罪</t>
    </r>
    <phoneticPr fontId="44" type="noConversion"/>
  </si>
  <si>
    <r>
      <rPr>
        <sz val="12"/>
        <rFont val="新細明體"/>
        <family val="1"/>
        <charset val="136"/>
      </rPr>
      <t>妨害妨害風化罪</t>
    </r>
    <phoneticPr fontId="44" type="noConversion"/>
  </si>
  <si>
    <r>
      <rPr>
        <sz val="12"/>
        <rFont val="新細明體"/>
        <family val="1"/>
        <charset val="136"/>
      </rPr>
      <t>恐嚇及擄人勒贖罪</t>
    </r>
    <phoneticPr fontId="44" type="noConversion"/>
  </si>
  <si>
    <r>
      <rPr>
        <sz val="12"/>
        <rFont val="新細明體"/>
        <family val="1"/>
        <charset val="136"/>
      </rPr>
      <t>妨害秘密罪</t>
    </r>
    <phoneticPr fontId="44" type="noConversion"/>
  </si>
  <si>
    <r>
      <rPr>
        <sz val="12"/>
        <rFont val="新細明體"/>
        <family val="1"/>
        <charset val="136"/>
      </rPr>
      <t>搶奪強盜及海盜罪</t>
    </r>
    <phoneticPr fontId="44" type="noConversion"/>
  </si>
  <si>
    <r>
      <rPr>
        <sz val="15"/>
        <rFont val="新細明體"/>
        <family val="1"/>
        <charset val="136"/>
      </rPr>
      <t>表</t>
    </r>
    <r>
      <rPr>
        <sz val="15"/>
        <rFont val="Times New Roman"/>
        <family val="1"/>
      </rPr>
      <t xml:space="preserve">2-1-6   </t>
    </r>
    <r>
      <rPr>
        <sz val="15"/>
        <rFont val="新細明體"/>
        <family val="1"/>
        <charset val="136"/>
      </rPr>
      <t>近</t>
    </r>
    <r>
      <rPr>
        <sz val="15"/>
        <rFont val="Times New Roman"/>
        <family val="1"/>
      </rPr>
      <t>5</t>
    </r>
    <r>
      <rPr>
        <sz val="15"/>
        <rFont val="新細明體"/>
        <family val="1"/>
        <charset val="136"/>
      </rPr>
      <t>年地方檢察署新收偵查特別刑法案件主要罪名</t>
    </r>
    <phoneticPr fontId="115" type="noConversion"/>
  </si>
  <si>
    <r>
      <t>104</t>
    </r>
    <r>
      <rPr>
        <sz val="12"/>
        <rFont val="新細明體"/>
        <family val="1"/>
        <charset val="136"/>
      </rPr>
      <t>年</t>
    </r>
    <phoneticPr fontId="115" type="noConversion"/>
  </si>
  <si>
    <r>
      <t>105</t>
    </r>
    <r>
      <rPr>
        <sz val="12"/>
        <rFont val="新細明體"/>
        <family val="1"/>
        <charset val="136"/>
      </rPr>
      <t>年</t>
    </r>
    <phoneticPr fontId="115" type="noConversion"/>
  </si>
  <si>
    <r>
      <t>106</t>
    </r>
    <r>
      <rPr>
        <sz val="12"/>
        <rFont val="新細明體"/>
        <family val="1"/>
        <charset val="136"/>
      </rPr>
      <t>年</t>
    </r>
    <phoneticPr fontId="115" type="noConversion"/>
  </si>
  <si>
    <r>
      <t>107</t>
    </r>
    <r>
      <rPr>
        <sz val="12"/>
        <rFont val="新細明體"/>
        <family val="1"/>
        <charset val="136"/>
      </rPr>
      <t>年</t>
    </r>
    <phoneticPr fontId="115" type="noConversion"/>
  </si>
  <si>
    <r>
      <t>108</t>
    </r>
    <r>
      <rPr>
        <sz val="12"/>
        <rFont val="新細明體"/>
        <family val="1"/>
        <charset val="136"/>
      </rPr>
      <t>年</t>
    </r>
    <phoneticPr fontId="115" type="noConversion"/>
  </si>
  <si>
    <r>
      <rPr>
        <sz val="12"/>
        <rFont val="新細明體"/>
        <family val="1"/>
        <charset val="136"/>
      </rPr>
      <t>件</t>
    </r>
  </si>
  <si>
    <r>
      <rPr>
        <sz val="12"/>
        <color theme="1"/>
        <rFont val="新細明體"/>
        <family val="1"/>
        <charset val="136"/>
      </rPr>
      <t>總</t>
    </r>
    <r>
      <rPr>
        <sz val="12"/>
        <color theme="1"/>
        <rFont val="Times New Roman"/>
        <family val="1"/>
      </rPr>
      <t xml:space="preserve">             </t>
    </r>
    <r>
      <rPr>
        <sz val="12"/>
        <color theme="1"/>
        <rFont val="新細明體"/>
        <family val="1"/>
        <charset val="136"/>
      </rPr>
      <t>計</t>
    </r>
  </si>
  <si>
    <r>
      <rPr>
        <sz val="12"/>
        <color theme="1"/>
        <rFont val="新細明體"/>
        <family val="1"/>
        <charset val="136"/>
      </rPr>
      <t>毒品危害防制條例</t>
    </r>
    <phoneticPr fontId="44" type="noConversion"/>
  </si>
  <si>
    <r>
      <rPr>
        <sz val="12"/>
        <color theme="1"/>
        <rFont val="新細明體"/>
        <family val="1"/>
        <charset val="136"/>
      </rPr>
      <t>家庭暴力防治法</t>
    </r>
    <phoneticPr fontId="44" type="noConversion"/>
  </si>
  <si>
    <r>
      <rPr>
        <sz val="12"/>
        <color theme="1"/>
        <rFont val="新細明體"/>
        <family val="1"/>
        <charset val="136"/>
      </rPr>
      <t>著作權法</t>
    </r>
    <phoneticPr fontId="44" type="noConversion"/>
  </si>
  <si>
    <r>
      <rPr>
        <sz val="12"/>
        <color theme="1"/>
        <rFont val="新細明體"/>
        <family val="1"/>
        <charset val="136"/>
      </rPr>
      <t>槍砲彈藥刀械管制條例</t>
    </r>
  </si>
  <si>
    <r>
      <rPr>
        <sz val="12"/>
        <color theme="1"/>
        <rFont val="新細明體"/>
        <family val="1"/>
        <charset val="136"/>
      </rPr>
      <t>商標法</t>
    </r>
    <phoneticPr fontId="44" type="noConversion"/>
  </si>
  <si>
    <r>
      <rPr>
        <sz val="12"/>
        <color theme="1"/>
        <rFont val="新細明體"/>
        <family val="1"/>
        <charset val="136"/>
      </rPr>
      <t>妨害兵役治罪條例</t>
    </r>
  </si>
  <si>
    <r>
      <rPr>
        <sz val="12"/>
        <color theme="1"/>
        <rFont val="新細明體"/>
        <family val="1"/>
        <charset val="136"/>
      </rPr>
      <t>洗錢防制法</t>
    </r>
    <phoneticPr fontId="44" type="noConversion"/>
  </si>
  <si>
    <r>
      <rPr>
        <sz val="12"/>
        <color theme="1"/>
        <rFont val="新細明體"/>
        <family val="1"/>
        <charset val="136"/>
      </rPr>
      <t>藥事法</t>
    </r>
    <phoneticPr fontId="44" type="noConversion"/>
  </si>
  <si>
    <r>
      <rPr>
        <sz val="12"/>
        <color theme="1"/>
        <rFont val="新細明體"/>
        <family val="1"/>
        <charset val="136"/>
      </rPr>
      <t>廢棄物清理法</t>
    </r>
    <phoneticPr fontId="44" type="noConversion"/>
  </si>
  <si>
    <r>
      <rPr>
        <sz val="12"/>
        <color theme="1"/>
        <rFont val="新細明體"/>
        <family val="1"/>
        <charset val="136"/>
      </rPr>
      <t>兒童及少年性剝削防制條例</t>
    </r>
    <phoneticPr fontId="44" type="noConversion"/>
  </si>
  <si>
    <r>
      <rPr>
        <sz val="12"/>
        <color theme="1"/>
        <rFont val="新細明體"/>
        <family val="1"/>
        <charset val="136"/>
      </rPr>
      <t>公職人員選舉罷免法</t>
    </r>
    <phoneticPr fontId="44" type="noConversion"/>
  </si>
  <si>
    <r>
      <rPr>
        <sz val="12"/>
        <color theme="1"/>
        <rFont val="新細明體"/>
        <family val="1"/>
        <charset val="136"/>
      </rPr>
      <t>銀行法</t>
    </r>
    <phoneticPr fontId="44" type="noConversion"/>
  </si>
  <si>
    <r>
      <rPr>
        <sz val="12"/>
        <color theme="1"/>
        <rFont val="新細明體"/>
        <family val="1"/>
        <charset val="136"/>
      </rPr>
      <t>個人資料保護法</t>
    </r>
    <phoneticPr fontId="44" type="noConversion"/>
  </si>
  <si>
    <r>
      <rPr>
        <sz val="12"/>
        <color theme="1"/>
        <rFont val="新細明體"/>
        <family val="1"/>
        <charset val="136"/>
      </rPr>
      <t>稅捐稽徵法</t>
    </r>
    <phoneticPr fontId="44" type="noConversion"/>
  </si>
  <si>
    <r>
      <rPr>
        <sz val="12"/>
        <color theme="1"/>
        <rFont val="新細明體"/>
        <family val="1"/>
        <charset val="136"/>
      </rPr>
      <t>組織犯罪防制條例</t>
    </r>
    <phoneticPr fontId="44" type="noConversion"/>
  </si>
  <si>
    <r>
      <rPr>
        <sz val="12"/>
        <color theme="1"/>
        <rFont val="新細明體"/>
        <family val="1"/>
        <charset val="136"/>
      </rPr>
      <t>貪污治罪條例</t>
    </r>
  </si>
  <si>
    <r>
      <rPr>
        <sz val="12"/>
        <color theme="1"/>
        <rFont val="新細明體"/>
        <family val="1"/>
        <charset val="136"/>
      </rPr>
      <t>就業服務法</t>
    </r>
    <phoneticPr fontId="44" type="noConversion"/>
  </si>
  <si>
    <r>
      <rPr>
        <sz val="12"/>
        <color theme="1"/>
        <rFont val="新細明體"/>
        <family val="1"/>
        <charset val="136"/>
      </rPr>
      <t>公司法</t>
    </r>
    <phoneticPr fontId="44" type="noConversion"/>
  </si>
  <si>
    <r>
      <rPr>
        <sz val="12"/>
        <color theme="1"/>
        <rFont val="新細明體"/>
        <family val="1"/>
        <charset val="136"/>
      </rPr>
      <t>森林法</t>
    </r>
    <phoneticPr fontId="44" type="noConversion"/>
  </si>
  <si>
    <r>
      <rPr>
        <sz val="12"/>
        <color theme="1"/>
        <rFont val="新細明體"/>
        <family val="1"/>
        <charset val="136"/>
      </rPr>
      <t>政府採購法</t>
    </r>
    <phoneticPr fontId="44" type="noConversion"/>
  </si>
  <si>
    <r>
      <rPr>
        <sz val="12"/>
        <color theme="1"/>
        <rFont val="新細明體"/>
        <family val="1"/>
        <charset val="136"/>
      </rPr>
      <t>臺灣地區與大陸地區人民關係條例</t>
    </r>
    <phoneticPr fontId="44" type="noConversion"/>
  </si>
  <si>
    <r>
      <rPr>
        <sz val="12"/>
        <color theme="1"/>
        <rFont val="新細明體"/>
        <family val="1"/>
        <charset val="136"/>
      </rPr>
      <t>其</t>
    </r>
    <r>
      <rPr>
        <sz val="12"/>
        <color theme="1"/>
        <rFont val="Times New Roman"/>
        <family val="1"/>
      </rPr>
      <t xml:space="preserve">  </t>
    </r>
    <r>
      <rPr>
        <sz val="12"/>
        <color theme="1"/>
        <rFont val="新細明體"/>
        <family val="1"/>
        <charset val="136"/>
      </rPr>
      <t>他</t>
    </r>
  </si>
  <si>
    <r>
      <rPr>
        <sz val="10"/>
        <rFont val="新細明體"/>
        <family val="1"/>
        <charset val="136"/>
      </rPr>
      <t>資料來源：法務部統計處</t>
    </r>
    <phoneticPr fontId="44" type="noConversion"/>
  </si>
  <si>
    <r>
      <rPr>
        <sz val="15"/>
        <rFont val="新細明體"/>
        <family val="1"/>
        <charset val="136"/>
      </rPr>
      <t>表</t>
    </r>
    <r>
      <rPr>
        <sz val="15"/>
        <rFont val="Times New Roman"/>
        <family val="1"/>
      </rPr>
      <t xml:space="preserve">2-1-7   </t>
    </r>
    <r>
      <rPr>
        <sz val="15"/>
        <rFont val="新細明體"/>
        <family val="1"/>
        <charset val="136"/>
      </rPr>
      <t>近</t>
    </r>
    <r>
      <rPr>
        <sz val="15"/>
        <rFont val="Times New Roman"/>
        <family val="1"/>
      </rPr>
      <t>6</t>
    </r>
    <r>
      <rPr>
        <sz val="15"/>
        <rFont val="新細明體"/>
        <family val="1"/>
        <charset val="136"/>
      </rPr>
      <t>年地方檢察署刑事案件偵查終結情形</t>
    </r>
    <phoneticPr fontId="44" type="noConversion"/>
  </si>
  <si>
    <r>
      <rPr>
        <sz val="11"/>
        <rFont val="新細明體"/>
        <family val="1"/>
        <charset val="136"/>
      </rPr>
      <t>單位：件、人、</t>
    </r>
    <r>
      <rPr>
        <sz val="11"/>
        <rFont val="Times New Roman"/>
        <family val="1"/>
      </rPr>
      <t>%</t>
    </r>
    <phoneticPr fontId="44" type="noConversion"/>
  </si>
  <si>
    <r>
      <t>103</t>
    </r>
    <r>
      <rPr>
        <sz val="12"/>
        <rFont val="新細明體"/>
        <family val="1"/>
        <charset val="136"/>
      </rPr>
      <t>年</t>
    </r>
    <phoneticPr fontId="115" type="noConversion"/>
  </si>
  <si>
    <r>
      <rPr>
        <sz val="11"/>
        <rFont val="新細明體"/>
        <family val="1"/>
        <charset val="136"/>
      </rPr>
      <t>普通刑法</t>
    </r>
    <phoneticPr fontId="44" type="noConversion"/>
  </si>
  <si>
    <r>
      <rPr>
        <sz val="11"/>
        <rFont val="新細明體"/>
        <family val="1"/>
        <charset val="136"/>
      </rPr>
      <t>特別刑法</t>
    </r>
    <phoneticPr fontId="44" type="noConversion"/>
  </si>
  <si>
    <r>
      <rPr>
        <sz val="11"/>
        <rFont val="新細明體"/>
        <family val="1"/>
        <charset val="136"/>
      </rPr>
      <t>特別刑法</t>
    </r>
    <phoneticPr fontId="44" type="noConversion"/>
  </si>
  <si>
    <r>
      <rPr>
        <sz val="11"/>
        <rFont val="新細明體"/>
        <family val="1"/>
        <charset val="136"/>
      </rPr>
      <t>件數</t>
    </r>
    <phoneticPr fontId="44" type="noConversion"/>
  </si>
  <si>
    <r>
      <rPr>
        <sz val="11"/>
        <rFont val="新細明體"/>
        <family val="1"/>
        <charset val="136"/>
      </rPr>
      <t>人數</t>
    </r>
    <phoneticPr fontId="44" type="noConversion"/>
  </si>
  <si>
    <r>
      <rPr>
        <sz val="11"/>
        <rFont val="新細明體"/>
        <family val="1"/>
        <charset val="136"/>
      </rPr>
      <t>件數</t>
    </r>
    <phoneticPr fontId="44" type="noConversion"/>
  </si>
  <si>
    <r>
      <rPr>
        <sz val="11"/>
        <rFont val="新細明體"/>
        <family val="1"/>
        <charset val="136"/>
      </rPr>
      <t>人數</t>
    </r>
    <phoneticPr fontId="44" type="noConversion"/>
  </si>
  <si>
    <r>
      <rPr>
        <sz val="11"/>
        <rFont val="新細明體"/>
        <family val="1"/>
        <charset val="136"/>
      </rPr>
      <t>總計</t>
    </r>
    <phoneticPr fontId="44" type="noConversion"/>
  </si>
  <si>
    <r>
      <rPr>
        <sz val="11"/>
        <rFont val="新細明體"/>
        <family val="1"/>
        <charset val="136"/>
      </rPr>
      <t>通常程序
提起公訴</t>
    </r>
    <phoneticPr fontId="44" type="noConversion"/>
  </si>
  <si>
    <r>
      <rPr>
        <sz val="11"/>
        <rFont val="新細明體"/>
        <family val="1"/>
        <charset val="136"/>
      </rPr>
      <t>聲請簡易
判決處刑</t>
    </r>
    <phoneticPr fontId="44" type="noConversion"/>
  </si>
  <si>
    <r>
      <rPr>
        <sz val="11"/>
        <rFont val="新細明體"/>
        <family val="1"/>
        <charset val="136"/>
      </rPr>
      <t>緩起訴處分</t>
    </r>
    <phoneticPr fontId="44" type="noConversion"/>
  </si>
  <si>
    <r>
      <rPr>
        <sz val="11"/>
        <rFont val="新細明體"/>
        <family val="1"/>
        <charset val="136"/>
      </rPr>
      <t>不起訴處分</t>
    </r>
    <phoneticPr fontId="44" type="noConversion"/>
  </si>
  <si>
    <r>
      <rPr>
        <sz val="11"/>
        <rFont val="新細明體"/>
        <family val="1"/>
        <charset val="136"/>
      </rPr>
      <t>其他</t>
    </r>
    <phoneticPr fontId="44" type="noConversion"/>
  </si>
  <si>
    <r>
      <t>106</t>
    </r>
    <r>
      <rPr>
        <sz val="12"/>
        <rFont val="新細明體"/>
        <family val="1"/>
        <charset val="136"/>
      </rPr>
      <t>年</t>
    </r>
    <phoneticPr fontId="115" type="noConversion"/>
  </si>
  <si>
    <r>
      <rPr>
        <sz val="11"/>
        <rFont val="新細明體"/>
        <family val="1"/>
        <charset val="136"/>
      </rPr>
      <t>普通刑法</t>
    </r>
    <phoneticPr fontId="44" type="noConversion"/>
  </si>
  <si>
    <r>
      <rPr>
        <sz val="11"/>
        <rFont val="新細明體"/>
        <family val="1"/>
        <charset val="136"/>
      </rPr>
      <t>件數</t>
    </r>
    <phoneticPr fontId="44" type="noConversion"/>
  </si>
  <si>
    <r>
      <rPr>
        <sz val="11"/>
        <rFont val="新細明體"/>
        <family val="1"/>
        <charset val="136"/>
      </rPr>
      <t>總計</t>
    </r>
    <phoneticPr fontId="44" type="noConversion"/>
  </si>
  <si>
    <t>資料來源：法務部統計處</t>
    <phoneticPr fontId="44" type="noConversion"/>
  </si>
  <si>
    <r>
      <rPr>
        <sz val="10"/>
        <rFont val="新細明體"/>
        <family val="1"/>
        <charset val="136"/>
      </rPr>
      <t>說　　明：其他包括移送調解、通緝、移轉管轄、移送法院併案審理、毒品案件移送戒治所、改作自訴、被告死亡及其他簽結等。</t>
    </r>
    <phoneticPr fontId="44" type="noConversion"/>
  </si>
  <si>
    <t xml:space="preserve"> </t>
    <phoneticPr fontId="44" type="noConversion"/>
  </si>
  <si>
    <r>
      <rPr>
        <sz val="15"/>
        <rFont val="新細明體"/>
        <family val="1"/>
        <charset val="136"/>
      </rPr>
      <t>表</t>
    </r>
    <r>
      <rPr>
        <sz val="15"/>
        <rFont val="Times New Roman"/>
        <family val="1"/>
      </rPr>
      <t xml:space="preserve">2-1-8   </t>
    </r>
    <r>
      <rPr>
        <sz val="15"/>
        <rFont val="新細明體"/>
        <family val="1"/>
        <charset val="136"/>
      </rPr>
      <t>近</t>
    </r>
    <r>
      <rPr>
        <sz val="15"/>
        <rFont val="Times New Roman"/>
        <family val="1"/>
      </rPr>
      <t>10</t>
    </r>
    <r>
      <rPr>
        <sz val="15"/>
        <rFont val="新細明體"/>
        <family val="1"/>
        <charset val="136"/>
      </rPr>
      <t>年地方檢察署刑事案件偵查終結起訴比率</t>
    </r>
    <phoneticPr fontId="44" type="noConversion"/>
  </si>
  <si>
    <r>
      <rPr>
        <sz val="12"/>
        <rFont val="新細明體"/>
        <family val="1"/>
        <charset val="136"/>
      </rPr>
      <t>偵</t>
    </r>
    <r>
      <rPr>
        <sz val="12"/>
        <rFont val="Times New Roman"/>
        <family val="1"/>
      </rPr>
      <t xml:space="preserve"> </t>
    </r>
    <r>
      <rPr>
        <sz val="12"/>
        <rFont val="新細明體"/>
        <family val="1"/>
        <charset val="136"/>
      </rPr>
      <t>查</t>
    </r>
    <r>
      <rPr>
        <sz val="12"/>
        <rFont val="Times New Roman"/>
        <family val="1"/>
      </rPr>
      <t xml:space="preserve"> </t>
    </r>
    <r>
      <rPr>
        <sz val="12"/>
        <rFont val="新細明體"/>
        <family val="1"/>
        <charset val="136"/>
      </rPr>
      <t>終</t>
    </r>
    <r>
      <rPr>
        <sz val="12"/>
        <rFont val="Times New Roman"/>
        <family val="1"/>
      </rPr>
      <t xml:space="preserve"> </t>
    </r>
    <r>
      <rPr>
        <sz val="12"/>
        <rFont val="新細明體"/>
        <family val="1"/>
        <charset val="136"/>
      </rPr>
      <t>結</t>
    </r>
    <r>
      <rPr>
        <sz val="12"/>
        <rFont val="Times New Roman"/>
        <family val="1"/>
      </rPr>
      <t xml:space="preserve"> </t>
    </r>
    <r>
      <rPr>
        <sz val="12"/>
        <rFont val="新細明體"/>
        <family val="1"/>
        <charset val="136"/>
      </rPr>
      <t>總</t>
    </r>
    <r>
      <rPr>
        <sz val="12"/>
        <rFont val="Times New Roman"/>
        <family val="1"/>
      </rPr>
      <t xml:space="preserve"> </t>
    </r>
    <r>
      <rPr>
        <sz val="12"/>
        <rFont val="新細明體"/>
        <family val="1"/>
        <charset val="136"/>
      </rPr>
      <t>人</t>
    </r>
    <r>
      <rPr>
        <sz val="12"/>
        <rFont val="Times New Roman"/>
        <family val="1"/>
      </rPr>
      <t xml:space="preserve"> </t>
    </r>
    <r>
      <rPr>
        <sz val="12"/>
        <rFont val="新細明體"/>
        <family val="1"/>
        <charset val="136"/>
      </rPr>
      <t>數</t>
    </r>
    <phoneticPr fontId="44" type="noConversion"/>
  </si>
  <si>
    <r>
      <rPr>
        <sz val="12"/>
        <rFont val="新細明體"/>
        <family val="1"/>
        <charset val="136"/>
      </rPr>
      <t>普</t>
    </r>
    <r>
      <rPr>
        <sz val="12"/>
        <rFont val="Times New Roman"/>
        <family val="1"/>
      </rPr>
      <t xml:space="preserve"> </t>
    </r>
    <r>
      <rPr>
        <sz val="12"/>
        <rFont val="新細明體"/>
        <family val="1"/>
        <charset val="136"/>
      </rPr>
      <t>通</t>
    </r>
    <r>
      <rPr>
        <sz val="12"/>
        <rFont val="Times New Roman"/>
        <family val="1"/>
      </rPr>
      <t xml:space="preserve"> </t>
    </r>
    <r>
      <rPr>
        <sz val="12"/>
        <rFont val="新細明體"/>
        <family val="1"/>
        <charset val="136"/>
      </rPr>
      <t>刑</t>
    </r>
    <r>
      <rPr>
        <sz val="12"/>
        <rFont val="Times New Roman"/>
        <family val="1"/>
      </rPr>
      <t xml:space="preserve"> </t>
    </r>
    <r>
      <rPr>
        <sz val="12"/>
        <rFont val="新細明體"/>
        <family val="1"/>
        <charset val="136"/>
      </rPr>
      <t>法</t>
    </r>
    <r>
      <rPr>
        <sz val="12"/>
        <rFont val="Times New Roman"/>
        <family val="1"/>
      </rPr>
      <t xml:space="preserve"> </t>
    </r>
    <r>
      <rPr>
        <sz val="12"/>
        <rFont val="新細明體"/>
        <family val="1"/>
        <charset val="136"/>
      </rPr>
      <t>偵</t>
    </r>
    <r>
      <rPr>
        <sz val="12"/>
        <rFont val="Times New Roman"/>
        <family val="1"/>
      </rPr>
      <t xml:space="preserve"> </t>
    </r>
    <r>
      <rPr>
        <sz val="12"/>
        <rFont val="新細明體"/>
        <family val="1"/>
        <charset val="136"/>
      </rPr>
      <t>結</t>
    </r>
    <r>
      <rPr>
        <sz val="12"/>
        <rFont val="Times New Roman"/>
        <family val="1"/>
      </rPr>
      <t xml:space="preserve"> </t>
    </r>
    <r>
      <rPr>
        <sz val="12"/>
        <rFont val="新細明體"/>
        <family val="1"/>
        <charset val="136"/>
      </rPr>
      <t>人</t>
    </r>
    <r>
      <rPr>
        <sz val="12"/>
        <rFont val="Times New Roman"/>
        <family val="1"/>
      </rPr>
      <t xml:space="preserve"> </t>
    </r>
    <r>
      <rPr>
        <sz val="12"/>
        <rFont val="新細明體"/>
        <family val="1"/>
        <charset val="136"/>
      </rPr>
      <t>數</t>
    </r>
    <phoneticPr fontId="44" type="noConversion"/>
  </si>
  <si>
    <r>
      <rPr>
        <sz val="12"/>
        <rFont val="新細明體"/>
        <family val="1"/>
        <charset val="136"/>
      </rPr>
      <t>特</t>
    </r>
    <r>
      <rPr>
        <sz val="12"/>
        <rFont val="Times New Roman"/>
        <family val="1"/>
      </rPr>
      <t xml:space="preserve"> </t>
    </r>
    <r>
      <rPr>
        <sz val="12"/>
        <rFont val="新細明體"/>
        <family val="1"/>
        <charset val="136"/>
      </rPr>
      <t>別</t>
    </r>
    <r>
      <rPr>
        <sz val="12"/>
        <rFont val="Times New Roman"/>
        <family val="1"/>
      </rPr>
      <t xml:space="preserve"> </t>
    </r>
    <r>
      <rPr>
        <sz val="12"/>
        <rFont val="新細明體"/>
        <family val="1"/>
        <charset val="136"/>
      </rPr>
      <t>刑</t>
    </r>
    <r>
      <rPr>
        <sz val="12"/>
        <rFont val="Times New Roman"/>
        <family val="1"/>
      </rPr>
      <t xml:space="preserve"> </t>
    </r>
    <r>
      <rPr>
        <sz val="12"/>
        <rFont val="新細明體"/>
        <family val="1"/>
        <charset val="136"/>
      </rPr>
      <t>法</t>
    </r>
    <r>
      <rPr>
        <sz val="12"/>
        <rFont val="Times New Roman"/>
        <family val="1"/>
      </rPr>
      <t xml:space="preserve"> </t>
    </r>
    <r>
      <rPr>
        <sz val="12"/>
        <rFont val="新細明體"/>
        <family val="1"/>
        <charset val="136"/>
      </rPr>
      <t>偵</t>
    </r>
    <r>
      <rPr>
        <sz val="12"/>
        <rFont val="Times New Roman"/>
        <family val="1"/>
      </rPr>
      <t xml:space="preserve"> </t>
    </r>
    <r>
      <rPr>
        <sz val="12"/>
        <rFont val="新細明體"/>
        <family val="1"/>
        <charset val="136"/>
      </rPr>
      <t>結</t>
    </r>
    <r>
      <rPr>
        <sz val="12"/>
        <rFont val="Times New Roman"/>
        <family val="1"/>
      </rPr>
      <t xml:space="preserve"> </t>
    </r>
    <r>
      <rPr>
        <sz val="12"/>
        <rFont val="新細明體"/>
        <family val="1"/>
        <charset val="136"/>
      </rPr>
      <t>人</t>
    </r>
    <r>
      <rPr>
        <sz val="12"/>
        <rFont val="Times New Roman"/>
        <family val="1"/>
      </rPr>
      <t xml:space="preserve"> </t>
    </r>
    <r>
      <rPr>
        <sz val="12"/>
        <rFont val="新細明體"/>
        <family val="1"/>
        <charset val="136"/>
      </rPr>
      <t>數</t>
    </r>
    <phoneticPr fontId="44" type="noConversion"/>
  </si>
  <si>
    <r>
      <t xml:space="preserve"> </t>
    </r>
    <r>
      <rPr>
        <sz val="12"/>
        <rFont val="新細明體"/>
        <family val="1"/>
        <charset val="136"/>
      </rPr>
      <t>起</t>
    </r>
    <r>
      <rPr>
        <sz val="12"/>
        <rFont val="Times New Roman"/>
        <family val="1"/>
      </rPr>
      <t xml:space="preserve">    </t>
    </r>
    <r>
      <rPr>
        <sz val="12"/>
        <rFont val="新細明體"/>
        <family val="1"/>
        <charset val="136"/>
      </rPr>
      <t>訴</t>
    </r>
    <r>
      <rPr>
        <sz val="12"/>
        <rFont val="Times New Roman"/>
        <family val="1"/>
      </rPr>
      <t xml:space="preserve"> </t>
    </r>
    <r>
      <rPr>
        <sz val="12"/>
        <color theme="1"/>
        <rFont val="新細明體"/>
        <family val="2"/>
        <scheme val="minor"/>
      </rPr>
      <t/>
    </r>
    <phoneticPr fontId="44" type="noConversion"/>
  </si>
  <si>
    <t>人</t>
    <phoneticPr fontId="44" type="noConversion"/>
  </si>
  <si>
    <t>%</t>
    <phoneticPr fontId="44" type="noConversion"/>
  </si>
  <si>
    <t>人</t>
    <phoneticPr fontId="44" type="noConversion"/>
  </si>
  <si>
    <t>%</t>
    <phoneticPr fontId="44" type="noConversion"/>
  </si>
  <si>
    <t>%</t>
    <phoneticPr fontId="44" type="noConversion"/>
  </si>
  <si>
    <r>
      <t>99</t>
    </r>
    <r>
      <rPr>
        <sz val="12"/>
        <rFont val="新細明體"/>
        <family val="1"/>
        <charset val="136"/>
      </rPr>
      <t>年</t>
    </r>
    <phoneticPr fontId="115" type="noConversion"/>
  </si>
  <si>
    <r>
      <t>100</t>
    </r>
    <r>
      <rPr>
        <sz val="12"/>
        <rFont val="新細明體"/>
        <family val="1"/>
        <charset val="136"/>
      </rPr>
      <t>年</t>
    </r>
    <phoneticPr fontId="115" type="noConversion"/>
  </si>
  <si>
    <r>
      <t>101</t>
    </r>
    <r>
      <rPr>
        <sz val="12"/>
        <rFont val="新細明體"/>
        <family val="1"/>
        <charset val="136"/>
      </rPr>
      <t>年</t>
    </r>
    <phoneticPr fontId="115" type="noConversion"/>
  </si>
  <si>
    <r>
      <t>102</t>
    </r>
    <r>
      <rPr>
        <sz val="12"/>
        <rFont val="新細明體"/>
        <family val="1"/>
        <charset val="136"/>
      </rPr>
      <t>年</t>
    </r>
    <phoneticPr fontId="115" type="noConversion"/>
  </si>
  <si>
    <r>
      <t>103</t>
    </r>
    <r>
      <rPr>
        <sz val="12"/>
        <rFont val="新細明體"/>
        <family val="1"/>
        <charset val="136"/>
      </rPr>
      <t>年</t>
    </r>
    <phoneticPr fontId="115" type="noConversion"/>
  </si>
  <si>
    <r>
      <t>105</t>
    </r>
    <r>
      <rPr>
        <sz val="12"/>
        <rFont val="新細明體"/>
        <family val="1"/>
        <charset val="136"/>
      </rPr>
      <t>年</t>
    </r>
    <phoneticPr fontId="115" type="noConversion"/>
  </si>
  <si>
    <r>
      <rPr>
        <sz val="10"/>
        <rFont val="新細明體"/>
        <family val="1"/>
        <charset val="136"/>
      </rPr>
      <t>說　　明：</t>
    </r>
    <r>
      <rPr>
        <sz val="10"/>
        <rFont val="Times New Roman"/>
        <family val="1"/>
      </rPr>
      <t xml:space="preserve">1. </t>
    </r>
    <r>
      <rPr>
        <sz val="10"/>
        <rFont val="新細明體"/>
        <family val="1"/>
        <charset val="136"/>
      </rPr>
      <t>起訴包括通常程序提起公訴及聲請簡易判決處刑。</t>
    </r>
    <phoneticPr fontId="44" type="noConversion"/>
  </si>
  <si>
    <r>
      <rPr>
        <sz val="10"/>
        <rFont val="新細明體"/>
        <family val="1"/>
        <charset val="136"/>
      </rPr>
      <t>　　　　　</t>
    </r>
    <r>
      <rPr>
        <sz val="10"/>
        <rFont val="Times New Roman"/>
        <family val="1"/>
      </rPr>
      <t xml:space="preserve">2. </t>
    </r>
    <r>
      <rPr>
        <sz val="10"/>
        <rFont val="新細明體"/>
        <family val="1"/>
        <charset val="136"/>
      </rPr>
      <t>起訴比率</t>
    </r>
    <r>
      <rPr>
        <sz val="10"/>
        <rFont val="Times New Roman"/>
        <family val="1"/>
      </rPr>
      <t>=</t>
    </r>
    <r>
      <rPr>
        <sz val="10"/>
        <rFont val="新細明體"/>
        <family val="1"/>
        <charset val="136"/>
      </rPr>
      <t>起訴人數</t>
    </r>
    <r>
      <rPr>
        <sz val="10"/>
        <rFont val="Times New Roman"/>
        <family val="1"/>
      </rPr>
      <t>/</t>
    </r>
    <r>
      <rPr>
        <sz val="10"/>
        <rFont val="新細明體"/>
        <family val="1"/>
        <charset val="136"/>
      </rPr>
      <t>偵查終結總人數</t>
    </r>
    <r>
      <rPr>
        <sz val="10"/>
        <rFont val="Times New Roman"/>
        <family val="1"/>
      </rPr>
      <t>×100</t>
    </r>
    <r>
      <rPr>
        <sz val="10"/>
        <rFont val="新細明體"/>
        <family val="1"/>
        <charset val="136"/>
      </rPr>
      <t>。</t>
    </r>
    <phoneticPr fontId="44" type="noConversion"/>
  </si>
  <si>
    <r>
      <rPr>
        <sz val="15"/>
        <rFont val="新細明體"/>
        <family val="1"/>
        <charset val="136"/>
      </rPr>
      <t>表</t>
    </r>
    <r>
      <rPr>
        <sz val="15"/>
        <rFont val="Times New Roman"/>
        <family val="1"/>
      </rPr>
      <t>2-1-9</t>
    </r>
    <r>
      <rPr>
        <sz val="15"/>
        <rFont val="新細明體"/>
        <family val="1"/>
        <charset val="136"/>
      </rPr>
      <t>　近</t>
    </r>
    <r>
      <rPr>
        <sz val="15"/>
        <rFont val="Times New Roman"/>
        <family val="1"/>
      </rPr>
      <t>5</t>
    </r>
    <r>
      <rPr>
        <sz val="15"/>
        <rFont val="新細明體"/>
        <family val="1"/>
        <charset val="136"/>
      </rPr>
      <t>年地方檢察署偵結起訴普通刑法犯罪人數主要罪名</t>
    </r>
    <phoneticPr fontId="44" type="noConversion"/>
  </si>
  <si>
    <r>
      <rPr>
        <sz val="11"/>
        <rFont val="新細明體"/>
        <family val="1"/>
        <charset val="136"/>
      </rPr>
      <t>單位：人、</t>
    </r>
    <r>
      <rPr>
        <sz val="11"/>
        <rFont val="Times New Roman"/>
        <family val="1"/>
      </rPr>
      <t>%</t>
    </r>
  </si>
  <si>
    <r>
      <rPr>
        <sz val="12"/>
        <rFont val="新細明體"/>
        <family val="1"/>
        <charset val="136"/>
      </rPr>
      <t>罪</t>
    </r>
    <r>
      <rPr>
        <sz val="12"/>
        <rFont val="Times New Roman"/>
        <family val="1"/>
      </rPr>
      <t xml:space="preserve">    </t>
    </r>
    <r>
      <rPr>
        <sz val="12"/>
        <rFont val="新細明體"/>
        <family val="1"/>
        <charset val="136"/>
      </rPr>
      <t>名</t>
    </r>
    <r>
      <rPr>
        <sz val="12"/>
        <rFont val="Times New Roman"/>
        <family val="1"/>
      </rPr>
      <t xml:space="preserve">    </t>
    </r>
    <r>
      <rPr>
        <sz val="12"/>
        <rFont val="新細明體"/>
        <family val="1"/>
        <charset val="136"/>
      </rPr>
      <t>別</t>
    </r>
  </si>
  <si>
    <r>
      <rPr>
        <sz val="12"/>
        <rFont val="新細明體"/>
        <family val="1"/>
        <charset val="136"/>
      </rPr>
      <t>年</t>
    </r>
    <r>
      <rPr>
        <sz val="12"/>
        <rFont val="Times New Roman"/>
        <family val="1"/>
      </rPr>
      <t xml:space="preserve"> </t>
    </r>
    <r>
      <rPr>
        <sz val="12"/>
        <rFont val="新細明體"/>
        <family val="1"/>
        <charset val="136"/>
      </rPr>
      <t>偵</t>
    </r>
    <r>
      <rPr>
        <sz val="12"/>
        <rFont val="Times New Roman"/>
        <family val="1"/>
      </rPr>
      <t xml:space="preserve"> </t>
    </r>
    <r>
      <rPr>
        <sz val="12"/>
        <rFont val="新細明體"/>
        <family val="1"/>
        <charset val="136"/>
      </rPr>
      <t>結</t>
    </r>
    <r>
      <rPr>
        <sz val="12"/>
        <rFont val="Times New Roman"/>
        <family val="1"/>
      </rPr>
      <t xml:space="preserve"> </t>
    </r>
    <r>
      <rPr>
        <sz val="12"/>
        <rFont val="新細明體"/>
        <family val="1"/>
        <charset val="136"/>
      </rPr>
      <t>總</t>
    </r>
    <r>
      <rPr>
        <sz val="12"/>
        <rFont val="Times New Roman"/>
        <family val="1"/>
      </rPr>
      <t xml:space="preserve"> </t>
    </r>
    <r>
      <rPr>
        <sz val="12"/>
        <rFont val="新細明體"/>
        <family val="1"/>
        <charset val="136"/>
      </rPr>
      <t>人</t>
    </r>
    <r>
      <rPr>
        <sz val="12"/>
        <rFont val="Times New Roman"/>
        <family val="1"/>
      </rPr>
      <t xml:space="preserve"> </t>
    </r>
    <r>
      <rPr>
        <sz val="12"/>
        <rFont val="新細明體"/>
        <family val="1"/>
        <charset val="136"/>
      </rPr>
      <t>數</t>
    </r>
    <phoneticPr fontId="44" type="noConversion"/>
  </si>
  <si>
    <r>
      <rPr>
        <sz val="12"/>
        <rFont val="新細明體"/>
        <family val="1"/>
        <charset val="136"/>
      </rPr>
      <t>年</t>
    </r>
    <r>
      <rPr>
        <sz val="12"/>
        <rFont val="Times New Roman"/>
        <family val="1"/>
      </rPr>
      <t xml:space="preserve"> </t>
    </r>
    <r>
      <rPr>
        <sz val="12"/>
        <rFont val="新細明體"/>
        <family val="1"/>
        <charset val="136"/>
      </rPr>
      <t>偵</t>
    </r>
    <r>
      <rPr>
        <sz val="12"/>
        <rFont val="Times New Roman"/>
        <family val="1"/>
      </rPr>
      <t xml:space="preserve"> </t>
    </r>
    <r>
      <rPr>
        <sz val="12"/>
        <rFont val="新細明體"/>
        <family val="1"/>
        <charset val="136"/>
      </rPr>
      <t>結</t>
    </r>
    <r>
      <rPr>
        <sz val="12"/>
        <rFont val="Times New Roman"/>
        <family val="1"/>
      </rPr>
      <t xml:space="preserve"> </t>
    </r>
    <r>
      <rPr>
        <sz val="12"/>
        <rFont val="新細明體"/>
        <family val="1"/>
        <charset val="136"/>
      </rPr>
      <t>總</t>
    </r>
    <r>
      <rPr>
        <sz val="12"/>
        <rFont val="Times New Roman"/>
        <family val="1"/>
      </rPr>
      <t xml:space="preserve"> </t>
    </r>
    <r>
      <rPr>
        <sz val="12"/>
        <rFont val="新細明體"/>
        <family val="1"/>
        <charset val="136"/>
      </rPr>
      <t>人</t>
    </r>
    <r>
      <rPr>
        <sz val="12"/>
        <rFont val="Times New Roman"/>
        <family val="1"/>
      </rPr>
      <t xml:space="preserve"> </t>
    </r>
    <r>
      <rPr>
        <sz val="12"/>
        <rFont val="新細明體"/>
        <family val="1"/>
        <charset val="136"/>
      </rPr>
      <t>數</t>
    </r>
    <phoneticPr fontId="44" type="noConversion"/>
  </si>
  <si>
    <r>
      <rPr>
        <sz val="12"/>
        <rFont val="新細明體"/>
        <family val="1"/>
        <charset val="136"/>
      </rPr>
      <t>起訴
人數</t>
    </r>
    <phoneticPr fontId="44" type="noConversion"/>
  </si>
  <si>
    <r>
      <rPr>
        <sz val="12"/>
        <rFont val="新細明體"/>
        <family val="1"/>
        <charset val="136"/>
      </rPr>
      <t>起訴比率</t>
    </r>
    <phoneticPr fontId="44" type="noConversion"/>
  </si>
  <si>
    <r>
      <rPr>
        <sz val="12"/>
        <rFont val="新細明體"/>
        <family val="1"/>
        <charset val="136"/>
      </rPr>
      <t>起訴
比率</t>
    </r>
    <phoneticPr fontId="44" type="noConversion"/>
  </si>
  <si>
    <r>
      <rPr>
        <sz val="12"/>
        <rFont val="新細明體"/>
        <family val="1"/>
        <charset val="136"/>
      </rPr>
      <t>起訴
人數</t>
    </r>
    <phoneticPr fontId="44" type="noConversion"/>
  </si>
  <si>
    <r>
      <rPr>
        <sz val="12"/>
        <rFont val="新細明體"/>
        <family val="1"/>
        <charset val="136"/>
      </rPr>
      <t>起訴比率</t>
    </r>
    <phoneticPr fontId="44" type="noConversion"/>
  </si>
  <si>
    <r>
      <rPr>
        <sz val="12"/>
        <rFont val="新細明體"/>
        <family val="1"/>
        <charset val="136"/>
      </rPr>
      <t>起訴
比率</t>
    </r>
    <phoneticPr fontId="44" type="noConversion"/>
  </si>
  <si>
    <r>
      <rPr>
        <sz val="12"/>
        <rFont val="新細明體"/>
        <family val="1"/>
        <charset val="136"/>
      </rPr>
      <t>男</t>
    </r>
    <phoneticPr fontId="44" type="noConversion"/>
  </si>
  <si>
    <r>
      <rPr>
        <sz val="12"/>
        <rFont val="新細明體"/>
        <family val="1"/>
        <charset val="136"/>
      </rPr>
      <t>女</t>
    </r>
    <phoneticPr fontId="44" type="noConversion"/>
  </si>
  <si>
    <r>
      <rPr>
        <sz val="12"/>
        <rFont val="新細明體"/>
        <family val="1"/>
        <charset val="136"/>
      </rPr>
      <t>女</t>
    </r>
    <phoneticPr fontId="44" type="noConversion"/>
  </si>
  <si>
    <r>
      <rPr>
        <sz val="12"/>
        <rFont val="新細明體"/>
        <family val="1"/>
        <charset val="136"/>
      </rPr>
      <t>女</t>
    </r>
    <phoneticPr fontId="44" type="noConversion"/>
  </si>
  <si>
    <r>
      <rPr>
        <sz val="12"/>
        <rFont val="新細明體"/>
        <family val="1"/>
        <charset val="136"/>
      </rPr>
      <t>女</t>
    </r>
    <phoneticPr fontId="44" type="noConversion"/>
  </si>
  <si>
    <r>
      <rPr>
        <sz val="12"/>
        <rFont val="新細明體"/>
        <family val="1"/>
        <charset val="136"/>
      </rPr>
      <t>搶奪強盜及海盜罪</t>
    </r>
    <phoneticPr fontId="44" type="noConversion"/>
  </si>
  <si>
    <r>
      <rPr>
        <sz val="12"/>
        <rFont val="新細明體"/>
        <family val="1"/>
        <charset val="136"/>
      </rPr>
      <t>竊盜罪</t>
    </r>
    <phoneticPr fontId="44" type="noConversion"/>
  </si>
  <si>
    <r>
      <rPr>
        <sz val="12"/>
        <rFont val="新細明體"/>
        <family val="1"/>
        <charset val="136"/>
      </rPr>
      <t>贓物罪</t>
    </r>
    <phoneticPr fontId="44" type="noConversion"/>
  </si>
  <si>
    <r>
      <rPr>
        <sz val="12"/>
        <rFont val="新細明體"/>
        <family val="1"/>
        <charset val="136"/>
      </rPr>
      <t>妨害性自主</t>
    </r>
    <phoneticPr fontId="44" type="noConversion"/>
  </si>
  <si>
    <r>
      <rPr>
        <sz val="12"/>
        <rFont val="新細明體"/>
        <family val="1"/>
        <charset val="136"/>
      </rPr>
      <t>傷害罪</t>
    </r>
    <phoneticPr fontId="44" type="noConversion"/>
  </si>
  <si>
    <r>
      <rPr>
        <sz val="12"/>
        <rFont val="新細明體"/>
        <family val="1"/>
        <charset val="136"/>
      </rPr>
      <t>瀆職罪</t>
    </r>
    <phoneticPr fontId="44" type="noConversion"/>
  </si>
  <si>
    <r>
      <rPr>
        <sz val="12"/>
        <rFont val="新細明體"/>
        <family val="1"/>
        <charset val="136"/>
      </rPr>
      <t>侵占罪</t>
    </r>
    <phoneticPr fontId="44" type="noConversion"/>
  </si>
  <si>
    <r>
      <rPr>
        <sz val="12"/>
        <rFont val="新細明體"/>
        <family val="1"/>
        <charset val="136"/>
      </rPr>
      <t>偽證及誣告罪</t>
    </r>
    <phoneticPr fontId="44" type="noConversion"/>
  </si>
  <si>
    <r>
      <rPr>
        <sz val="12"/>
        <rFont val="新細明體"/>
        <family val="1"/>
        <charset val="136"/>
      </rPr>
      <t>背信及重利罪</t>
    </r>
    <phoneticPr fontId="44" type="noConversion"/>
  </si>
  <si>
    <r>
      <rPr>
        <sz val="10"/>
        <rFont val="新細明體"/>
        <family val="1"/>
        <charset val="136"/>
      </rPr>
      <t>說　　明：</t>
    </r>
    <r>
      <rPr>
        <sz val="10"/>
        <rFont val="Times New Roman"/>
        <family val="1"/>
      </rPr>
      <t xml:space="preserve">1. </t>
    </r>
    <r>
      <rPr>
        <sz val="10"/>
        <rFont val="新細明體"/>
        <family val="1"/>
        <charset val="136"/>
      </rPr>
      <t>起訴包括通常程序提起公訴及聲請簡易判決處刑。</t>
    </r>
    <phoneticPr fontId="44" type="noConversion"/>
  </si>
  <si>
    <r>
      <rPr>
        <sz val="10"/>
        <rFont val="新細明體"/>
        <family val="1"/>
        <charset val="136"/>
      </rPr>
      <t>　　　　　</t>
    </r>
    <r>
      <rPr>
        <sz val="10"/>
        <rFont val="Times New Roman"/>
        <family val="1"/>
      </rPr>
      <t xml:space="preserve">2. </t>
    </r>
    <r>
      <rPr>
        <sz val="10"/>
        <rFont val="新細明體"/>
        <family val="1"/>
        <charset val="136"/>
      </rPr>
      <t>起訴比率</t>
    </r>
    <r>
      <rPr>
        <sz val="10"/>
        <rFont val="Times New Roman"/>
        <family val="1"/>
      </rPr>
      <t>=</t>
    </r>
    <r>
      <rPr>
        <sz val="10"/>
        <rFont val="新細明體"/>
        <family val="1"/>
        <charset val="136"/>
      </rPr>
      <t>起訴人數</t>
    </r>
    <r>
      <rPr>
        <sz val="10"/>
        <rFont val="Times New Roman"/>
        <family val="1"/>
      </rPr>
      <t>/</t>
    </r>
    <r>
      <rPr>
        <sz val="10"/>
        <rFont val="新細明體"/>
        <family val="1"/>
        <charset val="136"/>
      </rPr>
      <t>偵結總人數</t>
    </r>
    <r>
      <rPr>
        <sz val="10"/>
        <rFont val="Times New Roman"/>
        <family val="1"/>
      </rPr>
      <t>×100</t>
    </r>
    <r>
      <rPr>
        <sz val="10"/>
        <rFont val="新細明體"/>
        <family val="1"/>
        <charset val="136"/>
      </rPr>
      <t>。</t>
    </r>
    <phoneticPr fontId="44" type="noConversion"/>
  </si>
  <si>
    <r>
      <rPr>
        <sz val="15"/>
        <rFont val="新細明體"/>
        <family val="1"/>
        <charset val="136"/>
      </rPr>
      <t>表</t>
    </r>
    <r>
      <rPr>
        <sz val="15"/>
        <rFont val="Times New Roman"/>
        <family val="1"/>
      </rPr>
      <t xml:space="preserve">2-1-10   </t>
    </r>
    <r>
      <rPr>
        <sz val="15"/>
        <rFont val="新細明體"/>
        <family val="1"/>
        <charset val="136"/>
      </rPr>
      <t>近</t>
    </r>
    <r>
      <rPr>
        <sz val="15"/>
        <rFont val="Times New Roman"/>
        <family val="1"/>
      </rPr>
      <t>5</t>
    </r>
    <r>
      <rPr>
        <sz val="15"/>
        <rFont val="新細明體"/>
        <family val="1"/>
        <charset val="136"/>
      </rPr>
      <t>年地方檢察署偵結起訴特別刑法犯罪人數主要罪名</t>
    </r>
    <phoneticPr fontId="44" type="noConversion"/>
  </si>
  <si>
    <r>
      <rPr>
        <sz val="12"/>
        <rFont val="新細明體"/>
        <family val="1"/>
        <charset val="136"/>
      </rPr>
      <t>年</t>
    </r>
    <r>
      <rPr>
        <sz val="12"/>
        <rFont val="Times New Roman"/>
        <family val="1"/>
      </rPr>
      <t xml:space="preserve"> </t>
    </r>
    <r>
      <rPr>
        <sz val="12"/>
        <rFont val="新細明體"/>
        <family val="1"/>
        <charset val="136"/>
      </rPr>
      <t>偵</t>
    </r>
    <r>
      <rPr>
        <sz val="12"/>
        <rFont val="Times New Roman"/>
        <family val="1"/>
      </rPr>
      <t xml:space="preserve"> </t>
    </r>
    <r>
      <rPr>
        <sz val="12"/>
        <rFont val="新細明體"/>
        <family val="1"/>
        <charset val="136"/>
      </rPr>
      <t>結</t>
    </r>
    <r>
      <rPr>
        <sz val="12"/>
        <rFont val="Times New Roman"/>
        <family val="1"/>
      </rPr>
      <t xml:space="preserve"> </t>
    </r>
    <r>
      <rPr>
        <sz val="12"/>
        <rFont val="新細明體"/>
        <family val="1"/>
        <charset val="136"/>
      </rPr>
      <t>總</t>
    </r>
    <r>
      <rPr>
        <sz val="12"/>
        <rFont val="Times New Roman"/>
        <family val="1"/>
      </rPr>
      <t xml:space="preserve"> </t>
    </r>
    <r>
      <rPr>
        <sz val="12"/>
        <rFont val="新細明體"/>
        <family val="1"/>
        <charset val="136"/>
      </rPr>
      <t>人</t>
    </r>
    <r>
      <rPr>
        <sz val="12"/>
        <rFont val="Times New Roman"/>
        <family val="1"/>
      </rPr>
      <t xml:space="preserve"> </t>
    </r>
    <r>
      <rPr>
        <sz val="12"/>
        <rFont val="新細明體"/>
        <family val="1"/>
        <charset val="136"/>
      </rPr>
      <t>數</t>
    </r>
    <phoneticPr fontId="44" type="noConversion"/>
  </si>
  <si>
    <t>起訴
比率</t>
    <phoneticPr fontId="44" type="noConversion"/>
  </si>
  <si>
    <t>起訴
比率</t>
    <phoneticPr fontId="44" type="noConversion"/>
  </si>
  <si>
    <r>
      <rPr>
        <sz val="12"/>
        <rFont val="新細明體"/>
        <family val="1"/>
        <charset val="136"/>
      </rPr>
      <t>起訴
人數</t>
    </r>
    <phoneticPr fontId="44" type="noConversion"/>
  </si>
  <si>
    <r>
      <rPr>
        <sz val="12"/>
        <rFont val="新細明體"/>
        <family val="1"/>
        <charset val="136"/>
      </rPr>
      <t>男</t>
    </r>
    <phoneticPr fontId="44" type="noConversion"/>
  </si>
  <si>
    <r>
      <rPr>
        <sz val="12"/>
        <rFont val="新細明體"/>
        <family val="1"/>
        <charset val="136"/>
      </rPr>
      <t>組織犯罪防制條例</t>
    </r>
  </si>
  <si>
    <t>-</t>
    <phoneticPr fontId="115" type="noConversion"/>
  </si>
  <si>
    <r>
      <rPr>
        <sz val="12"/>
        <rFont val="新細明體"/>
        <family val="1"/>
        <charset val="136"/>
      </rPr>
      <t>森林法</t>
    </r>
  </si>
  <si>
    <r>
      <rPr>
        <sz val="12"/>
        <rFont val="新細明體"/>
        <family val="1"/>
        <charset val="136"/>
      </rPr>
      <t>家庭暴力防治法</t>
    </r>
  </si>
  <si>
    <r>
      <rPr>
        <sz val="12"/>
        <rFont val="新細明體"/>
        <family val="1"/>
        <charset val="136"/>
      </rPr>
      <t>貪污治罪條例</t>
    </r>
  </si>
  <si>
    <r>
      <rPr>
        <sz val="12"/>
        <rFont val="新細明體"/>
        <family val="1"/>
        <charset val="136"/>
      </rPr>
      <t>廢棄物清理法</t>
    </r>
  </si>
  <si>
    <r>
      <rPr>
        <sz val="12"/>
        <rFont val="新細明體"/>
        <family val="1"/>
        <charset val="136"/>
      </rPr>
      <t>藥事法</t>
    </r>
  </si>
  <si>
    <r>
      <rPr>
        <sz val="12"/>
        <rFont val="新細明體"/>
        <family val="1"/>
        <charset val="136"/>
      </rPr>
      <t>兒童及少年性剝削防制條例</t>
    </r>
  </si>
  <si>
    <r>
      <rPr>
        <sz val="12"/>
        <rFont val="新細明體"/>
        <family val="1"/>
        <charset val="136"/>
      </rPr>
      <t>公職人員選舉罷免法</t>
    </r>
  </si>
  <si>
    <r>
      <rPr>
        <sz val="12"/>
        <rFont val="新細明體"/>
        <family val="1"/>
        <charset val="136"/>
      </rPr>
      <t>食品安全衛生管理法</t>
    </r>
  </si>
  <si>
    <r>
      <rPr>
        <sz val="12"/>
        <rFont val="新細明體"/>
        <family val="1"/>
        <charset val="136"/>
      </rPr>
      <t>政府採購法</t>
    </r>
  </si>
  <si>
    <r>
      <rPr>
        <sz val="12"/>
        <rFont val="新細明體"/>
        <family val="1"/>
        <charset val="136"/>
      </rPr>
      <t>商標法</t>
    </r>
  </si>
  <si>
    <r>
      <rPr>
        <sz val="11"/>
        <rFont val="新細明體"/>
        <family val="1"/>
        <charset val="136"/>
      </rPr>
      <t>臺灣地區與大陸地區人民關係條例</t>
    </r>
  </si>
  <si>
    <r>
      <rPr>
        <sz val="12"/>
        <rFont val="新細明體"/>
        <family val="1"/>
        <charset val="136"/>
      </rPr>
      <t>妨害兵役治罪條例</t>
    </r>
  </si>
  <si>
    <t>-</t>
    <phoneticPr fontId="115" type="noConversion"/>
  </si>
  <si>
    <t>-</t>
    <phoneticPr fontId="115" type="noConversion"/>
  </si>
  <si>
    <r>
      <rPr>
        <sz val="12"/>
        <rFont val="新細明體"/>
        <family val="1"/>
        <charset val="136"/>
      </rPr>
      <t>個人資料保護法</t>
    </r>
  </si>
  <si>
    <r>
      <rPr>
        <sz val="12"/>
        <rFont val="新細明體"/>
        <family val="1"/>
        <charset val="136"/>
      </rPr>
      <t>其他</t>
    </r>
  </si>
  <si>
    <r>
      <rPr>
        <sz val="10"/>
        <rFont val="新細明體"/>
        <family val="1"/>
        <charset val="136"/>
      </rPr>
      <t>資料來源：法務部統計處</t>
    </r>
  </si>
  <si>
    <r>
      <rPr>
        <sz val="10"/>
        <rFont val="新細明體"/>
        <family val="1"/>
        <charset val="136"/>
      </rPr>
      <t>說　　明：</t>
    </r>
    <r>
      <rPr>
        <sz val="10"/>
        <rFont val="Times New Roman"/>
        <family val="1"/>
      </rPr>
      <t xml:space="preserve">1. </t>
    </r>
    <r>
      <rPr>
        <sz val="10"/>
        <rFont val="新細明體"/>
        <family val="1"/>
        <charset val="136"/>
      </rPr>
      <t>起訴包括通常程序提起公訴及聲請簡易判決處刑。</t>
    </r>
    <phoneticPr fontId="115" type="noConversion"/>
  </si>
  <si>
    <r>
      <rPr>
        <sz val="10"/>
        <rFont val="新細明體"/>
        <family val="1"/>
        <charset val="136"/>
      </rPr>
      <t>　　　　　</t>
    </r>
    <r>
      <rPr>
        <sz val="10"/>
        <rFont val="Times New Roman"/>
        <family val="1"/>
      </rPr>
      <t xml:space="preserve">3. </t>
    </r>
    <r>
      <rPr>
        <sz val="10"/>
        <rFont val="新細明體"/>
        <family val="1"/>
        <charset val="136"/>
      </rPr>
      <t>兒童及少年性交易防制條例自</t>
    </r>
    <r>
      <rPr>
        <sz val="10"/>
        <rFont val="Times New Roman"/>
        <family val="1"/>
      </rPr>
      <t>106</t>
    </r>
    <r>
      <rPr>
        <sz val="10"/>
        <rFont val="新細明體"/>
        <family val="1"/>
        <charset val="136"/>
      </rPr>
      <t>年</t>
    </r>
    <r>
      <rPr>
        <sz val="10"/>
        <rFont val="Times New Roman"/>
        <family val="1"/>
      </rPr>
      <t>1</t>
    </r>
    <r>
      <rPr>
        <sz val="10"/>
        <rFont val="新細明體"/>
        <family val="1"/>
        <charset val="136"/>
      </rPr>
      <t>月</t>
    </r>
    <r>
      <rPr>
        <sz val="10"/>
        <rFont val="Times New Roman"/>
        <family val="1"/>
      </rPr>
      <t>1</t>
    </r>
    <r>
      <rPr>
        <sz val="10"/>
        <rFont val="新細明體"/>
        <family val="1"/>
        <charset val="136"/>
      </rPr>
      <t>日起名稱修正為兒童及少年性剝削防制條例。</t>
    </r>
    <phoneticPr fontId="44" type="noConversion"/>
  </si>
  <si>
    <r>
      <rPr>
        <sz val="15"/>
        <rFont val="新細明體"/>
        <family val="1"/>
        <charset val="136"/>
      </rPr>
      <t>表</t>
    </r>
    <r>
      <rPr>
        <sz val="15"/>
        <rFont val="Times New Roman"/>
        <family val="1"/>
      </rPr>
      <t xml:space="preserve">2-1-11  </t>
    </r>
    <r>
      <rPr>
        <sz val="15"/>
        <rFont val="新細明體"/>
        <family val="1"/>
        <charset val="136"/>
      </rPr>
      <t>近</t>
    </r>
    <r>
      <rPr>
        <sz val="15"/>
        <rFont val="Times New Roman"/>
        <family val="1"/>
      </rPr>
      <t>10</t>
    </r>
    <r>
      <rPr>
        <sz val="15"/>
        <rFont val="新細明體"/>
        <family val="1"/>
        <charset val="136"/>
      </rPr>
      <t>年地方檢察署刑事案件偵查終結不起訴處分比率</t>
    </r>
    <phoneticPr fontId="44" type="noConversion"/>
  </si>
  <si>
    <r>
      <rPr>
        <sz val="11"/>
        <rFont val="新細明體"/>
        <family val="1"/>
        <charset val="136"/>
      </rPr>
      <t>單位：人、</t>
    </r>
    <r>
      <rPr>
        <sz val="11"/>
        <rFont val="Times New Roman"/>
        <family val="1"/>
      </rPr>
      <t>%</t>
    </r>
    <phoneticPr fontId="44" type="noConversion"/>
  </si>
  <si>
    <r>
      <rPr>
        <sz val="12"/>
        <rFont val="新細明體"/>
        <family val="1"/>
        <charset val="136"/>
      </rPr>
      <t>偵</t>
    </r>
    <r>
      <rPr>
        <sz val="12"/>
        <rFont val="Times New Roman"/>
        <family val="1"/>
      </rPr>
      <t xml:space="preserve"> </t>
    </r>
    <r>
      <rPr>
        <sz val="12"/>
        <rFont val="新細明體"/>
        <family val="1"/>
        <charset val="136"/>
      </rPr>
      <t>結</t>
    </r>
    <r>
      <rPr>
        <sz val="12"/>
        <rFont val="Times New Roman"/>
        <family val="1"/>
      </rPr>
      <t xml:space="preserve"> </t>
    </r>
    <r>
      <rPr>
        <sz val="12"/>
        <rFont val="新細明體"/>
        <family val="1"/>
        <charset val="136"/>
      </rPr>
      <t>總</t>
    </r>
    <r>
      <rPr>
        <sz val="12"/>
        <rFont val="Times New Roman"/>
        <family val="1"/>
      </rPr>
      <t xml:space="preserve"> </t>
    </r>
    <r>
      <rPr>
        <sz val="12"/>
        <rFont val="新細明體"/>
        <family val="1"/>
        <charset val="136"/>
      </rPr>
      <t>人</t>
    </r>
    <r>
      <rPr>
        <sz val="12"/>
        <rFont val="Times New Roman"/>
        <family val="1"/>
      </rPr>
      <t xml:space="preserve"> </t>
    </r>
    <r>
      <rPr>
        <sz val="12"/>
        <rFont val="新細明體"/>
        <family val="1"/>
        <charset val="136"/>
      </rPr>
      <t>數</t>
    </r>
    <phoneticPr fontId="44" type="noConversion"/>
  </si>
  <si>
    <r>
      <rPr>
        <sz val="12"/>
        <rFont val="新細明體"/>
        <family val="1"/>
        <charset val="136"/>
      </rPr>
      <t>普</t>
    </r>
    <r>
      <rPr>
        <sz val="12"/>
        <rFont val="Times New Roman"/>
        <family val="1"/>
      </rPr>
      <t xml:space="preserve"> </t>
    </r>
    <r>
      <rPr>
        <sz val="12"/>
        <rFont val="新細明體"/>
        <family val="1"/>
        <charset val="136"/>
      </rPr>
      <t>通</t>
    </r>
    <r>
      <rPr>
        <sz val="12"/>
        <rFont val="Times New Roman"/>
        <family val="1"/>
      </rPr>
      <t xml:space="preserve"> </t>
    </r>
    <r>
      <rPr>
        <sz val="12"/>
        <rFont val="新細明體"/>
        <family val="1"/>
        <charset val="136"/>
      </rPr>
      <t>刑</t>
    </r>
    <r>
      <rPr>
        <sz val="12"/>
        <rFont val="Times New Roman"/>
        <family val="1"/>
      </rPr>
      <t xml:space="preserve"> </t>
    </r>
    <r>
      <rPr>
        <sz val="12"/>
        <rFont val="新細明體"/>
        <family val="1"/>
        <charset val="136"/>
      </rPr>
      <t>法</t>
    </r>
    <r>
      <rPr>
        <sz val="12"/>
        <rFont val="Times New Roman"/>
        <family val="1"/>
      </rPr>
      <t xml:space="preserve"> </t>
    </r>
    <r>
      <rPr>
        <sz val="12"/>
        <rFont val="新細明體"/>
        <family val="1"/>
        <charset val="136"/>
      </rPr>
      <t>偵</t>
    </r>
    <r>
      <rPr>
        <sz val="12"/>
        <rFont val="Times New Roman"/>
        <family val="1"/>
      </rPr>
      <t xml:space="preserve"> </t>
    </r>
    <r>
      <rPr>
        <sz val="12"/>
        <rFont val="新細明體"/>
        <family val="1"/>
        <charset val="136"/>
      </rPr>
      <t>結</t>
    </r>
    <r>
      <rPr>
        <sz val="12"/>
        <rFont val="Times New Roman"/>
        <family val="1"/>
      </rPr>
      <t xml:space="preserve"> </t>
    </r>
    <r>
      <rPr>
        <sz val="12"/>
        <rFont val="新細明體"/>
        <family val="1"/>
        <charset val="136"/>
      </rPr>
      <t>人</t>
    </r>
    <r>
      <rPr>
        <sz val="12"/>
        <rFont val="Times New Roman"/>
        <family val="1"/>
      </rPr>
      <t xml:space="preserve"> </t>
    </r>
    <r>
      <rPr>
        <sz val="12"/>
        <rFont val="新細明體"/>
        <family val="1"/>
        <charset val="136"/>
      </rPr>
      <t>數</t>
    </r>
    <phoneticPr fontId="44" type="noConversion"/>
  </si>
  <si>
    <r>
      <rPr>
        <sz val="12"/>
        <rFont val="新細明體"/>
        <family val="1"/>
        <charset val="136"/>
      </rPr>
      <t>特</t>
    </r>
    <r>
      <rPr>
        <sz val="12"/>
        <rFont val="Times New Roman"/>
        <family val="1"/>
      </rPr>
      <t xml:space="preserve"> </t>
    </r>
    <r>
      <rPr>
        <sz val="12"/>
        <rFont val="新細明體"/>
        <family val="1"/>
        <charset val="136"/>
      </rPr>
      <t>別</t>
    </r>
    <r>
      <rPr>
        <sz val="12"/>
        <rFont val="Times New Roman"/>
        <family val="1"/>
      </rPr>
      <t xml:space="preserve"> </t>
    </r>
    <r>
      <rPr>
        <sz val="12"/>
        <rFont val="新細明體"/>
        <family val="1"/>
        <charset val="136"/>
      </rPr>
      <t>刑</t>
    </r>
    <r>
      <rPr>
        <sz val="12"/>
        <rFont val="Times New Roman"/>
        <family val="1"/>
      </rPr>
      <t xml:space="preserve"> </t>
    </r>
    <r>
      <rPr>
        <sz val="12"/>
        <rFont val="新細明體"/>
        <family val="1"/>
        <charset val="136"/>
      </rPr>
      <t>法</t>
    </r>
    <r>
      <rPr>
        <sz val="12"/>
        <rFont val="Times New Roman"/>
        <family val="1"/>
      </rPr>
      <t xml:space="preserve"> </t>
    </r>
    <r>
      <rPr>
        <sz val="12"/>
        <rFont val="新細明體"/>
        <family val="1"/>
        <charset val="136"/>
      </rPr>
      <t>偵</t>
    </r>
    <r>
      <rPr>
        <sz val="12"/>
        <rFont val="Times New Roman"/>
        <family val="1"/>
      </rPr>
      <t xml:space="preserve"> </t>
    </r>
    <r>
      <rPr>
        <sz val="12"/>
        <rFont val="新細明體"/>
        <family val="1"/>
        <charset val="136"/>
      </rPr>
      <t>結</t>
    </r>
    <r>
      <rPr>
        <sz val="12"/>
        <rFont val="Times New Roman"/>
        <family val="1"/>
      </rPr>
      <t xml:space="preserve"> </t>
    </r>
    <r>
      <rPr>
        <sz val="12"/>
        <rFont val="新細明體"/>
        <family val="1"/>
        <charset val="136"/>
      </rPr>
      <t>人</t>
    </r>
    <r>
      <rPr>
        <sz val="12"/>
        <rFont val="Times New Roman"/>
        <family val="1"/>
      </rPr>
      <t xml:space="preserve"> </t>
    </r>
    <r>
      <rPr>
        <sz val="12"/>
        <rFont val="新細明體"/>
        <family val="1"/>
        <charset val="136"/>
      </rPr>
      <t>數</t>
    </r>
    <phoneticPr fontId="44" type="noConversion"/>
  </si>
  <si>
    <r>
      <rPr>
        <sz val="12"/>
        <rFont val="新細明體"/>
        <family val="1"/>
        <charset val="136"/>
      </rPr>
      <t>不</t>
    </r>
    <r>
      <rPr>
        <sz val="12"/>
        <rFont val="Times New Roman"/>
        <family val="1"/>
      </rPr>
      <t xml:space="preserve"> </t>
    </r>
    <r>
      <rPr>
        <sz val="12"/>
        <rFont val="新細明體"/>
        <family val="1"/>
        <charset val="136"/>
      </rPr>
      <t>起</t>
    </r>
    <r>
      <rPr>
        <sz val="12"/>
        <rFont val="Times New Roman"/>
        <family val="1"/>
      </rPr>
      <t xml:space="preserve"> </t>
    </r>
    <r>
      <rPr>
        <sz val="12"/>
        <rFont val="新細明體"/>
        <family val="1"/>
        <charset val="136"/>
      </rPr>
      <t>訴</t>
    </r>
    <r>
      <rPr>
        <sz val="12"/>
        <rFont val="Times New Roman"/>
        <family val="1"/>
      </rPr>
      <t xml:space="preserve"> </t>
    </r>
    <r>
      <rPr>
        <sz val="12"/>
        <rFont val="新細明體"/>
        <family val="1"/>
        <charset val="136"/>
      </rPr>
      <t>處</t>
    </r>
    <r>
      <rPr>
        <sz val="12"/>
        <rFont val="Times New Roman"/>
        <family val="1"/>
      </rPr>
      <t xml:space="preserve"> </t>
    </r>
    <r>
      <rPr>
        <sz val="12"/>
        <rFont val="新細明體"/>
        <family val="1"/>
        <charset val="136"/>
      </rPr>
      <t>分</t>
    </r>
    <phoneticPr fontId="44" type="noConversion"/>
  </si>
  <si>
    <t>人</t>
    <phoneticPr fontId="44" type="noConversion"/>
  </si>
  <si>
    <r>
      <t>100</t>
    </r>
    <r>
      <rPr>
        <sz val="12"/>
        <rFont val="新細明體"/>
        <family val="1"/>
        <charset val="136"/>
      </rPr>
      <t>年</t>
    </r>
    <phoneticPr fontId="44" type="noConversion"/>
  </si>
  <si>
    <r>
      <t>101</t>
    </r>
    <r>
      <rPr>
        <sz val="12"/>
        <rFont val="新細明體"/>
        <family val="1"/>
        <charset val="136"/>
      </rPr>
      <t>年</t>
    </r>
    <phoneticPr fontId="44" type="noConversion"/>
  </si>
  <si>
    <r>
      <t>102</t>
    </r>
    <r>
      <rPr>
        <sz val="12"/>
        <rFont val="新細明體"/>
        <family val="1"/>
        <charset val="136"/>
      </rPr>
      <t>年</t>
    </r>
    <phoneticPr fontId="44" type="noConversion"/>
  </si>
  <si>
    <r>
      <t>103</t>
    </r>
    <r>
      <rPr>
        <sz val="12"/>
        <rFont val="新細明體"/>
        <family val="1"/>
        <charset val="136"/>
      </rPr>
      <t>年</t>
    </r>
    <phoneticPr fontId="44" type="noConversion"/>
  </si>
  <si>
    <r>
      <t>104</t>
    </r>
    <r>
      <rPr>
        <sz val="12"/>
        <rFont val="新細明體"/>
        <family val="1"/>
        <charset val="136"/>
      </rPr>
      <t>年</t>
    </r>
    <phoneticPr fontId="44" type="noConversion"/>
  </si>
  <si>
    <r>
      <t>105</t>
    </r>
    <r>
      <rPr>
        <sz val="12"/>
        <rFont val="新細明體"/>
        <family val="1"/>
        <charset val="136"/>
      </rPr>
      <t>年</t>
    </r>
    <phoneticPr fontId="44" type="noConversion"/>
  </si>
  <si>
    <r>
      <t>106</t>
    </r>
    <r>
      <rPr>
        <sz val="12"/>
        <rFont val="新細明體"/>
        <family val="1"/>
        <charset val="136"/>
      </rPr>
      <t>年</t>
    </r>
    <phoneticPr fontId="44" type="noConversion"/>
  </si>
  <si>
    <r>
      <t>107</t>
    </r>
    <r>
      <rPr>
        <sz val="12"/>
        <rFont val="新細明體"/>
        <family val="1"/>
        <charset val="136"/>
      </rPr>
      <t>年</t>
    </r>
    <phoneticPr fontId="44" type="noConversion"/>
  </si>
  <si>
    <r>
      <t>108</t>
    </r>
    <r>
      <rPr>
        <sz val="12"/>
        <rFont val="新細明體"/>
        <family val="1"/>
        <charset val="136"/>
      </rPr>
      <t>年</t>
    </r>
    <phoneticPr fontId="44" type="noConversion"/>
  </si>
  <si>
    <r>
      <rPr>
        <sz val="10"/>
        <rFont val="新細明體"/>
        <family val="1"/>
        <charset val="136"/>
      </rPr>
      <t>說</t>
    </r>
    <r>
      <rPr>
        <sz val="10"/>
        <color indexed="9"/>
        <rFont val="新細明體"/>
        <family val="1"/>
        <charset val="136"/>
      </rPr>
      <t>　　</t>
    </r>
    <r>
      <rPr>
        <sz val="10"/>
        <rFont val="新細明體"/>
        <family val="1"/>
        <charset val="136"/>
      </rPr>
      <t>明：不起訴比率</t>
    </r>
    <r>
      <rPr>
        <sz val="10"/>
        <rFont val="Times New Roman"/>
        <family val="1"/>
      </rPr>
      <t>=</t>
    </r>
    <r>
      <rPr>
        <sz val="10"/>
        <rFont val="新細明體"/>
        <family val="1"/>
        <charset val="136"/>
      </rPr>
      <t>不起訴處分人數</t>
    </r>
    <r>
      <rPr>
        <sz val="10"/>
        <rFont val="Times New Roman"/>
        <family val="1"/>
      </rPr>
      <t>/</t>
    </r>
    <r>
      <rPr>
        <sz val="10"/>
        <rFont val="新細明體"/>
        <family val="1"/>
        <charset val="136"/>
      </rPr>
      <t>偵結總人數</t>
    </r>
    <r>
      <rPr>
        <sz val="10"/>
        <rFont val="Times New Roman"/>
        <family val="1"/>
      </rPr>
      <t>×100</t>
    </r>
    <r>
      <rPr>
        <sz val="10"/>
        <rFont val="新細明體"/>
        <family val="1"/>
        <charset val="136"/>
      </rPr>
      <t>。</t>
    </r>
    <phoneticPr fontId="44" type="noConversion"/>
  </si>
  <si>
    <r>
      <rPr>
        <sz val="15"/>
        <rFont val="新細明體"/>
        <family val="1"/>
        <charset val="136"/>
      </rPr>
      <t>表</t>
    </r>
    <r>
      <rPr>
        <sz val="15"/>
        <rFont val="Times New Roman"/>
        <family val="1"/>
      </rPr>
      <t xml:space="preserve">2-1-12   </t>
    </r>
    <r>
      <rPr>
        <sz val="15"/>
        <rFont val="新細明體"/>
        <family val="1"/>
        <charset val="136"/>
      </rPr>
      <t>近</t>
    </r>
    <r>
      <rPr>
        <sz val="15"/>
        <rFont val="Times New Roman"/>
        <family val="1"/>
      </rPr>
      <t>5</t>
    </r>
    <r>
      <rPr>
        <sz val="15"/>
        <rFont val="新細明體"/>
        <family val="1"/>
        <charset val="136"/>
      </rPr>
      <t>年地方檢察署偵結不起訴處分普通刑法犯罪人數主要罪名</t>
    </r>
    <phoneticPr fontId="44" type="noConversion"/>
  </si>
  <si>
    <r>
      <rPr>
        <sz val="12"/>
        <rFont val="新細明體"/>
        <family val="1"/>
        <charset val="136"/>
      </rPr>
      <t>年</t>
    </r>
    <r>
      <rPr>
        <sz val="12"/>
        <rFont val="Times New Roman"/>
        <family val="1"/>
      </rPr>
      <t xml:space="preserve"> </t>
    </r>
    <r>
      <rPr>
        <sz val="12"/>
        <rFont val="新細明體"/>
        <family val="1"/>
        <charset val="136"/>
      </rPr>
      <t>偵</t>
    </r>
    <r>
      <rPr>
        <sz val="12"/>
        <rFont val="Times New Roman"/>
        <family val="1"/>
      </rPr>
      <t xml:space="preserve"> </t>
    </r>
    <r>
      <rPr>
        <sz val="12"/>
        <rFont val="新細明體"/>
        <family val="1"/>
        <charset val="136"/>
      </rPr>
      <t>結</t>
    </r>
    <r>
      <rPr>
        <sz val="12"/>
        <rFont val="Times New Roman"/>
        <family val="1"/>
      </rPr>
      <t xml:space="preserve"> </t>
    </r>
    <r>
      <rPr>
        <sz val="12"/>
        <rFont val="新細明體"/>
        <family val="1"/>
        <charset val="136"/>
      </rPr>
      <t>總</t>
    </r>
    <r>
      <rPr>
        <sz val="12"/>
        <rFont val="Times New Roman"/>
        <family val="1"/>
      </rPr>
      <t xml:space="preserve"> </t>
    </r>
    <r>
      <rPr>
        <sz val="12"/>
        <rFont val="新細明體"/>
        <family val="1"/>
        <charset val="136"/>
      </rPr>
      <t>人</t>
    </r>
    <r>
      <rPr>
        <sz val="12"/>
        <rFont val="Times New Roman"/>
        <family val="1"/>
      </rPr>
      <t xml:space="preserve"> </t>
    </r>
    <r>
      <rPr>
        <sz val="12"/>
        <rFont val="新細明體"/>
        <family val="1"/>
        <charset val="136"/>
      </rPr>
      <t>數</t>
    </r>
    <phoneticPr fontId="44" type="noConversion"/>
  </si>
  <si>
    <r>
      <rPr>
        <sz val="12"/>
        <rFont val="新細明體"/>
        <family val="1"/>
        <charset val="136"/>
      </rPr>
      <t>年</t>
    </r>
    <r>
      <rPr>
        <sz val="12"/>
        <rFont val="Times New Roman"/>
        <family val="1"/>
      </rPr>
      <t xml:space="preserve"> </t>
    </r>
    <r>
      <rPr>
        <sz val="12"/>
        <rFont val="新細明體"/>
        <family val="1"/>
        <charset val="136"/>
      </rPr>
      <t>偵</t>
    </r>
    <r>
      <rPr>
        <sz val="12"/>
        <rFont val="Times New Roman"/>
        <family val="1"/>
      </rPr>
      <t xml:space="preserve"> </t>
    </r>
    <r>
      <rPr>
        <sz val="12"/>
        <rFont val="新細明體"/>
        <family val="1"/>
        <charset val="136"/>
      </rPr>
      <t>結</t>
    </r>
    <r>
      <rPr>
        <sz val="12"/>
        <rFont val="Times New Roman"/>
        <family val="1"/>
      </rPr>
      <t xml:space="preserve"> </t>
    </r>
    <r>
      <rPr>
        <sz val="12"/>
        <rFont val="新細明體"/>
        <family val="1"/>
        <charset val="136"/>
      </rPr>
      <t>總</t>
    </r>
    <r>
      <rPr>
        <sz val="12"/>
        <rFont val="Times New Roman"/>
        <family val="1"/>
      </rPr>
      <t xml:space="preserve"> </t>
    </r>
    <r>
      <rPr>
        <sz val="12"/>
        <rFont val="新細明體"/>
        <family val="1"/>
        <charset val="136"/>
      </rPr>
      <t>人</t>
    </r>
    <r>
      <rPr>
        <sz val="12"/>
        <rFont val="Times New Roman"/>
        <family val="1"/>
      </rPr>
      <t xml:space="preserve"> </t>
    </r>
    <r>
      <rPr>
        <sz val="12"/>
        <rFont val="新細明體"/>
        <family val="1"/>
        <charset val="136"/>
      </rPr>
      <t>數</t>
    </r>
    <phoneticPr fontId="44" type="noConversion"/>
  </si>
  <si>
    <r>
      <rPr>
        <sz val="12"/>
        <rFont val="新細明體"/>
        <family val="1"/>
        <charset val="136"/>
      </rPr>
      <t>不起訴處分</t>
    </r>
    <phoneticPr fontId="44" type="noConversion"/>
  </si>
  <si>
    <r>
      <rPr>
        <sz val="12"/>
        <rFont val="新細明體"/>
        <family val="1"/>
        <charset val="136"/>
      </rPr>
      <t>偽證及誣告罪</t>
    </r>
    <phoneticPr fontId="44" type="noConversion"/>
  </si>
  <si>
    <r>
      <rPr>
        <sz val="12"/>
        <rFont val="新細明體"/>
        <family val="1"/>
        <charset val="136"/>
      </rPr>
      <t>背信及重利罪</t>
    </r>
    <phoneticPr fontId="44" type="noConversion"/>
  </si>
  <si>
    <r>
      <rPr>
        <sz val="12"/>
        <rFont val="新細明體"/>
        <family val="1"/>
        <charset val="136"/>
      </rPr>
      <t>妨害名譽及信用罪</t>
    </r>
    <phoneticPr fontId="44" type="noConversion"/>
  </si>
  <si>
    <r>
      <rPr>
        <sz val="12"/>
        <rFont val="新細明體"/>
        <family val="1"/>
        <charset val="136"/>
      </rPr>
      <t>妨害婚姻及家庭罪</t>
    </r>
    <phoneticPr fontId="44" type="noConversion"/>
  </si>
  <si>
    <r>
      <rPr>
        <sz val="12"/>
        <rFont val="新細明體"/>
        <family val="1"/>
        <charset val="136"/>
      </rPr>
      <t>恐嚇及擄人勒贖罪</t>
    </r>
    <phoneticPr fontId="44" type="noConversion"/>
  </si>
  <si>
    <r>
      <rPr>
        <sz val="12"/>
        <rFont val="新細明體"/>
        <family val="1"/>
        <charset val="136"/>
      </rPr>
      <t>偽造文書印文罪</t>
    </r>
    <phoneticPr fontId="44" type="noConversion"/>
  </si>
  <si>
    <r>
      <rPr>
        <sz val="12"/>
        <rFont val="新細明體"/>
        <family val="1"/>
        <charset val="136"/>
      </rPr>
      <t>竊</t>
    </r>
    <r>
      <rPr>
        <sz val="12"/>
        <rFont val="Times New Roman"/>
        <family val="1"/>
      </rPr>
      <t xml:space="preserve">    </t>
    </r>
    <r>
      <rPr>
        <sz val="12"/>
        <rFont val="新細明體"/>
        <family val="1"/>
        <charset val="136"/>
      </rPr>
      <t>盜罪</t>
    </r>
    <phoneticPr fontId="44" type="noConversion"/>
  </si>
  <si>
    <r>
      <rPr>
        <sz val="12"/>
        <rFont val="新細明體"/>
        <family val="1"/>
        <charset val="136"/>
      </rPr>
      <t>妨害公務罪</t>
    </r>
    <phoneticPr fontId="44" type="noConversion"/>
  </si>
  <si>
    <r>
      <rPr>
        <sz val="10"/>
        <rFont val="新細明體"/>
        <family val="1"/>
        <charset val="136"/>
      </rPr>
      <t>說</t>
    </r>
    <r>
      <rPr>
        <sz val="10"/>
        <color indexed="9"/>
        <rFont val="新細明體"/>
        <family val="1"/>
        <charset val="136"/>
      </rPr>
      <t>　　</t>
    </r>
    <r>
      <rPr>
        <sz val="10"/>
        <rFont val="新細明體"/>
        <family val="1"/>
        <charset val="136"/>
      </rPr>
      <t>明：不起訴比率</t>
    </r>
    <r>
      <rPr>
        <sz val="10"/>
        <rFont val="Times New Roman"/>
        <family val="1"/>
      </rPr>
      <t>=</t>
    </r>
    <r>
      <rPr>
        <sz val="10"/>
        <rFont val="新細明體"/>
        <family val="1"/>
        <charset val="136"/>
      </rPr>
      <t>不起訴處分人數</t>
    </r>
    <r>
      <rPr>
        <sz val="10"/>
        <rFont val="Times New Roman"/>
        <family val="1"/>
      </rPr>
      <t>/</t>
    </r>
    <r>
      <rPr>
        <sz val="10"/>
        <rFont val="新細明體"/>
        <family val="1"/>
        <charset val="136"/>
      </rPr>
      <t>偵結總人數</t>
    </r>
    <r>
      <rPr>
        <sz val="10"/>
        <rFont val="Times New Roman"/>
        <family val="1"/>
      </rPr>
      <t>×100</t>
    </r>
    <r>
      <rPr>
        <sz val="10"/>
        <rFont val="新細明體"/>
        <family val="1"/>
        <charset val="136"/>
      </rPr>
      <t>。</t>
    </r>
    <phoneticPr fontId="44" type="noConversion"/>
  </si>
  <si>
    <r>
      <rPr>
        <sz val="15"/>
        <rFont val="新細明體"/>
        <family val="1"/>
        <charset val="136"/>
      </rPr>
      <t>表</t>
    </r>
    <r>
      <rPr>
        <sz val="15"/>
        <rFont val="Times New Roman"/>
        <family val="1"/>
      </rPr>
      <t xml:space="preserve">2-1-13    </t>
    </r>
    <r>
      <rPr>
        <sz val="15"/>
        <rFont val="新細明體"/>
        <family val="1"/>
        <charset val="136"/>
      </rPr>
      <t>近</t>
    </r>
    <r>
      <rPr>
        <sz val="15"/>
        <rFont val="Times New Roman"/>
        <family val="1"/>
      </rPr>
      <t>5</t>
    </r>
    <r>
      <rPr>
        <sz val="15"/>
        <rFont val="新細明體"/>
        <family val="1"/>
        <charset val="136"/>
      </rPr>
      <t>年地方檢察署偵結不起訴處分特別刑法犯罪人數主要罪名</t>
    </r>
    <phoneticPr fontId="44" type="noConversion"/>
  </si>
  <si>
    <r>
      <rPr>
        <sz val="12"/>
        <rFont val="新細明體"/>
        <family val="1"/>
        <charset val="136"/>
      </rPr>
      <t>年</t>
    </r>
    <r>
      <rPr>
        <sz val="12"/>
        <rFont val="Times New Roman"/>
        <family val="1"/>
      </rPr>
      <t xml:space="preserve"> </t>
    </r>
    <r>
      <rPr>
        <sz val="12"/>
        <rFont val="新細明體"/>
        <family val="1"/>
        <charset val="136"/>
      </rPr>
      <t>偵</t>
    </r>
    <r>
      <rPr>
        <sz val="12"/>
        <rFont val="Times New Roman"/>
        <family val="1"/>
      </rPr>
      <t xml:space="preserve"> </t>
    </r>
    <r>
      <rPr>
        <sz val="12"/>
        <rFont val="新細明體"/>
        <family val="1"/>
        <charset val="136"/>
      </rPr>
      <t>結</t>
    </r>
    <r>
      <rPr>
        <sz val="12"/>
        <rFont val="Times New Roman"/>
        <family val="1"/>
      </rPr>
      <t xml:space="preserve"> </t>
    </r>
    <r>
      <rPr>
        <sz val="12"/>
        <rFont val="新細明體"/>
        <family val="1"/>
        <charset val="136"/>
      </rPr>
      <t>總</t>
    </r>
    <r>
      <rPr>
        <sz val="12"/>
        <rFont val="Times New Roman"/>
        <family val="1"/>
      </rPr>
      <t xml:space="preserve"> </t>
    </r>
    <r>
      <rPr>
        <sz val="12"/>
        <rFont val="新細明體"/>
        <family val="1"/>
        <charset val="136"/>
      </rPr>
      <t>人</t>
    </r>
    <r>
      <rPr>
        <sz val="12"/>
        <rFont val="Times New Roman"/>
        <family val="1"/>
      </rPr>
      <t xml:space="preserve"> </t>
    </r>
    <r>
      <rPr>
        <sz val="12"/>
        <rFont val="新細明體"/>
        <family val="1"/>
        <charset val="136"/>
      </rPr>
      <t>數</t>
    </r>
    <phoneticPr fontId="44" type="noConversion"/>
  </si>
  <si>
    <r>
      <rPr>
        <sz val="12"/>
        <rFont val="新細明體"/>
        <family val="1"/>
        <charset val="136"/>
      </rPr>
      <t>不起訴處分</t>
    </r>
    <phoneticPr fontId="44" type="noConversion"/>
  </si>
  <si>
    <r>
      <rPr>
        <sz val="12"/>
        <rFont val="新細明體"/>
        <family val="1"/>
        <charset val="136"/>
      </rPr>
      <t>不起訴處分</t>
    </r>
    <phoneticPr fontId="44" type="noConversion"/>
  </si>
  <si>
    <t>人</t>
    <phoneticPr fontId="44" type="noConversion"/>
  </si>
  <si>
    <t>%</t>
    <phoneticPr fontId="44" type="noConversion"/>
  </si>
  <si>
    <r>
      <rPr>
        <sz val="12"/>
        <rFont val="新細明體"/>
        <family val="1"/>
        <charset val="136"/>
      </rPr>
      <t>總</t>
    </r>
    <r>
      <rPr>
        <sz val="12"/>
        <rFont val="Times New Roman"/>
        <family val="1"/>
      </rPr>
      <t xml:space="preserve">           </t>
    </r>
    <r>
      <rPr>
        <sz val="12"/>
        <rFont val="新細明體"/>
        <family val="1"/>
        <charset val="136"/>
      </rPr>
      <t>計</t>
    </r>
  </si>
  <si>
    <r>
      <rPr>
        <sz val="12"/>
        <rFont val="新細明體"/>
        <family val="1"/>
        <charset val="136"/>
      </rPr>
      <t>著作權法</t>
    </r>
    <phoneticPr fontId="44" type="noConversion"/>
  </si>
  <si>
    <r>
      <rPr>
        <sz val="12"/>
        <rFont val="新細明體"/>
        <family val="1"/>
        <charset val="136"/>
      </rPr>
      <t>臺灣地區與大陸地區人民關係條例</t>
    </r>
    <phoneticPr fontId="44" type="noConversion"/>
  </si>
  <si>
    <r>
      <rPr>
        <sz val="12"/>
        <rFont val="新細明體"/>
        <family val="1"/>
        <charset val="136"/>
      </rPr>
      <t>稅捐稽徵法</t>
    </r>
    <phoneticPr fontId="44" type="noConversion"/>
  </si>
  <si>
    <r>
      <rPr>
        <sz val="12"/>
        <rFont val="新細明體"/>
        <family val="1"/>
        <charset val="136"/>
      </rPr>
      <t>食品安全衛生管理法</t>
    </r>
    <phoneticPr fontId="44" type="noConversion"/>
  </si>
  <si>
    <r>
      <rPr>
        <sz val="12"/>
        <rFont val="新細明體"/>
        <family val="1"/>
        <charset val="136"/>
      </rPr>
      <t>兒童及少年性剝削防制條例</t>
    </r>
    <phoneticPr fontId="44" type="noConversion"/>
  </si>
  <si>
    <r>
      <rPr>
        <sz val="12"/>
        <rFont val="新細明體"/>
        <family val="1"/>
        <charset val="136"/>
      </rPr>
      <t>家庭暴力防治法</t>
    </r>
    <phoneticPr fontId="44" type="noConversion"/>
  </si>
  <si>
    <r>
      <rPr>
        <sz val="12"/>
        <rFont val="新細明體"/>
        <family val="1"/>
        <charset val="136"/>
      </rPr>
      <t>商標法</t>
    </r>
    <phoneticPr fontId="44" type="noConversion"/>
  </si>
  <si>
    <r>
      <rPr>
        <sz val="12"/>
        <rFont val="新細明體"/>
        <family val="1"/>
        <charset val="136"/>
      </rPr>
      <t>廢棄物清理法</t>
    </r>
    <phoneticPr fontId="44" type="noConversion"/>
  </si>
  <si>
    <r>
      <rPr>
        <sz val="12"/>
        <rFont val="新細明體"/>
        <family val="1"/>
        <charset val="136"/>
      </rPr>
      <t>政府採購法</t>
    </r>
    <phoneticPr fontId="44" type="noConversion"/>
  </si>
  <si>
    <r>
      <rPr>
        <sz val="12"/>
        <rFont val="新細明體"/>
        <family val="1"/>
        <charset val="136"/>
      </rPr>
      <t>藥事法</t>
    </r>
    <phoneticPr fontId="44" type="noConversion"/>
  </si>
  <si>
    <r>
      <rPr>
        <sz val="12"/>
        <rFont val="新細明體"/>
        <family val="1"/>
        <charset val="136"/>
      </rPr>
      <t>毒品危害防制條例</t>
    </r>
    <phoneticPr fontId="44" type="noConversion"/>
  </si>
  <si>
    <r>
      <rPr>
        <sz val="10"/>
        <rFont val="新細明體"/>
        <family val="1"/>
        <charset val="136"/>
      </rPr>
      <t>說　　明：</t>
    </r>
    <r>
      <rPr>
        <sz val="10"/>
        <rFont val="Times New Roman"/>
        <family val="1"/>
      </rPr>
      <t xml:space="preserve">1. </t>
    </r>
    <r>
      <rPr>
        <sz val="10"/>
        <rFont val="新細明體"/>
        <family val="1"/>
        <charset val="136"/>
      </rPr>
      <t>不起訴比率</t>
    </r>
    <r>
      <rPr>
        <sz val="10"/>
        <rFont val="Times New Roman"/>
        <family val="1"/>
      </rPr>
      <t>=</t>
    </r>
    <r>
      <rPr>
        <sz val="10"/>
        <rFont val="新細明體"/>
        <family val="1"/>
        <charset val="136"/>
      </rPr>
      <t>不起訴處分人數</t>
    </r>
    <r>
      <rPr>
        <sz val="10"/>
        <rFont val="Times New Roman"/>
        <family val="1"/>
      </rPr>
      <t>/</t>
    </r>
    <r>
      <rPr>
        <sz val="10"/>
        <rFont val="新細明體"/>
        <family val="1"/>
        <charset val="136"/>
      </rPr>
      <t>偵結總人數</t>
    </r>
    <r>
      <rPr>
        <sz val="10"/>
        <rFont val="Times New Roman"/>
        <family val="1"/>
      </rPr>
      <t>×100</t>
    </r>
    <r>
      <rPr>
        <sz val="10"/>
        <rFont val="新細明體"/>
        <family val="1"/>
        <charset val="136"/>
      </rPr>
      <t>。</t>
    </r>
    <phoneticPr fontId="44" type="noConversion"/>
  </si>
  <si>
    <r>
      <rPr>
        <sz val="10"/>
        <rFont val="新細明體"/>
        <family val="1"/>
        <charset val="136"/>
      </rPr>
      <t>　　　　　</t>
    </r>
    <r>
      <rPr>
        <sz val="10"/>
        <rFont val="Times New Roman"/>
        <family val="1"/>
      </rPr>
      <t xml:space="preserve">2. </t>
    </r>
    <r>
      <rPr>
        <sz val="10"/>
        <rFont val="新細明體"/>
        <family val="1"/>
        <charset val="136"/>
      </rPr>
      <t>兒童及少年性交易防制條例自</t>
    </r>
    <r>
      <rPr>
        <sz val="10"/>
        <rFont val="Times New Roman"/>
        <family val="1"/>
      </rPr>
      <t>106</t>
    </r>
    <r>
      <rPr>
        <sz val="10"/>
        <rFont val="新細明體"/>
        <family val="1"/>
        <charset val="136"/>
      </rPr>
      <t>年</t>
    </r>
    <r>
      <rPr>
        <sz val="10"/>
        <rFont val="Times New Roman"/>
        <family val="1"/>
      </rPr>
      <t>1</t>
    </r>
    <r>
      <rPr>
        <sz val="10"/>
        <rFont val="新細明體"/>
        <family val="1"/>
        <charset val="136"/>
      </rPr>
      <t>月</t>
    </r>
    <r>
      <rPr>
        <sz val="10"/>
        <rFont val="Times New Roman"/>
        <family val="1"/>
      </rPr>
      <t>1</t>
    </r>
    <r>
      <rPr>
        <sz val="10"/>
        <rFont val="新細明體"/>
        <family val="1"/>
        <charset val="136"/>
      </rPr>
      <t>日起名稱修正為兒童及少年性剝削防制條例。</t>
    </r>
    <phoneticPr fontId="44" type="noConversion"/>
  </si>
  <si>
    <t xml:space="preserve"> </t>
  </si>
  <si>
    <r>
      <rPr>
        <sz val="15"/>
        <rFont val="新細明體"/>
        <family val="1"/>
        <charset val="136"/>
      </rPr>
      <t>表</t>
    </r>
    <r>
      <rPr>
        <sz val="15"/>
        <rFont val="Times New Roman"/>
        <family val="1"/>
      </rPr>
      <t xml:space="preserve">2-1-14   </t>
    </r>
    <r>
      <rPr>
        <sz val="15"/>
        <rFont val="新細明體"/>
        <family val="1"/>
        <charset val="136"/>
      </rPr>
      <t>近</t>
    </r>
    <r>
      <rPr>
        <sz val="15"/>
        <rFont val="Times New Roman"/>
        <family val="1"/>
      </rPr>
      <t>10</t>
    </r>
    <r>
      <rPr>
        <sz val="15"/>
        <rFont val="新細明體"/>
        <family val="1"/>
        <charset val="136"/>
      </rPr>
      <t>年地方檢察署偵查終結依職權不起訴處分比率</t>
    </r>
    <phoneticPr fontId="44" type="noConversion"/>
  </si>
  <si>
    <r>
      <rPr>
        <sz val="11"/>
        <rFont val="新細明體"/>
        <family val="1"/>
        <charset val="136"/>
      </rPr>
      <t>單位：件、</t>
    </r>
    <r>
      <rPr>
        <sz val="11"/>
        <rFont val="Times New Roman"/>
        <family val="1"/>
      </rPr>
      <t>%</t>
    </r>
    <phoneticPr fontId="44" type="noConversion"/>
  </si>
  <si>
    <r>
      <rPr>
        <sz val="12"/>
        <rFont val="新細明體"/>
        <family val="1"/>
        <charset val="136"/>
      </rPr>
      <t>檢察官依職權
不起訴處分件數</t>
    </r>
    <phoneticPr fontId="44" type="noConversion"/>
  </si>
  <si>
    <r>
      <rPr>
        <sz val="12"/>
        <rFont val="新細明體"/>
        <family val="1"/>
        <charset val="136"/>
      </rPr>
      <t>同期間第一審法院
新收公訴易字件數</t>
    </r>
    <phoneticPr fontId="44" type="noConversion"/>
  </si>
  <si>
    <r>
      <rPr>
        <sz val="12"/>
        <rFont val="新細明體"/>
        <family val="1"/>
        <charset val="136"/>
      </rPr>
      <t>依職權不起訴處分比率</t>
    </r>
    <phoneticPr fontId="44" type="noConversion"/>
  </si>
  <si>
    <r>
      <t>95</t>
    </r>
    <r>
      <rPr>
        <sz val="12"/>
        <rFont val="新細明體"/>
        <family val="1"/>
        <charset val="136"/>
      </rPr>
      <t>年</t>
    </r>
    <phoneticPr fontId="44" type="noConversion"/>
  </si>
  <si>
    <r>
      <t>96</t>
    </r>
    <r>
      <rPr>
        <sz val="12"/>
        <rFont val="新細明體"/>
        <family val="1"/>
        <charset val="136"/>
      </rPr>
      <t>年</t>
    </r>
    <phoneticPr fontId="44" type="noConversion"/>
  </si>
  <si>
    <r>
      <t>99</t>
    </r>
    <r>
      <rPr>
        <sz val="12"/>
        <rFont val="新細明體"/>
        <family val="1"/>
        <charset val="136"/>
      </rPr>
      <t>年</t>
    </r>
    <phoneticPr fontId="44" type="noConversion"/>
  </si>
  <si>
    <r>
      <t>100</t>
    </r>
    <r>
      <rPr>
        <sz val="12"/>
        <rFont val="新細明體"/>
        <family val="1"/>
        <charset val="136"/>
      </rPr>
      <t>年</t>
    </r>
    <phoneticPr fontId="115" type="noConversion"/>
  </si>
  <si>
    <r>
      <t>101</t>
    </r>
    <r>
      <rPr>
        <sz val="12"/>
        <rFont val="新細明體"/>
        <family val="1"/>
        <charset val="136"/>
      </rPr>
      <t>年</t>
    </r>
    <r>
      <rPr>
        <sz val="12"/>
        <rFont val="標楷體"/>
        <family val="4"/>
        <charset val="136"/>
      </rPr>
      <t/>
    </r>
  </si>
  <si>
    <r>
      <t>102</t>
    </r>
    <r>
      <rPr>
        <sz val="12"/>
        <rFont val="新細明體"/>
        <family val="1"/>
        <charset val="136"/>
      </rPr>
      <t>年</t>
    </r>
    <r>
      <rPr>
        <sz val="12"/>
        <rFont val="標楷體"/>
        <family val="4"/>
        <charset val="136"/>
      </rPr>
      <t/>
    </r>
  </si>
  <si>
    <r>
      <t>103</t>
    </r>
    <r>
      <rPr>
        <sz val="12"/>
        <rFont val="新細明體"/>
        <family val="1"/>
        <charset val="136"/>
      </rPr>
      <t>年</t>
    </r>
    <r>
      <rPr>
        <sz val="12"/>
        <rFont val="標楷體"/>
        <family val="4"/>
        <charset val="136"/>
      </rPr>
      <t/>
    </r>
  </si>
  <si>
    <r>
      <t>104</t>
    </r>
    <r>
      <rPr>
        <sz val="12"/>
        <rFont val="新細明體"/>
        <family val="1"/>
        <charset val="136"/>
      </rPr>
      <t>年</t>
    </r>
    <r>
      <rPr>
        <sz val="12"/>
        <rFont val="標楷體"/>
        <family val="4"/>
        <charset val="136"/>
      </rPr>
      <t/>
    </r>
  </si>
  <si>
    <r>
      <t>105</t>
    </r>
    <r>
      <rPr>
        <sz val="12"/>
        <rFont val="新細明體"/>
        <family val="1"/>
        <charset val="136"/>
      </rPr>
      <t>年</t>
    </r>
    <r>
      <rPr>
        <sz val="12"/>
        <rFont val="標楷體"/>
        <family val="4"/>
        <charset val="136"/>
      </rPr>
      <t/>
    </r>
  </si>
  <si>
    <r>
      <t>106</t>
    </r>
    <r>
      <rPr>
        <sz val="12"/>
        <rFont val="新細明體"/>
        <family val="1"/>
        <charset val="136"/>
      </rPr>
      <t>年</t>
    </r>
    <r>
      <rPr>
        <sz val="12"/>
        <rFont val="標楷體"/>
        <family val="4"/>
        <charset val="136"/>
      </rPr>
      <t/>
    </r>
  </si>
  <si>
    <r>
      <t>107</t>
    </r>
    <r>
      <rPr>
        <sz val="12"/>
        <rFont val="新細明體"/>
        <family val="1"/>
        <charset val="136"/>
      </rPr>
      <t>年</t>
    </r>
    <r>
      <rPr>
        <sz val="12"/>
        <rFont val="標楷體"/>
        <family val="4"/>
        <charset val="136"/>
      </rPr>
      <t/>
    </r>
  </si>
  <si>
    <r>
      <t>108</t>
    </r>
    <r>
      <rPr>
        <sz val="12"/>
        <rFont val="新細明體"/>
        <family val="1"/>
        <charset val="136"/>
      </rPr>
      <t>年</t>
    </r>
    <r>
      <rPr>
        <sz val="12"/>
        <rFont val="標楷體"/>
        <family val="4"/>
        <charset val="136"/>
      </rPr>
      <t/>
    </r>
  </si>
  <si>
    <r>
      <rPr>
        <sz val="10"/>
        <rFont val="新細明體"/>
        <family val="1"/>
        <charset val="136"/>
      </rPr>
      <t>資料來源：法務部統計處、司法院統計處</t>
    </r>
    <phoneticPr fontId="44" type="noConversion"/>
  </si>
  <si>
    <r>
      <t xml:space="preserve">          </t>
    </r>
    <r>
      <rPr>
        <sz val="10"/>
        <rFont val="新細明體"/>
        <family val="1"/>
        <charset val="136"/>
      </rPr>
      <t>　　　　　　　　　　　　　　　　　　　</t>
    </r>
    <r>
      <rPr>
        <sz val="10"/>
        <rFont val="Times New Roman"/>
        <family val="1"/>
      </rPr>
      <t xml:space="preserve">  </t>
    </r>
    <r>
      <rPr>
        <sz val="10"/>
        <rFont val="新細明體"/>
        <family val="1"/>
        <charset val="136"/>
      </rPr>
      <t>　　依職權不起訴處分件數
說　　明：</t>
    </r>
    <r>
      <rPr>
        <sz val="10"/>
        <rFont val="Times New Roman"/>
        <family val="1"/>
      </rPr>
      <t xml:space="preserve">1. </t>
    </r>
    <r>
      <rPr>
        <sz val="10"/>
        <rFont val="新細明體"/>
        <family val="1"/>
        <charset val="136"/>
      </rPr>
      <t>依職權不起訴處分比率＝</t>
    </r>
    <r>
      <rPr>
        <sz val="10"/>
        <rFont val="Times New Roman"/>
        <family val="1"/>
      </rPr>
      <t xml:space="preserve"> </t>
    </r>
    <r>
      <rPr>
        <sz val="10"/>
        <rFont val="新細明體"/>
        <family val="1"/>
        <charset val="136"/>
      </rPr>
      <t>───────────────────────────────</t>
    </r>
    <r>
      <rPr>
        <sz val="10"/>
        <rFont val="Times New Roman"/>
        <family val="1"/>
      </rPr>
      <t>×100</t>
    </r>
    <r>
      <rPr>
        <sz val="10"/>
        <rFont val="新細明體"/>
        <family val="1"/>
        <charset val="136"/>
      </rPr>
      <t xml:space="preserve">，其中
</t>
    </r>
    <r>
      <rPr>
        <sz val="10"/>
        <rFont val="Times New Roman"/>
        <family val="1"/>
      </rPr>
      <t xml:space="preserve">          </t>
    </r>
    <r>
      <rPr>
        <sz val="10"/>
        <rFont val="新細明體"/>
        <family val="1"/>
        <charset val="136"/>
      </rPr>
      <t>　</t>
    </r>
    <r>
      <rPr>
        <sz val="10"/>
        <rFont val="Times New Roman"/>
        <family val="1"/>
      </rPr>
      <t xml:space="preserve"> </t>
    </r>
    <r>
      <rPr>
        <sz val="10"/>
        <rFont val="新細明體"/>
        <family val="1"/>
        <charset val="136"/>
      </rPr>
      <t>　　　　　　　　　　</t>
    </r>
    <r>
      <rPr>
        <sz val="10"/>
        <rFont val="Times New Roman"/>
        <family val="1"/>
      </rPr>
      <t xml:space="preserve">   </t>
    </r>
    <r>
      <rPr>
        <sz val="10"/>
        <rFont val="新細明體"/>
        <family val="1"/>
        <charset val="136"/>
      </rPr>
      <t>依職權不起訴處分件數＋同期間第一審法院新收公訴「易」字案件件數
　　　　</t>
    </r>
    <r>
      <rPr>
        <sz val="10"/>
        <rFont val="Times New Roman"/>
        <family val="1"/>
      </rPr>
      <t xml:space="preserve">    </t>
    </r>
    <r>
      <rPr>
        <sz val="10"/>
        <rFont val="新細明體"/>
        <family val="1"/>
        <charset val="136"/>
      </rPr>
      <t>「易」字案件係指刑事訴訟法第</t>
    </r>
    <r>
      <rPr>
        <sz val="10"/>
        <rFont val="Times New Roman"/>
        <family val="1"/>
      </rPr>
      <t>376</t>
    </r>
    <r>
      <rPr>
        <sz val="10"/>
        <rFont val="新細明體"/>
        <family val="1"/>
        <charset val="136"/>
      </rPr>
      <t>條所列各罪之案件，原屬檢察官得為不起訴之案件而經提起公訴者。</t>
    </r>
    <phoneticPr fontId="44" type="noConversion"/>
  </si>
  <si>
    <r>
      <t xml:space="preserve">          2. </t>
    </r>
    <r>
      <rPr>
        <sz val="10"/>
        <rFont val="新細明體"/>
        <family val="1"/>
        <charset val="136"/>
      </rPr>
      <t>本表資料不含更審案件。</t>
    </r>
    <phoneticPr fontId="115" type="noConversion"/>
  </si>
  <si>
    <r>
      <rPr>
        <sz val="15"/>
        <rFont val="新細明體"/>
        <family val="1"/>
        <charset val="136"/>
      </rPr>
      <t>表</t>
    </r>
    <r>
      <rPr>
        <sz val="15"/>
        <rFont val="Times New Roman"/>
        <family val="1"/>
      </rPr>
      <t>2-1-15   108</t>
    </r>
    <r>
      <rPr>
        <sz val="15"/>
        <rFont val="新細明體"/>
        <family val="1"/>
        <charset val="136"/>
      </rPr>
      <t>年地方檢察署刑事案件偵查終結主要罪名</t>
    </r>
    <phoneticPr fontId="44" type="noConversion"/>
  </si>
  <si>
    <r>
      <rPr>
        <sz val="12"/>
        <rFont val="新細明體"/>
        <family val="1"/>
        <charset val="136"/>
      </rPr>
      <t>總計</t>
    </r>
    <phoneticPr fontId="44" type="noConversion"/>
  </si>
  <si>
    <r>
      <rPr>
        <sz val="12"/>
        <rFont val="新細明體"/>
        <family val="1"/>
        <charset val="136"/>
      </rPr>
      <t>起訴</t>
    </r>
    <phoneticPr fontId="44" type="noConversion"/>
  </si>
  <si>
    <r>
      <rPr>
        <sz val="12"/>
        <rFont val="新細明體"/>
        <family val="1"/>
        <charset val="136"/>
      </rPr>
      <t>緩起訴處分</t>
    </r>
    <phoneticPr fontId="44" type="noConversion"/>
  </si>
  <si>
    <r>
      <rPr>
        <sz val="12"/>
        <rFont val="新細明體"/>
        <family val="1"/>
        <charset val="136"/>
      </rPr>
      <t>其他</t>
    </r>
    <phoneticPr fontId="44" type="noConversion"/>
  </si>
  <si>
    <r>
      <rPr>
        <sz val="12"/>
        <rFont val="新細明體"/>
        <family val="1"/>
        <charset val="136"/>
      </rPr>
      <t>件</t>
    </r>
    <phoneticPr fontId="44" type="noConversion"/>
  </si>
  <si>
    <r>
      <rPr>
        <sz val="12"/>
        <rFont val="新細明體"/>
        <family val="1"/>
        <charset val="136"/>
      </rPr>
      <t>件</t>
    </r>
    <phoneticPr fontId="44" type="noConversion"/>
  </si>
  <si>
    <t>%</t>
    <phoneticPr fontId="44" type="noConversion"/>
  </si>
  <si>
    <r>
      <rPr>
        <sz val="12"/>
        <rFont val="新細明體"/>
        <family val="1"/>
        <charset val="136"/>
      </rPr>
      <t>總</t>
    </r>
    <r>
      <rPr>
        <sz val="12"/>
        <rFont val="Times New Roman"/>
        <family val="1"/>
      </rPr>
      <t xml:space="preserve">         </t>
    </r>
    <r>
      <rPr>
        <sz val="12"/>
        <rFont val="新細明體"/>
        <family val="1"/>
        <charset val="136"/>
      </rPr>
      <t>計</t>
    </r>
    <phoneticPr fontId="44" type="noConversion"/>
  </si>
  <si>
    <r>
      <rPr>
        <sz val="12"/>
        <rFont val="新細明體"/>
        <family val="1"/>
        <charset val="136"/>
      </rPr>
      <t>公共危險罪</t>
    </r>
    <phoneticPr fontId="44" type="noConversion"/>
  </si>
  <si>
    <r>
      <rPr>
        <sz val="12"/>
        <rFont val="新細明體"/>
        <family val="1"/>
        <charset val="136"/>
      </rPr>
      <t>毒品危害防制條例</t>
    </r>
    <phoneticPr fontId="44" type="noConversion"/>
  </si>
  <si>
    <r>
      <rPr>
        <sz val="12"/>
        <rFont val="新細明體"/>
        <family val="1"/>
        <charset val="136"/>
      </rPr>
      <t>竊盜罪</t>
    </r>
    <phoneticPr fontId="44" type="noConversion"/>
  </si>
  <si>
    <r>
      <rPr>
        <sz val="12"/>
        <rFont val="新細明體"/>
        <family val="1"/>
        <charset val="136"/>
      </rPr>
      <t>妨害名譽及信用罪</t>
    </r>
    <phoneticPr fontId="44" type="noConversion"/>
  </si>
  <si>
    <r>
      <rPr>
        <sz val="12"/>
        <rFont val="新細明體"/>
        <family val="1"/>
        <charset val="136"/>
      </rPr>
      <t>妨害自由罪</t>
    </r>
    <phoneticPr fontId="44" type="noConversion"/>
  </si>
  <si>
    <r>
      <rPr>
        <sz val="12"/>
        <rFont val="新細明體"/>
        <family val="1"/>
        <charset val="136"/>
      </rPr>
      <t>毀棄損壞罪</t>
    </r>
    <phoneticPr fontId="44" type="noConversion"/>
  </si>
  <si>
    <r>
      <rPr>
        <sz val="12"/>
        <rFont val="新細明體"/>
        <family val="1"/>
        <charset val="136"/>
      </rPr>
      <t>賭博罪</t>
    </r>
  </si>
  <si>
    <r>
      <rPr>
        <sz val="12"/>
        <rFont val="新細明體"/>
        <family val="1"/>
        <charset val="136"/>
      </rPr>
      <t>偽證及誣告罪</t>
    </r>
    <phoneticPr fontId="44" type="noConversion"/>
  </si>
  <si>
    <r>
      <rPr>
        <sz val="12"/>
        <rFont val="新細明體"/>
        <family val="1"/>
        <charset val="136"/>
      </rPr>
      <t>妨害性自主罪</t>
    </r>
    <phoneticPr fontId="44" type="noConversion"/>
  </si>
  <si>
    <r>
      <rPr>
        <sz val="12"/>
        <rFont val="新細明體"/>
        <family val="1"/>
        <charset val="136"/>
      </rPr>
      <t>背信及重利罪</t>
    </r>
  </si>
  <si>
    <r>
      <rPr>
        <sz val="12"/>
        <rFont val="新細明體"/>
        <family val="1"/>
        <charset val="136"/>
      </rPr>
      <t>槍砲彈藥刀械管制條例</t>
    </r>
    <phoneticPr fontId="44" type="noConversion"/>
  </si>
  <si>
    <r>
      <rPr>
        <sz val="12"/>
        <rFont val="新細明體"/>
        <family val="1"/>
        <charset val="136"/>
      </rPr>
      <t>妨害風化罪</t>
    </r>
    <phoneticPr fontId="44" type="noConversion"/>
  </si>
  <si>
    <r>
      <rPr>
        <sz val="12"/>
        <rFont val="新細明體"/>
        <family val="1"/>
        <charset val="136"/>
      </rPr>
      <t>兒童及少年性剝削防制條例</t>
    </r>
    <phoneticPr fontId="44" type="noConversion"/>
  </si>
  <si>
    <r>
      <rPr>
        <sz val="12"/>
        <rFont val="新細明體"/>
        <family val="1"/>
        <charset val="136"/>
      </rPr>
      <t>贓物罪</t>
    </r>
  </si>
  <si>
    <r>
      <rPr>
        <sz val="12"/>
        <rFont val="新細明體"/>
        <family val="1"/>
        <charset val="136"/>
      </rPr>
      <t>瀆職罪</t>
    </r>
  </si>
  <si>
    <r>
      <rPr>
        <sz val="10"/>
        <rFont val="新細明體"/>
        <family val="1"/>
        <charset val="136"/>
      </rPr>
      <t>說　　明：</t>
    </r>
    <r>
      <rPr>
        <sz val="10"/>
        <rFont val="Times New Roman"/>
        <family val="1"/>
      </rPr>
      <t xml:space="preserve">1. </t>
    </r>
    <r>
      <rPr>
        <sz val="10"/>
        <rFont val="新細明體"/>
        <family val="1"/>
        <charset val="136"/>
      </rPr>
      <t>起訴包括通常程序提起公訴及聲請簡易判決處刑。</t>
    </r>
    <phoneticPr fontId="44" type="noConversion"/>
  </si>
  <si>
    <r>
      <rPr>
        <sz val="15"/>
        <rFont val="新細明體"/>
        <family val="1"/>
        <charset val="136"/>
      </rPr>
      <t>表</t>
    </r>
    <r>
      <rPr>
        <sz val="15"/>
        <rFont val="Times New Roman"/>
        <family val="1"/>
      </rPr>
      <t xml:space="preserve">2-1-16    </t>
    </r>
    <r>
      <rPr>
        <sz val="15"/>
        <rFont val="新細明體"/>
        <family val="1"/>
        <charset val="136"/>
      </rPr>
      <t>近</t>
    </r>
    <r>
      <rPr>
        <sz val="15"/>
        <rFont val="Times New Roman"/>
        <family val="1"/>
      </rPr>
      <t>10</t>
    </r>
    <r>
      <rPr>
        <sz val="15"/>
        <rFont val="新細明體"/>
        <family val="1"/>
        <charset val="136"/>
      </rPr>
      <t>年地方檢察署檢察官命被告於緩起訴期間應遵守或履行多款事項統計</t>
    </r>
    <phoneticPr fontId="44" type="noConversion"/>
  </si>
  <si>
    <r>
      <rPr>
        <sz val="10"/>
        <rFont val="新細明體"/>
        <family val="1"/>
        <charset val="136"/>
      </rPr>
      <t>單位：人次</t>
    </r>
    <phoneticPr fontId="44" type="noConversion"/>
  </si>
  <si>
    <r>
      <rPr>
        <sz val="11"/>
        <rFont val="新細明體"/>
        <family val="1"/>
        <charset val="136"/>
      </rPr>
      <t>向被害人道歉</t>
    </r>
    <phoneticPr fontId="44" type="noConversion"/>
  </si>
  <si>
    <r>
      <rPr>
        <sz val="11"/>
        <rFont val="新細明體"/>
        <family val="1"/>
        <charset val="136"/>
      </rPr>
      <t>立悔過書</t>
    </r>
    <phoneticPr fontId="44" type="noConversion"/>
  </si>
  <si>
    <r>
      <rPr>
        <sz val="11"/>
        <rFont val="新細明體"/>
        <family val="1"/>
        <charset val="136"/>
      </rPr>
      <t>產上之損害賠償
數額之財產或非財
向被害人支付相當</t>
    </r>
    <phoneticPr fontId="44" type="noConversion"/>
  </si>
  <si>
    <r>
      <rPr>
        <sz val="11"/>
        <rFont val="新細明體"/>
        <family val="1"/>
        <charset val="136"/>
      </rPr>
      <t>體支付一定之金額
益團體、地方自治團
向公庫或指定之公</t>
    </r>
  </si>
  <si>
    <r>
      <rPr>
        <sz val="10"/>
        <rFont val="新細明體"/>
        <family val="1"/>
        <charset val="136"/>
      </rPr>
      <t>四十小時以下之義務勞務
團體提供四十小時以上二百
行政法人、社區或公益機構
向指定之政府機關（構）、</t>
    </r>
  </si>
  <si>
    <r>
      <rPr>
        <sz val="11"/>
        <rFont val="新細明體"/>
        <family val="1"/>
        <charset val="136"/>
      </rPr>
      <t>他適當之處遇措施
治療、心理輔導或其
完成戒癮治療、精神</t>
    </r>
  </si>
  <si>
    <r>
      <rPr>
        <sz val="11"/>
        <rFont val="新細明體"/>
        <family val="1"/>
        <charset val="136"/>
      </rPr>
      <t>全之必要命令
保護被害人安</t>
    </r>
    <phoneticPr fontId="44" type="noConversion"/>
  </si>
  <si>
    <r>
      <rPr>
        <sz val="11"/>
        <rFont val="新細明體"/>
        <family val="1"/>
        <charset val="136"/>
      </rPr>
      <t>之必要命令
預防再犯所為</t>
    </r>
    <phoneticPr fontId="44" type="noConversion"/>
  </si>
  <si>
    <r>
      <rPr>
        <sz val="11"/>
        <rFont val="新細明體"/>
        <family val="1"/>
        <charset val="136"/>
      </rPr>
      <t>其他</t>
    </r>
    <phoneticPr fontId="44" type="noConversion"/>
  </si>
  <si>
    <r>
      <t>100</t>
    </r>
    <r>
      <rPr>
        <sz val="12"/>
        <rFont val="新細明體"/>
        <family val="1"/>
        <charset val="136"/>
      </rPr>
      <t>年</t>
    </r>
    <r>
      <rPr>
        <sz val="12"/>
        <rFont val="標楷體"/>
        <family val="4"/>
        <charset val="136"/>
      </rPr>
      <t/>
    </r>
  </si>
  <si>
    <r>
      <rPr>
        <sz val="10"/>
        <rFont val="新細明體"/>
        <family val="1"/>
        <charset val="136"/>
      </rPr>
      <t>資料來源：法務部統計處</t>
    </r>
    <phoneticPr fontId="44" type="noConversion"/>
  </si>
  <si>
    <r>
      <rPr>
        <sz val="10"/>
        <rFont val="新細明體"/>
        <family val="1"/>
        <charset val="136"/>
      </rPr>
      <t>說　　明：</t>
    </r>
    <r>
      <rPr>
        <sz val="10"/>
        <rFont val="Times New Roman"/>
        <family val="1"/>
      </rPr>
      <t xml:space="preserve">1. </t>
    </r>
    <r>
      <rPr>
        <sz val="10"/>
        <rFont val="新細明體"/>
        <family val="1"/>
        <charset val="136"/>
      </rPr>
      <t>本表係以「緩」字案件統計，若有案件因故撤銷又再度分案者，則以二人次計算。
　　　　　</t>
    </r>
    <r>
      <rPr>
        <sz val="10"/>
        <rFont val="Times New Roman"/>
        <family val="1"/>
      </rPr>
      <t xml:space="preserve">2. </t>
    </r>
    <r>
      <rPr>
        <sz val="10"/>
        <rFont val="新細明體"/>
        <family val="1"/>
        <charset val="136"/>
      </rPr>
      <t>檢察官得命被告遵守或履行刑事訴訟法第</t>
    </r>
    <r>
      <rPr>
        <sz val="10"/>
        <rFont val="Times New Roman"/>
        <family val="1"/>
      </rPr>
      <t>253</t>
    </r>
    <r>
      <rPr>
        <sz val="10"/>
        <rFont val="新細明體"/>
        <family val="1"/>
        <charset val="136"/>
      </rPr>
      <t>條之</t>
    </r>
    <r>
      <rPr>
        <sz val="10"/>
        <rFont val="Times New Roman"/>
        <family val="1"/>
      </rPr>
      <t>2</t>
    </r>
    <r>
      <rPr>
        <sz val="10"/>
        <rFont val="新細明體"/>
        <family val="1"/>
        <charset val="136"/>
      </rPr>
      <t>第</t>
    </r>
    <r>
      <rPr>
        <sz val="10"/>
        <rFont val="Times New Roman"/>
        <family val="1"/>
      </rPr>
      <t>1</t>
    </r>
    <r>
      <rPr>
        <sz val="10"/>
        <rFont val="新細明體"/>
        <family val="1"/>
        <charset val="136"/>
      </rPr>
      <t>項多款事項。　　　　
　　　　　</t>
    </r>
    <r>
      <rPr>
        <sz val="10"/>
        <rFont val="Times New Roman"/>
        <family val="1"/>
      </rPr>
      <t>3. 103</t>
    </r>
    <r>
      <rPr>
        <sz val="10"/>
        <rFont val="新細明體"/>
        <family val="1"/>
        <charset val="136"/>
      </rPr>
      <t>年</t>
    </r>
    <r>
      <rPr>
        <sz val="10"/>
        <rFont val="Times New Roman"/>
        <family val="1"/>
      </rPr>
      <t>6</t>
    </r>
    <r>
      <rPr>
        <sz val="10"/>
        <rFont val="新細明體"/>
        <family val="1"/>
        <charset val="136"/>
      </rPr>
      <t>月</t>
    </r>
    <r>
      <rPr>
        <sz val="10"/>
        <rFont val="Times New Roman"/>
        <family val="1"/>
      </rPr>
      <t>4</t>
    </r>
    <r>
      <rPr>
        <sz val="10"/>
        <rFont val="新細明體"/>
        <family val="1"/>
        <charset val="136"/>
      </rPr>
      <t>日修正公布刑事訴訟法第</t>
    </r>
    <r>
      <rPr>
        <sz val="10"/>
        <rFont val="Times New Roman"/>
        <family val="1"/>
      </rPr>
      <t>253</t>
    </r>
    <r>
      <rPr>
        <sz val="10"/>
        <rFont val="新細明體"/>
        <family val="1"/>
        <charset val="136"/>
      </rPr>
      <t>條之</t>
    </r>
    <r>
      <rPr>
        <sz val="10"/>
        <rFont val="Times New Roman"/>
        <family val="1"/>
      </rPr>
      <t>2</t>
    </r>
    <r>
      <rPr>
        <sz val="10"/>
        <rFont val="新細明體"/>
        <family val="1"/>
        <charset val="136"/>
      </rPr>
      <t>條文，緩起訴處分金之支付對象由公庫、公益團
                         體及地方自治團體，改僅限於公庫。</t>
    </r>
    <phoneticPr fontId="115" type="noConversion"/>
  </si>
  <si>
    <r>
      <rPr>
        <sz val="15"/>
        <rFont val="新細明體"/>
        <family val="1"/>
        <charset val="136"/>
      </rPr>
      <t>表</t>
    </r>
    <r>
      <rPr>
        <sz val="15"/>
        <rFont val="Times New Roman"/>
        <family val="1"/>
      </rPr>
      <t xml:space="preserve">2-1-17    </t>
    </r>
    <r>
      <rPr>
        <sz val="15"/>
        <rFont val="新細明體"/>
        <family val="1"/>
        <charset val="136"/>
      </rPr>
      <t>近</t>
    </r>
    <r>
      <rPr>
        <sz val="15"/>
        <rFont val="Times New Roman"/>
        <family val="1"/>
      </rPr>
      <t>10</t>
    </r>
    <r>
      <rPr>
        <sz val="15"/>
        <rFont val="新細明體"/>
        <family val="1"/>
        <charset val="136"/>
      </rPr>
      <t>年地方檢察署緩起訴處分金指定支付對象</t>
    </r>
    <phoneticPr fontId="44" type="noConversion"/>
  </si>
  <si>
    <r>
      <rPr>
        <sz val="12"/>
        <rFont val="新細明體"/>
        <family val="1"/>
        <charset val="136"/>
      </rPr>
      <t>國　庫</t>
    </r>
    <phoneticPr fontId="44" type="noConversion"/>
  </si>
  <si>
    <r>
      <rPr>
        <sz val="12"/>
        <rFont val="新細明體"/>
        <family val="1"/>
        <charset val="136"/>
      </rPr>
      <t>公益團體</t>
    </r>
    <phoneticPr fontId="44" type="noConversion"/>
  </si>
  <si>
    <r>
      <rPr>
        <sz val="12"/>
        <rFont val="新細明體"/>
        <family val="1"/>
        <charset val="136"/>
      </rPr>
      <t>地方自治團體</t>
    </r>
    <phoneticPr fontId="44" type="noConversion"/>
  </si>
  <si>
    <r>
      <rPr>
        <sz val="11"/>
        <rFont val="新細明體"/>
        <family val="1"/>
        <charset val="136"/>
      </rPr>
      <t>人</t>
    </r>
    <r>
      <rPr>
        <sz val="11"/>
        <rFont val="Times New Roman"/>
        <family val="1"/>
      </rPr>
      <t xml:space="preserve"> </t>
    </r>
    <r>
      <rPr>
        <sz val="11"/>
        <rFont val="新細明體"/>
        <family val="1"/>
        <charset val="136"/>
      </rPr>
      <t>次</t>
    </r>
    <phoneticPr fontId="44" type="noConversion"/>
  </si>
  <si>
    <r>
      <rPr>
        <sz val="10"/>
        <rFont val="新細明體"/>
        <family val="1"/>
        <charset val="136"/>
      </rPr>
      <t>新臺幣萬元</t>
    </r>
    <phoneticPr fontId="44" type="noConversion"/>
  </si>
  <si>
    <r>
      <rPr>
        <sz val="10"/>
        <rFont val="新細明體"/>
        <family val="1"/>
        <charset val="136"/>
      </rPr>
      <t>新臺幣萬元</t>
    </r>
    <phoneticPr fontId="44" type="noConversion"/>
  </si>
  <si>
    <r>
      <rPr>
        <sz val="10"/>
        <rFont val="新細明體"/>
        <family val="1"/>
        <charset val="136"/>
      </rPr>
      <t>資料來源：法務部統計處</t>
    </r>
    <phoneticPr fontId="44" type="noConversion"/>
  </si>
  <si>
    <t>說　　明：1. 本表係緩起訴處分確定案件，並扣除重複分案後統計。
　　　　　2. 金額以新臺幣萬元為單位，因尾數採四捨五入計算，故細項之和與其總數間偶有些微差異。
　　　　　3. 公益團體包含犯罪被害人保護協會、更生保護會及榮譽觀護人協進會等；地方自治團體含地方政府及學校等。
　　　　　4. 103年6月4日修正公布刑事訴訟法第253條之2條文，緩起訴處分金之支付對象由公庫、公益團體及地方自治團體，
　　　　　　改僅限於公庫；103年尚未確定案件（例如：再議中），則仍依確定時點及原指定支付對象納入統計。</t>
    <phoneticPr fontId="44" type="noConversion"/>
  </si>
  <si>
    <r>
      <rPr>
        <sz val="15"/>
        <rFont val="新細明體"/>
        <family val="1"/>
        <charset val="136"/>
      </rPr>
      <t>表</t>
    </r>
    <r>
      <rPr>
        <sz val="15"/>
        <rFont val="Times New Roman"/>
        <family val="1"/>
      </rPr>
      <t xml:space="preserve">2-1-18    </t>
    </r>
    <r>
      <rPr>
        <sz val="15"/>
        <rFont val="新細明體"/>
        <family val="1"/>
        <charset val="136"/>
      </rPr>
      <t>近</t>
    </r>
    <r>
      <rPr>
        <sz val="15"/>
        <rFont val="Times New Roman"/>
        <family val="1"/>
      </rPr>
      <t>10</t>
    </r>
    <r>
      <rPr>
        <sz val="15"/>
        <rFont val="新細明體"/>
        <family val="1"/>
        <charset val="136"/>
      </rPr>
      <t>年地方檢察署偵查案件得再議件數及聲請再議件數</t>
    </r>
    <phoneticPr fontId="44" type="noConversion"/>
  </si>
  <si>
    <r>
      <rPr>
        <sz val="12"/>
        <rFont val="新細明體"/>
        <family val="1"/>
        <charset val="136"/>
      </rPr>
      <t>得</t>
    </r>
    <r>
      <rPr>
        <sz val="12"/>
        <rFont val="Times New Roman"/>
        <family val="1"/>
      </rPr>
      <t xml:space="preserve"> </t>
    </r>
    <r>
      <rPr>
        <sz val="12"/>
        <rFont val="新細明體"/>
        <family val="1"/>
        <charset val="136"/>
      </rPr>
      <t>再</t>
    </r>
    <r>
      <rPr>
        <sz val="12"/>
        <rFont val="Times New Roman"/>
        <family val="1"/>
      </rPr>
      <t xml:space="preserve"> </t>
    </r>
    <r>
      <rPr>
        <sz val="12"/>
        <rFont val="新細明體"/>
        <family val="1"/>
        <charset val="136"/>
      </rPr>
      <t>議</t>
    </r>
    <r>
      <rPr>
        <sz val="12"/>
        <rFont val="Times New Roman"/>
        <family val="1"/>
      </rPr>
      <t xml:space="preserve"> </t>
    </r>
    <r>
      <rPr>
        <sz val="12"/>
        <rFont val="新細明體"/>
        <family val="1"/>
        <charset val="136"/>
      </rPr>
      <t>件</t>
    </r>
    <r>
      <rPr>
        <sz val="12"/>
        <rFont val="Times New Roman"/>
        <family val="1"/>
      </rPr>
      <t xml:space="preserve"> </t>
    </r>
    <r>
      <rPr>
        <sz val="12"/>
        <rFont val="新細明體"/>
        <family val="1"/>
        <charset val="136"/>
      </rPr>
      <t>數</t>
    </r>
    <phoneticPr fontId="44" type="noConversion"/>
  </si>
  <si>
    <r>
      <rPr>
        <sz val="12"/>
        <rFont val="新細明體"/>
        <family val="1"/>
        <charset val="136"/>
      </rPr>
      <t>聲</t>
    </r>
    <r>
      <rPr>
        <sz val="12"/>
        <rFont val="Times New Roman"/>
        <family val="1"/>
      </rPr>
      <t xml:space="preserve"> </t>
    </r>
    <r>
      <rPr>
        <sz val="12"/>
        <rFont val="新細明體"/>
        <family val="1"/>
        <charset val="136"/>
      </rPr>
      <t>請</t>
    </r>
    <r>
      <rPr>
        <sz val="12"/>
        <rFont val="Times New Roman"/>
        <family val="1"/>
      </rPr>
      <t xml:space="preserve"> </t>
    </r>
    <r>
      <rPr>
        <sz val="12"/>
        <rFont val="新細明體"/>
        <family val="1"/>
        <charset val="136"/>
      </rPr>
      <t>再</t>
    </r>
    <r>
      <rPr>
        <sz val="12"/>
        <rFont val="Times New Roman"/>
        <family val="1"/>
      </rPr>
      <t xml:space="preserve"> </t>
    </r>
    <r>
      <rPr>
        <sz val="12"/>
        <rFont val="新細明體"/>
        <family val="1"/>
        <charset val="136"/>
      </rPr>
      <t>議</t>
    </r>
    <r>
      <rPr>
        <sz val="12"/>
        <rFont val="Times New Roman"/>
        <family val="1"/>
      </rPr>
      <t xml:space="preserve"> </t>
    </r>
    <r>
      <rPr>
        <sz val="12"/>
        <rFont val="新細明體"/>
        <family val="1"/>
        <charset val="136"/>
      </rPr>
      <t>件</t>
    </r>
    <r>
      <rPr>
        <sz val="12"/>
        <rFont val="Times New Roman"/>
        <family val="1"/>
      </rPr>
      <t xml:space="preserve"> </t>
    </r>
    <r>
      <rPr>
        <sz val="12"/>
        <rFont val="新細明體"/>
        <family val="1"/>
        <charset val="136"/>
      </rPr>
      <t>數</t>
    </r>
    <phoneticPr fontId="44" type="noConversion"/>
  </si>
  <si>
    <r>
      <rPr>
        <sz val="12"/>
        <rFont val="新細明體"/>
        <family val="1"/>
        <charset val="136"/>
      </rPr>
      <t>總計</t>
    </r>
    <phoneticPr fontId="123" type="noConversion"/>
  </si>
  <si>
    <r>
      <rPr>
        <sz val="12"/>
        <rFont val="新細明體"/>
        <family val="1"/>
        <charset val="136"/>
      </rPr>
      <t>緩起訴
處　分</t>
    </r>
    <phoneticPr fontId="123" type="noConversion"/>
  </si>
  <si>
    <r>
      <rPr>
        <sz val="12"/>
        <rFont val="新細明體"/>
        <family val="1"/>
        <charset val="136"/>
      </rPr>
      <t>不起訴
處　分</t>
    </r>
    <phoneticPr fontId="123" type="noConversion"/>
  </si>
  <si>
    <r>
      <rPr>
        <sz val="12"/>
        <rFont val="新細明體"/>
        <family val="1"/>
        <charset val="136"/>
      </rPr>
      <t>撤　銷
緩起訴
處　分</t>
    </r>
    <phoneticPr fontId="123" type="noConversion"/>
  </si>
  <si>
    <r>
      <rPr>
        <sz val="12"/>
        <rFont val="新細明體"/>
        <family val="1"/>
        <charset val="136"/>
      </rPr>
      <t>不起訴
處　分</t>
    </r>
    <phoneticPr fontId="123" type="noConversion"/>
  </si>
  <si>
    <r>
      <rPr>
        <sz val="12"/>
        <rFont val="新細明體"/>
        <family val="1"/>
        <charset val="136"/>
      </rPr>
      <t>占得再議
件數比率</t>
    </r>
    <phoneticPr fontId="44" type="noConversion"/>
  </si>
  <si>
    <t>資料來源：法務部統計處
說　　明：得再議件數係指符合刑事訴訟法第256條要件之案件。</t>
    <phoneticPr fontId="44" type="noConversion"/>
  </si>
  <si>
    <r>
      <rPr>
        <sz val="15"/>
        <rFont val="新細明體"/>
        <family val="1"/>
        <charset val="136"/>
      </rPr>
      <t>表</t>
    </r>
    <r>
      <rPr>
        <sz val="15"/>
        <rFont val="Times New Roman"/>
        <family val="1"/>
      </rPr>
      <t xml:space="preserve">2-1-19    </t>
    </r>
    <r>
      <rPr>
        <sz val="15"/>
        <rFont val="新細明體"/>
        <family val="1"/>
        <charset val="136"/>
      </rPr>
      <t>近</t>
    </r>
    <r>
      <rPr>
        <sz val="15"/>
        <rFont val="Times New Roman"/>
        <family val="1"/>
      </rPr>
      <t>10</t>
    </r>
    <r>
      <rPr>
        <sz val="15"/>
        <rFont val="新細明體"/>
        <family val="1"/>
        <charset val="136"/>
      </rPr>
      <t>年地方檢察署再議案件辦理情形</t>
    </r>
    <phoneticPr fontId="44" type="noConversion"/>
  </si>
  <si>
    <r>
      <rPr>
        <sz val="11"/>
        <rFont val="新細明體"/>
        <family val="1"/>
        <charset val="136"/>
      </rPr>
      <t>單位：件、</t>
    </r>
    <r>
      <rPr>
        <sz val="11"/>
        <rFont val="Times New Roman"/>
        <family val="1"/>
      </rPr>
      <t>%</t>
    </r>
    <phoneticPr fontId="44" type="noConversion"/>
  </si>
  <si>
    <r>
      <rPr>
        <sz val="12"/>
        <rFont val="新細明體"/>
        <family val="1"/>
        <charset val="136"/>
      </rPr>
      <t>得再議件數</t>
    </r>
    <phoneticPr fontId="44" type="noConversion"/>
  </si>
  <si>
    <r>
      <rPr>
        <sz val="12"/>
        <rFont val="新細明體"/>
        <family val="1"/>
        <charset val="136"/>
      </rPr>
      <t>再</t>
    </r>
    <r>
      <rPr>
        <sz val="12"/>
        <rFont val="Times New Roman"/>
        <family val="1"/>
      </rPr>
      <t xml:space="preserve">          </t>
    </r>
    <r>
      <rPr>
        <sz val="12"/>
        <rFont val="新細明體"/>
        <family val="1"/>
        <charset val="136"/>
      </rPr>
      <t>議</t>
    </r>
    <r>
      <rPr>
        <sz val="12"/>
        <rFont val="Times New Roman"/>
        <family val="1"/>
      </rPr>
      <t xml:space="preserve">         </t>
    </r>
    <r>
      <rPr>
        <sz val="12"/>
        <rFont val="新細明體"/>
        <family val="1"/>
        <charset val="136"/>
      </rPr>
      <t>件</t>
    </r>
    <r>
      <rPr>
        <sz val="12"/>
        <rFont val="Times New Roman"/>
        <family val="1"/>
      </rPr>
      <t xml:space="preserve">          </t>
    </r>
    <r>
      <rPr>
        <sz val="12"/>
        <rFont val="新細明體"/>
        <family val="1"/>
        <charset val="136"/>
      </rPr>
      <t>數</t>
    </r>
    <phoneticPr fontId="44" type="noConversion"/>
  </si>
  <si>
    <r>
      <rPr>
        <sz val="13"/>
        <color theme="1"/>
        <rFont val="新細明體"/>
        <family val="1"/>
        <charset val="136"/>
      </rPr>
      <t>送交上級法院檢察署檢察長後發回件數</t>
    </r>
    <phoneticPr fontId="44" type="noConversion"/>
  </si>
  <si>
    <r>
      <rPr>
        <sz val="12"/>
        <rFont val="新細明體"/>
        <family val="1"/>
        <charset val="136"/>
      </rPr>
      <t>總計</t>
    </r>
    <phoneticPr fontId="44" type="noConversion"/>
  </si>
  <si>
    <r>
      <rPr>
        <sz val="12"/>
        <rFont val="新細明體"/>
        <family val="1"/>
        <charset val="136"/>
      </rPr>
      <t>終</t>
    </r>
    <r>
      <rPr>
        <sz val="12"/>
        <rFont val="Times New Roman"/>
        <family val="1"/>
      </rPr>
      <t xml:space="preserve">   </t>
    </r>
    <r>
      <rPr>
        <sz val="12"/>
        <rFont val="新細明體"/>
        <family val="1"/>
        <charset val="136"/>
      </rPr>
      <t>結</t>
    </r>
    <r>
      <rPr>
        <sz val="12"/>
        <rFont val="Times New Roman"/>
        <family val="1"/>
      </rPr>
      <t xml:space="preserve">   </t>
    </r>
    <r>
      <rPr>
        <sz val="12"/>
        <rFont val="新細明體"/>
        <family val="1"/>
        <charset val="136"/>
      </rPr>
      <t>件</t>
    </r>
    <r>
      <rPr>
        <sz val="12"/>
        <rFont val="Times New Roman"/>
        <family val="1"/>
      </rPr>
      <t xml:space="preserve">   </t>
    </r>
    <r>
      <rPr>
        <sz val="12"/>
        <rFont val="新細明體"/>
        <family val="1"/>
        <charset val="136"/>
      </rPr>
      <t>數</t>
    </r>
    <phoneticPr fontId="44" type="noConversion"/>
  </si>
  <si>
    <r>
      <rPr>
        <sz val="12"/>
        <rFont val="新細明體"/>
        <family val="1"/>
        <charset val="136"/>
      </rPr>
      <t>年底未結件數</t>
    </r>
    <phoneticPr fontId="44" type="noConversion"/>
  </si>
  <si>
    <r>
      <rPr>
        <sz val="12"/>
        <rFont val="新細明體"/>
        <family val="1"/>
        <charset val="136"/>
      </rPr>
      <t>聲請駁回</t>
    </r>
    <phoneticPr fontId="44" type="noConversion"/>
  </si>
  <si>
    <r>
      <rPr>
        <sz val="12"/>
        <rFont val="新細明體"/>
        <family val="1"/>
        <charset val="136"/>
      </rPr>
      <t>續行偵查
命令</t>
    </r>
    <phoneticPr fontId="44" type="noConversion"/>
  </si>
  <si>
    <r>
      <rPr>
        <sz val="12"/>
        <rFont val="新細明體"/>
        <family val="1"/>
        <charset val="136"/>
      </rPr>
      <t>命令起訴</t>
    </r>
    <phoneticPr fontId="44" type="noConversion"/>
  </si>
  <si>
    <r>
      <rPr>
        <sz val="12"/>
        <rFont val="新細明體"/>
        <family val="1"/>
        <charset val="136"/>
      </rPr>
      <t>其他</t>
    </r>
    <phoneticPr fontId="44" type="noConversion"/>
  </si>
  <si>
    <r>
      <rPr>
        <sz val="12"/>
        <rFont val="新細明體"/>
        <family val="1"/>
        <charset val="136"/>
      </rPr>
      <t>撤回聲請</t>
    </r>
    <r>
      <rPr>
        <sz val="12"/>
        <rFont val="Times New Roman"/>
        <family val="1"/>
      </rPr>
      <t xml:space="preserve">   </t>
    </r>
    <r>
      <rPr>
        <sz val="12"/>
        <rFont val="新細明體"/>
        <family val="1"/>
        <charset val="136"/>
      </rPr>
      <t>由聲請人</t>
    </r>
    <phoneticPr fontId="44" type="noConversion"/>
  </si>
  <si>
    <r>
      <rPr>
        <sz val="12"/>
        <rFont val="新細明體"/>
        <family val="1"/>
        <charset val="136"/>
      </rPr>
      <t>銷或駁回聲請由原檢察官撤</t>
    </r>
    <phoneticPr fontId="44" type="noConversion"/>
  </si>
  <si>
    <r>
      <rPr>
        <sz val="12"/>
        <rFont val="新細明體"/>
        <family val="1"/>
        <charset val="136"/>
      </rPr>
      <t>撤銷處分
由檢察長</t>
    </r>
    <phoneticPr fontId="44" type="noConversion"/>
  </si>
  <si>
    <r>
      <rPr>
        <sz val="12"/>
        <rFont val="新細明體"/>
        <family val="1"/>
        <charset val="136"/>
      </rPr>
      <t>檢察署檢察長
送交上級法院</t>
    </r>
    <phoneticPr fontId="44" type="noConversion"/>
  </si>
  <si>
    <r>
      <t>99</t>
    </r>
    <r>
      <rPr>
        <sz val="12"/>
        <rFont val="新細明體"/>
        <family val="1"/>
        <charset val="136"/>
      </rPr>
      <t>年</t>
    </r>
    <phoneticPr fontId="44" type="noConversion"/>
  </si>
  <si>
    <t>%</t>
    <phoneticPr fontId="44" type="noConversion"/>
  </si>
  <si>
    <t>100.00</t>
    <phoneticPr fontId="44" type="noConversion"/>
  </si>
  <si>
    <t>100.00</t>
    <phoneticPr fontId="44" type="noConversion"/>
  </si>
  <si>
    <r>
      <rPr>
        <sz val="12"/>
        <rFont val="新細明體"/>
        <family val="1"/>
        <charset val="136"/>
      </rPr>
      <t>件</t>
    </r>
    <phoneticPr fontId="44" type="noConversion"/>
  </si>
  <si>
    <t>%</t>
    <phoneticPr fontId="44" type="noConversion"/>
  </si>
  <si>
    <t>100.00</t>
    <phoneticPr fontId="44" type="noConversion"/>
  </si>
  <si>
    <r>
      <rPr>
        <sz val="12"/>
        <rFont val="新細明體"/>
        <family val="1"/>
        <charset val="136"/>
      </rPr>
      <t>件</t>
    </r>
    <phoneticPr fontId="44" type="noConversion"/>
  </si>
  <si>
    <t>100.00</t>
    <phoneticPr fontId="44" type="noConversion"/>
  </si>
  <si>
    <t>%</t>
    <phoneticPr fontId="44" type="noConversion"/>
  </si>
  <si>
    <r>
      <rPr>
        <sz val="12"/>
        <rFont val="新細明體"/>
        <family val="1"/>
        <charset val="136"/>
      </rPr>
      <t>件</t>
    </r>
    <phoneticPr fontId="44" type="noConversion"/>
  </si>
  <si>
    <r>
      <rPr>
        <sz val="10"/>
        <rFont val="新細明體"/>
        <family val="1"/>
        <charset val="136"/>
      </rPr>
      <t>說　　明：再議案件送交上級檢察署檢察長後發回件數，若一案數名被告發回情形不同時，各情形按被告人數比例統計；
　　　　　發回件數之其他包括撤回原處分已自訴、退回補資料、函查鑑定簽結、不合法簽結、逾期駁回、撤銷原處分及撤回告訴等。</t>
    </r>
    <phoneticPr fontId="44" type="noConversion"/>
  </si>
  <si>
    <r>
      <rPr>
        <sz val="10"/>
        <rFont val="新細明體"/>
        <family val="1"/>
        <charset val="136"/>
      </rPr>
      <t>　　　　　</t>
    </r>
    <phoneticPr fontId="115" type="noConversion"/>
  </si>
  <si>
    <r>
      <t xml:space="preserve">     </t>
    </r>
    <r>
      <rPr>
        <sz val="15"/>
        <rFont val="新細明體"/>
        <family val="1"/>
        <charset val="136"/>
      </rPr>
      <t>表</t>
    </r>
    <r>
      <rPr>
        <sz val="15"/>
        <rFont val="Times New Roman"/>
        <family val="1"/>
      </rPr>
      <t xml:space="preserve">2-1-20    </t>
    </r>
    <r>
      <rPr>
        <sz val="15"/>
        <rFont val="新細明體"/>
        <family val="1"/>
        <charset val="136"/>
      </rPr>
      <t>近</t>
    </r>
    <r>
      <rPr>
        <sz val="15"/>
        <rFont val="Times New Roman"/>
        <family val="1"/>
      </rPr>
      <t>10</t>
    </r>
    <r>
      <rPr>
        <sz val="15"/>
        <rFont val="新細明體"/>
        <family val="1"/>
        <charset val="136"/>
      </rPr>
      <t>年最高檢察署辦理非常上訴案件收結情形</t>
    </r>
    <r>
      <rPr>
        <sz val="15"/>
        <rFont val="Times New Roman"/>
        <family val="1"/>
      </rPr>
      <t xml:space="preserve"> </t>
    </r>
    <phoneticPr fontId="44" type="noConversion"/>
  </si>
  <si>
    <r>
      <rPr>
        <sz val="11"/>
        <rFont val="新細明體"/>
        <family val="1"/>
        <charset val="136"/>
      </rPr>
      <t>單位：件</t>
    </r>
    <phoneticPr fontId="44" type="noConversion"/>
  </si>
  <si>
    <r>
      <rPr>
        <sz val="12"/>
        <rFont val="新細明體"/>
        <family val="1"/>
        <charset val="136"/>
      </rPr>
      <t>新收件數</t>
    </r>
    <phoneticPr fontId="44" type="noConversion"/>
  </si>
  <si>
    <r>
      <rPr>
        <sz val="12"/>
        <rFont val="新細明體"/>
        <family val="1"/>
        <charset val="136"/>
      </rPr>
      <t>終</t>
    </r>
    <r>
      <rPr>
        <sz val="12"/>
        <rFont val="Times New Roman"/>
        <family val="1"/>
      </rPr>
      <t xml:space="preserve">     </t>
    </r>
    <r>
      <rPr>
        <sz val="12"/>
        <rFont val="新細明體"/>
        <family val="1"/>
        <charset val="136"/>
      </rPr>
      <t>結</t>
    </r>
    <r>
      <rPr>
        <sz val="12"/>
        <rFont val="Times New Roman"/>
        <family val="1"/>
      </rPr>
      <t xml:space="preserve">      </t>
    </r>
    <r>
      <rPr>
        <sz val="12"/>
        <rFont val="新細明體"/>
        <family val="1"/>
        <charset val="136"/>
      </rPr>
      <t>件</t>
    </r>
    <r>
      <rPr>
        <sz val="12"/>
        <rFont val="Times New Roman"/>
        <family val="1"/>
      </rPr>
      <t xml:space="preserve">     </t>
    </r>
    <r>
      <rPr>
        <sz val="12"/>
        <rFont val="新細明體"/>
        <family val="1"/>
        <charset val="136"/>
      </rPr>
      <t>數</t>
    </r>
    <phoneticPr fontId="44" type="noConversion"/>
  </si>
  <si>
    <r>
      <rPr>
        <sz val="12"/>
        <rFont val="新細明體"/>
        <family val="1"/>
        <charset val="136"/>
      </rPr>
      <t>未結件數
年底</t>
    </r>
    <phoneticPr fontId="44" type="noConversion"/>
  </si>
  <si>
    <r>
      <rPr>
        <sz val="12"/>
        <rFont val="新細明體"/>
        <family val="1"/>
        <charset val="136"/>
      </rPr>
      <t>提</t>
    </r>
    <r>
      <rPr>
        <sz val="12"/>
        <rFont val="Times New Roman"/>
        <family val="1"/>
      </rPr>
      <t xml:space="preserve"> </t>
    </r>
    <r>
      <rPr>
        <sz val="12"/>
        <rFont val="新細明體"/>
        <family val="1"/>
        <charset val="136"/>
      </rPr>
      <t>起</t>
    </r>
    <r>
      <rPr>
        <sz val="12"/>
        <rFont val="Times New Roman"/>
        <family val="1"/>
      </rPr>
      <t xml:space="preserve"> </t>
    </r>
    <r>
      <rPr>
        <sz val="12"/>
        <rFont val="新細明體"/>
        <family val="1"/>
        <charset val="136"/>
      </rPr>
      <t>非</t>
    </r>
    <r>
      <rPr>
        <sz val="12"/>
        <rFont val="Times New Roman"/>
        <family val="1"/>
      </rPr>
      <t xml:space="preserve"> </t>
    </r>
    <r>
      <rPr>
        <sz val="12"/>
        <rFont val="新細明體"/>
        <family val="1"/>
        <charset val="136"/>
      </rPr>
      <t>常</t>
    </r>
    <r>
      <rPr>
        <sz val="12"/>
        <rFont val="Times New Roman"/>
        <family val="1"/>
      </rPr>
      <t xml:space="preserve"> </t>
    </r>
    <r>
      <rPr>
        <sz val="12"/>
        <rFont val="新細明體"/>
        <family val="1"/>
        <charset val="136"/>
      </rPr>
      <t>上</t>
    </r>
    <r>
      <rPr>
        <sz val="12"/>
        <rFont val="Times New Roman"/>
        <family val="1"/>
      </rPr>
      <t xml:space="preserve"> </t>
    </r>
    <r>
      <rPr>
        <sz val="12"/>
        <rFont val="新細明體"/>
        <family val="1"/>
        <charset val="136"/>
      </rPr>
      <t>訴</t>
    </r>
    <r>
      <rPr>
        <sz val="12"/>
        <rFont val="Times New Roman"/>
        <family val="1"/>
      </rPr>
      <t xml:space="preserve"> </t>
    </r>
    <r>
      <rPr>
        <sz val="12"/>
        <rFont val="新細明體"/>
        <family val="1"/>
        <charset val="136"/>
      </rPr>
      <t>案</t>
    </r>
    <r>
      <rPr>
        <sz val="12"/>
        <rFont val="Times New Roman"/>
        <family val="1"/>
      </rPr>
      <t xml:space="preserve"> </t>
    </r>
    <r>
      <rPr>
        <sz val="12"/>
        <rFont val="新細明體"/>
        <family val="1"/>
        <charset val="136"/>
      </rPr>
      <t>件</t>
    </r>
    <r>
      <rPr>
        <sz val="12"/>
        <rFont val="Times New Roman"/>
        <family val="1"/>
      </rPr>
      <t xml:space="preserve"> </t>
    </r>
    <r>
      <rPr>
        <sz val="12"/>
        <rFont val="新細明體"/>
        <family val="1"/>
        <charset val="136"/>
      </rPr>
      <t>判</t>
    </r>
    <r>
      <rPr>
        <sz val="12"/>
        <rFont val="Times New Roman"/>
        <family val="1"/>
      </rPr>
      <t xml:space="preserve"> </t>
    </r>
    <r>
      <rPr>
        <sz val="12"/>
        <rFont val="新細明體"/>
        <family val="1"/>
        <charset val="136"/>
      </rPr>
      <t>決</t>
    </r>
    <r>
      <rPr>
        <sz val="12"/>
        <rFont val="Times New Roman"/>
        <family val="1"/>
      </rPr>
      <t xml:space="preserve"> </t>
    </r>
    <r>
      <rPr>
        <sz val="12"/>
        <rFont val="新細明體"/>
        <family val="1"/>
        <charset val="136"/>
      </rPr>
      <t>結</t>
    </r>
    <r>
      <rPr>
        <sz val="12"/>
        <rFont val="Times New Roman"/>
        <family val="1"/>
      </rPr>
      <t xml:space="preserve"> </t>
    </r>
    <r>
      <rPr>
        <sz val="12"/>
        <rFont val="新細明體"/>
        <family val="1"/>
        <charset val="136"/>
      </rPr>
      <t>果</t>
    </r>
    <phoneticPr fontId="44" type="noConversion"/>
  </si>
  <si>
    <r>
      <rPr>
        <sz val="12"/>
        <rFont val="新細明體"/>
        <family val="1"/>
        <charset val="136"/>
      </rPr>
      <t>總</t>
    </r>
  </si>
  <si>
    <r>
      <rPr>
        <sz val="12"/>
        <rFont val="細明體"/>
        <family val="3"/>
        <charset val="136"/>
      </rPr>
      <t>提</t>
    </r>
    <r>
      <rPr>
        <sz val="12"/>
        <rFont val="Times New Roman"/>
        <family val="1"/>
      </rPr>
      <t xml:space="preserve"> </t>
    </r>
    <r>
      <rPr>
        <sz val="12"/>
        <rFont val="細明體"/>
        <family val="3"/>
        <charset val="136"/>
      </rPr>
      <t>起</t>
    </r>
    <r>
      <rPr>
        <sz val="12"/>
        <rFont val="Times New Roman"/>
        <family val="1"/>
      </rPr>
      <t xml:space="preserve"> </t>
    </r>
    <r>
      <rPr>
        <sz val="12"/>
        <rFont val="細明體"/>
        <family val="3"/>
        <charset val="136"/>
      </rPr>
      <t>非</t>
    </r>
    <r>
      <rPr>
        <sz val="12"/>
        <rFont val="Times New Roman"/>
        <family val="1"/>
      </rPr>
      <t xml:space="preserve"> </t>
    </r>
    <r>
      <rPr>
        <sz val="12"/>
        <rFont val="細明體"/>
        <family val="3"/>
        <charset val="136"/>
      </rPr>
      <t>常</t>
    </r>
    <r>
      <rPr>
        <sz val="12"/>
        <rFont val="Times New Roman"/>
        <family val="1"/>
      </rPr>
      <t xml:space="preserve"> </t>
    </r>
    <r>
      <rPr>
        <sz val="12"/>
        <rFont val="細明體"/>
        <family val="3"/>
        <charset val="136"/>
      </rPr>
      <t>上</t>
    </r>
    <r>
      <rPr>
        <sz val="12"/>
        <rFont val="Times New Roman"/>
        <family val="1"/>
      </rPr>
      <t xml:space="preserve"> </t>
    </r>
    <r>
      <rPr>
        <sz val="12"/>
        <rFont val="細明體"/>
        <family val="3"/>
        <charset val="136"/>
      </rPr>
      <t>訴</t>
    </r>
    <phoneticPr fontId="115" type="noConversion"/>
  </si>
  <si>
    <t>不予提起
非常上訴</t>
    <phoneticPr fontId="115" type="noConversion"/>
  </si>
  <si>
    <r>
      <rPr>
        <sz val="12"/>
        <rFont val="新細明體"/>
        <family val="1"/>
        <charset val="136"/>
      </rPr>
      <t>撤銷原判決</t>
    </r>
    <phoneticPr fontId="44" type="noConversion"/>
  </si>
  <si>
    <r>
      <rPr>
        <sz val="12"/>
        <rFont val="新細明體"/>
        <family val="1"/>
        <charset val="136"/>
      </rPr>
      <t>並發回更審
撤銷原判決</t>
    </r>
    <phoneticPr fontId="44" type="noConversion"/>
  </si>
  <si>
    <r>
      <rPr>
        <sz val="12"/>
        <rFont val="新細明體"/>
        <family val="1"/>
        <charset val="136"/>
      </rPr>
      <t>駁回非常上訴</t>
    </r>
    <phoneticPr fontId="44" type="noConversion"/>
  </si>
  <si>
    <r>
      <rPr>
        <sz val="12"/>
        <rFont val="新細明體"/>
        <family val="1"/>
        <charset val="136"/>
      </rPr>
      <t>聲請
檢察官</t>
    </r>
    <phoneticPr fontId="44" type="noConversion"/>
  </si>
  <si>
    <r>
      <rPr>
        <sz val="12"/>
        <rFont val="新細明體"/>
        <family val="1"/>
        <charset val="136"/>
      </rPr>
      <t>其</t>
    </r>
  </si>
  <si>
    <r>
      <rPr>
        <sz val="12"/>
        <rFont val="新細明體"/>
        <family val="1"/>
        <charset val="136"/>
      </rPr>
      <t>計</t>
    </r>
  </si>
  <si>
    <t>件數</t>
    <phoneticPr fontId="115" type="noConversion"/>
  </si>
  <si>
    <t>比率</t>
    <phoneticPr fontId="115" type="noConversion"/>
  </si>
  <si>
    <r>
      <rPr>
        <sz val="12"/>
        <rFont val="新細明體"/>
        <family val="1"/>
        <charset val="136"/>
      </rPr>
      <t>他</t>
    </r>
  </si>
  <si>
    <r>
      <rPr>
        <sz val="15"/>
        <rFont val="新細明體"/>
        <family val="1"/>
        <charset val="136"/>
      </rPr>
      <t>表</t>
    </r>
    <r>
      <rPr>
        <sz val="15"/>
        <rFont val="Times New Roman"/>
        <family val="1"/>
      </rPr>
      <t xml:space="preserve">2-1-21    </t>
    </r>
    <r>
      <rPr>
        <sz val="15"/>
        <rFont val="新細明體"/>
        <family val="1"/>
        <charset val="136"/>
      </rPr>
      <t>近</t>
    </r>
    <r>
      <rPr>
        <sz val="15"/>
        <rFont val="Times New Roman"/>
        <family val="1"/>
      </rPr>
      <t>10</t>
    </r>
    <r>
      <rPr>
        <sz val="15"/>
        <rFont val="新細明體"/>
        <family val="1"/>
        <charset val="136"/>
      </rPr>
      <t>年最高檢察署非常上訴案件主要終結罪名</t>
    </r>
    <phoneticPr fontId="44" type="noConversion"/>
  </si>
  <si>
    <r>
      <rPr>
        <sz val="11"/>
        <rFont val="新細明體"/>
        <family val="1"/>
        <charset val="136"/>
      </rPr>
      <t>單位：件</t>
    </r>
    <phoneticPr fontId="44" type="noConversion"/>
  </si>
  <si>
    <r>
      <rPr>
        <sz val="12"/>
        <rFont val="新細明體"/>
        <family val="1"/>
        <charset val="136"/>
      </rPr>
      <t>防制條例</t>
    </r>
    <r>
      <rPr>
        <sz val="13"/>
        <rFont val="Times New Roman"/>
        <family val="1"/>
      </rPr>
      <t xml:space="preserve">
</t>
    </r>
    <r>
      <rPr>
        <sz val="13"/>
        <rFont val="新細明體"/>
        <family val="1"/>
        <charset val="136"/>
      </rPr>
      <t>毒品危害</t>
    </r>
    <phoneticPr fontId="44" type="noConversion"/>
  </si>
  <si>
    <r>
      <rPr>
        <sz val="12"/>
        <rFont val="新細明體"/>
        <family val="1"/>
        <charset val="136"/>
      </rPr>
      <t>及家庭罪
妨害婚姻</t>
    </r>
    <phoneticPr fontId="44" type="noConversion"/>
  </si>
  <si>
    <r>
      <rPr>
        <sz val="12"/>
        <rFont val="新細明體"/>
        <family val="1"/>
        <charset val="136"/>
      </rPr>
      <t>及重利罪
詐欺背信</t>
    </r>
    <phoneticPr fontId="44" type="noConversion"/>
  </si>
  <si>
    <r>
      <rPr>
        <sz val="12"/>
        <rFont val="新細明體"/>
        <family val="1"/>
        <charset val="136"/>
      </rPr>
      <t>條例
貪污治罪</t>
    </r>
    <phoneticPr fontId="44" type="noConversion"/>
  </si>
  <si>
    <r>
      <rPr>
        <sz val="12"/>
        <rFont val="新細明體"/>
        <family val="1"/>
        <charset val="136"/>
      </rPr>
      <t>印文罪
偽造文書</t>
    </r>
    <phoneticPr fontId="44" type="noConversion"/>
  </si>
  <si>
    <r>
      <rPr>
        <sz val="12"/>
        <rFont val="新細明體"/>
        <family val="1"/>
        <charset val="136"/>
      </rPr>
      <t>械管制條例
槍砲彈藥刀</t>
    </r>
    <phoneticPr fontId="44" type="noConversion"/>
  </si>
  <si>
    <r>
      <rPr>
        <sz val="12"/>
        <rFont val="新細明體"/>
        <family val="1"/>
        <charset val="136"/>
      </rPr>
      <t>及海盜罪
搶奪強盜</t>
    </r>
    <phoneticPr fontId="44" type="noConversion"/>
  </si>
  <si>
    <r>
      <rPr>
        <sz val="12"/>
        <rFont val="新細明體"/>
        <family val="1"/>
        <charset val="136"/>
      </rPr>
      <t>人勒贖罪
恐嚇及擄</t>
    </r>
    <phoneticPr fontId="44" type="noConversion"/>
  </si>
  <si>
    <r>
      <rPr>
        <sz val="12"/>
        <rFont val="新細明體"/>
        <family val="1"/>
        <charset val="136"/>
      </rPr>
      <t>侵占罪</t>
    </r>
    <phoneticPr fontId="44" type="noConversion"/>
  </si>
  <si>
    <r>
      <rPr>
        <sz val="12"/>
        <rFont val="新細明體"/>
        <family val="1"/>
        <charset val="136"/>
      </rPr>
      <t>　</t>
    </r>
    <phoneticPr fontId="44" type="noConversion"/>
  </si>
  <si>
    <r>
      <rPr>
        <sz val="12"/>
        <rFont val="新細明體"/>
        <family val="1"/>
        <charset val="136"/>
      </rPr>
      <t>害</t>
    </r>
  </si>
  <si>
    <r>
      <rPr>
        <sz val="12"/>
        <rFont val="新細明體"/>
        <family val="1"/>
        <charset val="136"/>
      </rPr>
      <t>人</t>
    </r>
  </si>
  <si>
    <r>
      <rPr>
        <sz val="12"/>
        <rFont val="新細明體"/>
        <family val="1"/>
        <charset val="136"/>
      </rPr>
      <t>罪</t>
    </r>
  </si>
  <si>
    <r>
      <rPr>
        <sz val="10"/>
        <rFont val="新細明體"/>
        <family val="1"/>
        <charset val="136"/>
      </rPr>
      <t>資料來源：法務部統計處</t>
    </r>
    <phoneticPr fontId="44" type="noConversion"/>
  </si>
  <si>
    <r>
      <rPr>
        <sz val="10"/>
        <rFont val="新細明體"/>
        <family val="1"/>
        <charset val="136"/>
      </rPr>
      <t>說</t>
    </r>
    <r>
      <rPr>
        <sz val="10"/>
        <color indexed="9"/>
        <rFont val="新細明體"/>
        <family val="1"/>
        <charset val="136"/>
      </rPr>
      <t>　　</t>
    </r>
    <r>
      <rPr>
        <sz val="10"/>
        <rFont val="新細明體"/>
        <family val="1"/>
        <charset val="136"/>
      </rPr>
      <t>明：毒品危害防制條例包含</t>
    </r>
    <r>
      <rPr>
        <sz val="10"/>
        <rFont val="Times New Roman"/>
        <family val="1"/>
      </rPr>
      <t>87</t>
    </r>
    <r>
      <rPr>
        <sz val="10"/>
        <rFont val="新細明體"/>
        <family val="1"/>
        <charset val="136"/>
      </rPr>
      <t>年</t>
    </r>
    <r>
      <rPr>
        <sz val="10"/>
        <rFont val="Times New Roman"/>
        <family val="1"/>
      </rPr>
      <t>5</t>
    </r>
    <r>
      <rPr>
        <sz val="10"/>
        <rFont val="新細明體"/>
        <family val="1"/>
        <charset val="136"/>
      </rPr>
      <t>月</t>
    </r>
    <r>
      <rPr>
        <sz val="10"/>
        <rFont val="Times New Roman"/>
        <family val="1"/>
      </rPr>
      <t>20</t>
    </r>
    <r>
      <rPr>
        <sz val="10"/>
        <rFont val="新細明體"/>
        <family val="1"/>
        <charset val="136"/>
      </rPr>
      <t>日修正施行前之肅清煙毒條例及麻醉藥品管理條例。</t>
    </r>
    <phoneticPr fontId="44" type="noConversion"/>
  </si>
  <si>
    <r>
      <rPr>
        <sz val="12"/>
        <color indexed="55"/>
        <rFont val="新細明體"/>
        <family val="1"/>
        <charset val="136"/>
      </rPr>
      <t>舊表</t>
    </r>
    <phoneticPr fontId="44" type="noConversion"/>
  </si>
  <si>
    <r>
      <rPr>
        <sz val="12"/>
        <color indexed="55"/>
        <rFont val="新細明體"/>
        <family val="1"/>
        <charset val="136"/>
      </rPr>
      <t>總計</t>
    </r>
    <phoneticPr fontId="44" type="noConversion"/>
  </si>
  <si>
    <r>
      <rPr>
        <sz val="12"/>
        <color indexed="55"/>
        <rFont val="新細明體"/>
        <family val="1"/>
        <charset val="136"/>
      </rPr>
      <t>瀆職罪</t>
    </r>
    <phoneticPr fontId="44" type="noConversion"/>
  </si>
  <si>
    <r>
      <rPr>
        <sz val="12"/>
        <color indexed="55"/>
        <rFont val="新細明體"/>
        <family val="1"/>
        <charset val="136"/>
      </rPr>
      <t>妨害風化罪</t>
    </r>
    <phoneticPr fontId="44" type="noConversion"/>
  </si>
  <si>
    <r>
      <rPr>
        <sz val="12"/>
        <color indexed="55"/>
        <rFont val="新細明體"/>
        <family val="1"/>
        <charset val="136"/>
      </rPr>
      <t>殺人罪</t>
    </r>
    <phoneticPr fontId="44" type="noConversion"/>
  </si>
  <si>
    <r>
      <rPr>
        <sz val="12"/>
        <color indexed="55"/>
        <rFont val="新細明體"/>
        <family val="1"/>
        <charset val="136"/>
      </rPr>
      <t>傷害罪</t>
    </r>
    <phoneticPr fontId="44" type="noConversion"/>
  </si>
  <si>
    <r>
      <rPr>
        <sz val="12"/>
        <color indexed="55"/>
        <rFont val="新細明體"/>
        <family val="1"/>
        <charset val="136"/>
      </rPr>
      <t>竊盜罪</t>
    </r>
    <phoneticPr fontId="44" type="noConversion"/>
  </si>
  <si>
    <r>
      <rPr>
        <sz val="12"/>
        <color indexed="55"/>
        <rFont val="新細明體"/>
        <family val="1"/>
        <charset val="136"/>
      </rPr>
      <t>及</t>
    </r>
    <r>
      <rPr>
        <sz val="12"/>
        <color indexed="55"/>
        <rFont val="Times New Roman"/>
        <family val="1"/>
      </rPr>
      <t xml:space="preserve"> </t>
    </r>
    <r>
      <rPr>
        <sz val="12"/>
        <color indexed="55"/>
        <rFont val="新細明體"/>
        <family val="1"/>
        <charset val="136"/>
      </rPr>
      <t>盜匪罪
強盜、搶奪</t>
    </r>
    <phoneticPr fontId="44" type="noConversion"/>
  </si>
  <si>
    <r>
      <rPr>
        <sz val="12"/>
        <color indexed="55"/>
        <rFont val="新細明體"/>
        <family val="1"/>
        <charset val="136"/>
      </rPr>
      <t>懲治走私條例</t>
    </r>
    <phoneticPr fontId="44" type="noConversion"/>
  </si>
  <si>
    <r>
      <rPr>
        <sz val="12"/>
        <color indexed="55"/>
        <rFont val="新細明體"/>
        <family val="1"/>
        <charset val="136"/>
      </rPr>
      <t>貪污治罪條例</t>
    </r>
    <phoneticPr fontId="44" type="noConversion"/>
  </si>
  <si>
    <r>
      <rPr>
        <sz val="12"/>
        <color indexed="55"/>
        <rFont val="新細明體"/>
        <family val="1"/>
        <charset val="136"/>
      </rPr>
      <t>防制條例
毒品危害</t>
    </r>
    <phoneticPr fontId="44" type="noConversion"/>
  </si>
  <si>
    <r>
      <rPr>
        <sz val="12"/>
        <color indexed="55"/>
        <rFont val="新細明體"/>
        <family val="1"/>
        <charset val="136"/>
      </rPr>
      <t>刀械管制條例
槍砲彈藥</t>
    </r>
    <phoneticPr fontId="44" type="noConversion"/>
  </si>
  <si>
    <r>
      <rPr>
        <sz val="12"/>
        <color indexed="55"/>
        <rFont val="新細明體"/>
        <family val="1"/>
        <charset val="136"/>
      </rPr>
      <t>其他</t>
    </r>
    <phoneticPr fontId="44" type="noConversion"/>
  </si>
  <si>
    <r>
      <rPr>
        <sz val="12"/>
        <color indexed="55"/>
        <rFont val="新細明體"/>
        <family val="1"/>
        <charset val="136"/>
      </rPr>
      <t>年</t>
    </r>
    <phoneticPr fontId="44" type="noConversion"/>
  </si>
  <si>
    <r>
      <rPr>
        <sz val="12"/>
        <color indexed="55"/>
        <rFont val="新細明體"/>
        <family val="1"/>
        <charset val="136"/>
      </rPr>
      <t>人</t>
    </r>
  </si>
  <si>
    <r>
      <rPr>
        <sz val="12"/>
        <color indexed="55"/>
        <rFont val="新細明體"/>
        <family val="1"/>
        <charset val="136"/>
      </rPr>
      <t>害</t>
    </r>
  </si>
  <si>
    <r>
      <rPr>
        <sz val="12"/>
        <color indexed="55"/>
        <rFont val="新細明體"/>
        <family val="1"/>
        <charset val="136"/>
      </rPr>
      <t>盜</t>
    </r>
  </si>
  <si>
    <r>
      <rPr>
        <sz val="12"/>
        <color indexed="55"/>
        <rFont val="新細明體"/>
        <family val="1"/>
        <charset val="136"/>
      </rPr>
      <t>治　條</t>
    </r>
  </si>
  <si>
    <r>
      <rPr>
        <sz val="12"/>
        <color indexed="55"/>
        <rFont val="新細明體"/>
        <family val="1"/>
        <charset val="136"/>
      </rPr>
      <t>別</t>
    </r>
    <phoneticPr fontId="44" type="noConversion"/>
  </si>
  <si>
    <r>
      <rPr>
        <sz val="12"/>
        <color indexed="55"/>
        <rFont val="新細明體"/>
        <family val="1"/>
        <charset val="136"/>
      </rPr>
      <t>罪</t>
    </r>
  </si>
  <si>
    <r>
      <rPr>
        <sz val="12"/>
        <color indexed="55"/>
        <rFont val="新細明體"/>
        <family val="1"/>
        <charset val="136"/>
      </rPr>
      <t>走　例</t>
    </r>
  </si>
  <si>
    <r>
      <rPr>
        <sz val="12"/>
        <color indexed="55"/>
        <rFont val="新細明體"/>
        <family val="1"/>
        <charset val="136"/>
      </rPr>
      <t>他</t>
    </r>
    <phoneticPr fontId="44" type="noConversion"/>
  </si>
  <si>
    <t>82</t>
    <phoneticPr fontId="44" type="noConversion"/>
  </si>
  <si>
    <t>83</t>
    <phoneticPr fontId="44" type="noConversion"/>
  </si>
  <si>
    <t>84</t>
    <phoneticPr fontId="44" type="noConversion"/>
  </si>
  <si>
    <t>85</t>
    <phoneticPr fontId="44" type="noConversion"/>
  </si>
  <si>
    <t>86</t>
    <phoneticPr fontId="44" type="noConversion"/>
  </si>
  <si>
    <t>87</t>
    <phoneticPr fontId="44" type="noConversion"/>
  </si>
  <si>
    <r>
      <t>88</t>
    </r>
    <r>
      <rPr>
        <sz val="12"/>
        <color indexed="55"/>
        <rFont val="新細明體"/>
        <family val="1"/>
        <charset val="136"/>
      </rPr>
      <t>年</t>
    </r>
    <phoneticPr fontId="44" type="noConversion"/>
  </si>
  <si>
    <r>
      <t>89</t>
    </r>
    <r>
      <rPr>
        <sz val="12"/>
        <color indexed="55"/>
        <rFont val="新細明體"/>
        <family val="1"/>
        <charset val="136"/>
      </rPr>
      <t>年</t>
    </r>
    <phoneticPr fontId="44" type="noConversion"/>
  </si>
  <si>
    <r>
      <t>90</t>
    </r>
    <r>
      <rPr>
        <sz val="12"/>
        <color indexed="55"/>
        <rFont val="新細明體"/>
        <family val="1"/>
        <charset val="136"/>
      </rPr>
      <t>年</t>
    </r>
    <phoneticPr fontId="44" type="noConversion"/>
  </si>
  <si>
    <r>
      <t>91</t>
    </r>
    <r>
      <rPr>
        <sz val="12"/>
        <color indexed="55"/>
        <rFont val="新細明體"/>
        <family val="1"/>
        <charset val="136"/>
      </rPr>
      <t>年</t>
    </r>
    <phoneticPr fontId="44" type="noConversion"/>
  </si>
  <si>
    <r>
      <t>92</t>
    </r>
    <r>
      <rPr>
        <sz val="12"/>
        <color indexed="55"/>
        <rFont val="新細明體"/>
        <family val="1"/>
        <charset val="136"/>
      </rPr>
      <t>年</t>
    </r>
    <phoneticPr fontId="44" type="noConversion"/>
  </si>
  <si>
    <r>
      <t>93</t>
    </r>
    <r>
      <rPr>
        <sz val="12"/>
        <color indexed="55"/>
        <rFont val="新細明體"/>
        <family val="1"/>
        <charset val="136"/>
      </rPr>
      <t>年</t>
    </r>
    <phoneticPr fontId="44" type="noConversion"/>
  </si>
  <si>
    <r>
      <t>94</t>
    </r>
    <r>
      <rPr>
        <sz val="12"/>
        <color indexed="55"/>
        <rFont val="新細明體"/>
        <family val="1"/>
        <charset val="136"/>
      </rPr>
      <t>年</t>
    </r>
    <r>
      <rPr>
        <sz val="12"/>
        <rFont val="新細明體"/>
        <family val="1"/>
        <charset val="136"/>
      </rPr>
      <t/>
    </r>
  </si>
  <si>
    <r>
      <t>95</t>
    </r>
    <r>
      <rPr>
        <sz val="12"/>
        <color indexed="55"/>
        <rFont val="新細明體"/>
        <family val="1"/>
        <charset val="136"/>
      </rPr>
      <t>年</t>
    </r>
    <r>
      <rPr>
        <sz val="12"/>
        <rFont val="新細明體"/>
        <family val="1"/>
        <charset val="136"/>
      </rPr>
      <t/>
    </r>
    <phoneticPr fontId="44" type="noConversion"/>
  </si>
  <si>
    <r>
      <t>96</t>
    </r>
    <r>
      <rPr>
        <sz val="12"/>
        <color indexed="55"/>
        <rFont val="新細明體"/>
        <family val="1"/>
        <charset val="136"/>
      </rPr>
      <t>年</t>
    </r>
    <r>
      <rPr>
        <sz val="12"/>
        <rFont val="新細明體"/>
        <family val="1"/>
        <charset val="136"/>
      </rPr>
      <t/>
    </r>
    <phoneticPr fontId="44" type="noConversion"/>
  </si>
  <si>
    <r>
      <t>97</t>
    </r>
    <r>
      <rPr>
        <sz val="12"/>
        <color indexed="55"/>
        <rFont val="新細明體"/>
        <family val="1"/>
        <charset val="136"/>
      </rPr>
      <t>年</t>
    </r>
  </si>
  <si>
    <r>
      <t>98</t>
    </r>
    <r>
      <rPr>
        <sz val="12"/>
        <color indexed="55"/>
        <rFont val="新細明體"/>
        <family val="1"/>
        <charset val="136"/>
      </rPr>
      <t>年</t>
    </r>
    <r>
      <rPr>
        <sz val="12"/>
        <rFont val="新細明體"/>
        <family val="1"/>
        <charset val="136"/>
      </rPr>
      <t/>
    </r>
    <phoneticPr fontId="44" type="noConversion"/>
  </si>
  <si>
    <r>
      <rPr>
        <sz val="15"/>
        <rFont val="新細明體"/>
        <family val="1"/>
        <charset val="136"/>
      </rPr>
      <t>表</t>
    </r>
    <r>
      <rPr>
        <sz val="15"/>
        <rFont val="Times New Roman"/>
        <family val="1"/>
      </rPr>
      <t xml:space="preserve">2-1-22   </t>
    </r>
    <r>
      <rPr>
        <sz val="15"/>
        <rFont val="新細明體"/>
        <family val="1"/>
        <charset val="136"/>
      </rPr>
      <t>近</t>
    </r>
    <r>
      <rPr>
        <sz val="15"/>
        <rFont val="Times New Roman"/>
        <family val="1"/>
      </rPr>
      <t>3</t>
    </r>
    <r>
      <rPr>
        <sz val="15"/>
        <rFont val="新細明體"/>
        <family val="1"/>
        <charset val="136"/>
      </rPr>
      <t>年地方檢察署偵查終結重大刑事案件經過時間</t>
    </r>
    <phoneticPr fontId="44" type="noConversion"/>
  </si>
  <si>
    <t>%</t>
    <phoneticPr fontId="44" type="noConversion"/>
  </si>
  <si>
    <r>
      <rPr>
        <sz val="12"/>
        <rFont val="新細明體"/>
        <family val="1"/>
        <charset val="136"/>
      </rPr>
      <t>一月未滿</t>
    </r>
    <phoneticPr fontId="44" type="noConversion"/>
  </si>
  <si>
    <r>
      <rPr>
        <sz val="12"/>
        <rFont val="新細明體"/>
        <family val="1"/>
        <charset val="136"/>
      </rPr>
      <t>一月以上二月未滿</t>
    </r>
  </si>
  <si>
    <r>
      <rPr>
        <sz val="12"/>
        <rFont val="新細明體"/>
        <family val="1"/>
        <charset val="136"/>
      </rPr>
      <t>二月以上三月未滿</t>
    </r>
  </si>
  <si>
    <r>
      <rPr>
        <sz val="12"/>
        <rFont val="新細明體"/>
        <family val="1"/>
        <charset val="136"/>
      </rPr>
      <t>三月以上四月未滿</t>
    </r>
  </si>
  <si>
    <r>
      <rPr>
        <sz val="12"/>
        <rFont val="新細明體"/>
        <family val="1"/>
        <charset val="136"/>
      </rPr>
      <t>四月以上八月未滿</t>
    </r>
    <phoneticPr fontId="44" type="noConversion"/>
  </si>
  <si>
    <r>
      <rPr>
        <sz val="12"/>
        <rFont val="新細明體"/>
        <family val="1"/>
        <charset val="136"/>
      </rPr>
      <t>八月以上一年未滿</t>
    </r>
    <phoneticPr fontId="44" type="noConversion"/>
  </si>
  <si>
    <r>
      <rPr>
        <sz val="12"/>
        <rFont val="新細明體"/>
        <family val="1"/>
        <charset val="136"/>
      </rPr>
      <t>一</t>
    </r>
    <r>
      <rPr>
        <sz val="12"/>
        <rFont val="Times New Roman"/>
        <family val="1"/>
      </rPr>
      <t xml:space="preserve">  </t>
    </r>
    <r>
      <rPr>
        <sz val="12"/>
        <rFont val="新細明體"/>
        <family val="1"/>
        <charset val="136"/>
      </rPr>
      <t>年</t>
    </r>
    <r>
      <rPr>
        <sz val="12"/>
        <rFont val="Times New Roman"/>
        <family val="1"/>
      </rPr>
      <t xml:space="preserve">  </t>
    </r>
    <r>
      <rPr>
        <sz val="12"/>
        <rFont val="新細明體"/>
        <family val="1"/>
        <charset val="136"/>
      </rPr>
      <t>以</t>
    </r>
    <r>
      <rPr>
        <sz val="12"/>
        <rFont val="Times New Roman"/>
        <family val="1"/>
      </rPr>
      <t xml:space="preserve">  </t>
    </r>
    <r>
      <rPr>
        <sz val="12"/>
        <rFont val="新細明體"/>
        <family val="1"/>
        <charset val="136"/>
      </rPr>
      <t>上</t>
    </r>
  </si>
  <si>
    <r>
      <rPr>
        <sz val="12"/>
        <rFont val="新細明體"/>
        <family val="1"/>
        <charset val="136"/>
      </rPr>
      <t>平</t>
    </r>
    <r>
      <rPr>
        <sz val="12"/>
        <rFont val="Times New Roman"/>
        <family val="1"/>
      </rPr>
      <t xml:space="preserve">  </t>
    </r>
    <r>
      <rPr>
        <sz val="12"/>
        <rFont val="新細明體"/>
        <family val="1"/>
        <charset val="136"/>
      </rPr>
      <t>均</t>
    </r>
    <r>
      <rPr>
        <sz val="12"/>
        <rFont val="Times New Roman"/>
        <family val="1"/>
      </rPr>
      <t xml:space="preserve">  </t>
    </r>
    <r>
      <rPr>
        <sz val="12"/>
        <rFont val="新細明體"/>
        <family val="1"/>
        <charset val="136"/>
      </rPr>
      <t>日</t>
    </r>
    <r>
      <rPr>
        <sz val="12"/>
        <rFont val="Times New Roman"/>
        <family val="1"/>
      </rPr>
      <t xml:space="preserve">  </t>
    </r>
    <r>
      <rPr>
        <sz val="12"/>
        <rFont val="新細明體"/>
        <family val="1"/>
        <charset val="136"/>
      </rPr>
      <t>數</t>
    </r>
    <r>
      <rPr>
        <sz val="12"/>
        <rFont val="Times New Roman"/>
        <family val="1"/>
      </rPr>
      <t>(</t>
    </r>
    <r>
      <rPr>
        <sz val="12"/>
        <rFont val="新細明體"/>
        <family val="1"/>
        <charset val="136"/>
      </rPr>
      <t>日</t>
    </r>
    <r>
      <rPr>
        <sz val="12"/>
        <rFont val="Times New Roman"/>
        <family val="1"/>
      </rPr>
      <t>)</t>
    </r>
    <phoneticPr fontId="44" type="noConversion"/>
  </si>
  <si>
    <r>
      <rPr>
        <sz val="10"/>
        <rFont val="新細明體"/>
        <family val="1"/>
        <charset val="136"/>
      </rPr>
      <t>資料來源：</t>
    </r>
    <r>
      <rPr>
        <sz val="10"/>
        <rFont val="Times New Roman"/>
        <family val="1"/>
      </rPr>
      <t xml:space="preserve"> </t>
    </r>
    <r>
      <rPr>
        <sz val="10"/>
        <rFont val="新細明體"/>
        <family val="1"/>
        <charset val="136"/>
      </rPr>
      <t>法務部統計處</t>
    </r>
    <phoneticPr fontId="44" type="noConversion"/>
  </si>
  <si>
    <r>
      <rPr>
        <sz val="15"/>
        <rFont val="新細明體"/>
        <family val="1"/>
        <charset val="136"/>
      </rPr>
      <t>表</t>
    </r>
    <r>
      <rPr>
        <sz val="15"/>
        <rFont val="Times New Roman"/>
        <family val="1"/>
      </rPr>
      <t>2-1-23</t>
    </r>
    <r>
      <rPr>
        <sz val="15"/>
        <rFont val="新細明體"/>
        <family val="1"/>
        <charset val="136"/>
      </rPr>
      <t>　近</t>
    </r>
    <r>
      <rPr>
        <sz val="15"/>
        <rFont val="Times New Roman"/>
        <family val="1"/>
      </rPr>
      <t>3</t>
    </r>
    <r>
      <rPr>
        <sz val="15"/>
        <rFont val="新細明體"/>
        <family val="1"/>
        <charset val="136"/>
      </rPr>
      <t>年地方檢察署執行重大刑事案件裁判確定科刑罪名</t>
    </r>
    <phoneticPr fontId="44" type="noConversion"/>
  </si>
  <si>
    <r>
      <t>106</t>
    </r>
    <r>
      <rPr>
        <sz val="12"/>
        <rFont val="新細明體"/>
        <family val="1"/>
        <charset val="136"/>
      </rPr>
      <t>年</t>
    </r>
    <phoneticPr fontId="129" type="noConversion"/>
  </si>
  <si>
    <t>%</t>
    <phoneticPr fontId="44" type="noConversion"/>
  </si>
  <si>
    <r>
      <t xml:space="preserve"> </t>
    </r>
    <r>
      <rPr>
        <sz val="12"/>
        <rFont val="新細明體"/>
        <family val="1"/>
        <charset val="136"/>
      </rPr>
      <t>總</t>
    </r>
    <r>
      <rPr>
        <sz val="12"/>
        <rFont val="Times New Roman"/>
        <family val="1"/>
      </rPr>
      <t xml:space="preserve">                                 </t>
    </r>
    <r>
      <rPr>
        <sz val="12"/>
        <rFont val="新細明體"/>
        <family val="1"/>
        <charset val="136"/>
      </rPr>
      <t>計</t>
    </r>
    <phoneticPr fontId="129" type="noConversion"/>
  </si>
  <si>
    <r>
      <rPr>
        <sz val="12"/>
        <rFont val="新細明體"/>
        <family val="1"/>
        <charset val="136"/>
      </rPr>
      <t>第</t>
    </r>
    <r>
      <rPr>
        <sz val="12"/>
        <rFont val="Times New Roman"/>
        <family val="1"/>
      </rPr>
      <t xml:space="preserve"> 226 </t>
    </r>
    <r>
      <rPr>
        <sz val="12"/>
        <rFont val="新細明體"/>
        <family val="1"/>
        <charset val="136"/>
      </rPr>
      <t>條</t>
    </r>
    <r>
      <rPr>
        <sz val="12"/>
        <rFont val="Times New Roman"/>
        <family val="1"/>
      </rPr>
      <t xml:space="preserve"> </t>
    </r>
    <r>
      <rPr>
        <sz val="12"/>
        <rFont val="新細明體"/>
        <family val="1"/>
        <charset val="136"/>
      </rPr>
      <t>第</t>
    </r>
    <r>
      <rPr>
        <sz val="12"/>
        <rFont val="Times New Roman"/>
        <family val="1"/>
      </rPr>
      <t xml:space="preserve"> 1 </t>
    </r>
    <r>
      <rPr>
        <sz val="12"/>
        <rFont val="新細明體"/>
        <family val="1"/>
        <charset val="136"/>
      </rPr>
      <t>項</t>
    </r>
    <r>
      <rPr>
        <sz val="12"/>
        <rFont val="Times New Roman"/>
        <family val="1"/>
      </rPr>
      <t xml:space="preserve">  </t>
    </r>
    <phoneticPr fontId="44" type="noConversion"/>
  </si>
  <si>
    <r>
      <rPr>
        <sz val="12"/>
        <rFont val="新細明體"/>
        <family val="1"/>
        <charset val="136"/>
      </rPr>
      <t>第</t>
    </r>
    <r>
      <rPr>
        <sz val="12"/>
        <rFont val="Times New Roman"/>
        <family val="1"/>
      </rPr>
      <t xml:space="preserve"> 226 </t>
    </r>
    <r>
      <rPr>
        <sz val="12"/>
        <rFont val="新細明體"/>
        <family val="1"/>
        <charset val="136"/>
      </rPr>
      <t>條</t>
    </r>
    <r>
      <rPr>
        <sz val="12"/>
        <rFont val="Times New Roman"/>
        <family val="1"/>
      </rPr>
      <t xml:space="preserve"> </t>
    </r>
    <r>
      <rPr>
        <sz val="12"/>
        <rFont val="新細明體"/>
        <family val="1"/>
        <charset val="136"/>
      </rPr>
      <t>之</t>
    </r>
    <r>
      <rPr>
        <sz val="12"/>
        <rFont val="Times New Roman"/>
        <family val="1"/>
      </rPr>
      <t xml:space="preserve"> 1 </t>
    </r>
    <phoneticPr fontId="44" type="noConversion"/>
  </si>
  <si>
    <r>
      <rPr>
        <sz val="12"/>
        <rFont val="新細明體"/>
        <family val="1"/>
        <charset val="136"/>
      </rPr>
      <t>第</t>
    </r>
    <r>
      <rPr>
        <sz val="12"/>
        <rFont val="Times New Roman"/>
        <family val="1"/>
      </rPr>
      <t xml:space="preserve"> 271 </t>
    </r>
    <r>
      <rPr>
        <sz val="12"/>
        <rFont val="新細明體"/>
        <family val="1"/>
        <charset val="136"/>
      </rPr>
      <t>條</t>
    </r>
    <r>
      <rPr>
        <sz val="12"/>
        <rFont val="Times New Roman"/>
        <family val="1"/>
      </rPr>
      <t xml:space="preserve"> </t>
    </r>
    <r>
      <rPr>
        <sz val="12"/>
        <rFont val="新細明體"/>
        <family val="1"/>
        <charset val="136"/>
      </rPr>
      <t>第</t>
    </r>
    <r>
      <rPr>
        <sz val="12"/>
        <rFont val="Times New Roman"/>
        <family val="1"/>
      </rPr>
      <t xml:space="preserve"> 1 </t>
    </r>
    <r>
      <rPr>
        <sz val="12"/>
        <rFont val="新細明體"/>
        <family val="1"/>
        <charset val="136"/>
      </rPr>
      <t>項</t>
    </r>
    <r>
      <rPr>
        <sz val="12"/>
        <rFont val="Times New Roman"/>
        <family val="1"/>
      </rPr>
      <t xml:space="preserve">  </t>
    </r>
    <phoneticPr fontId="44" type="noConversion"/>
  </si>
  <si>
    <r>
      <rPr>
        <sz val="12"/>
        <rFont val="新細明體"/>
        <family val="1"/>
        <charset val="136"/>
      </rPr>
      <t>第</t>
    </r>
    <r>
      <rPr>
        <sz val="12"/>
        <rFont val="Times New Roman"/>
        <family val="1"/>
      </rPr>
      <t xml:space="preserve"> 272 </t>
    </r>
    <r>
      <rPr>
        <sz val="12"/>
        <rFont val="新細明體"/>
        <family val="1"/>
        <charset val="136"/>
      </rPr>
      <t>條</t>
    </r>
    <r>
      <rPr>
        <sz val="12"/>
        <rFont val="Times New Roman"/>
        <family val="1"/>
      </rPr>
      <t xml:space="preserve"> </t>
    </r>
    <r>
      <rPr>
        <sz val="12"/>
        <rFont val="新細明體"/>
        <family val="1"/>
        <charset val="136"/>
      </rPr>
      <t>第</t>
    </r>
    <r>
      <rPr>
        <sz val="12"/>
        <rFont val="Times New Roman"/>
        <family val="1"/>
      </rPr>
      <t xml:space="preserve"> 1 </t>
    </r>
    <r>
      <rPr>
        <sz val="12"/>
        <rFont val="新細明體"/>
        <family val="1"/>
        <charset val="136"/>
      </rPr>
      <t>項</t>
    </r>
    <r>
      <rPr>
        <sz val="12"/>
        <rFont val="Times New Roman"/>
        <family val="1"/>
      </rPr>
      <t xml:space="preserve">  </t>
    </r>
    <phoneticPr fontId="44" type="noConversion"/>
  </si>
  <si>
    <r>
      <t xml:space="preserve">   -  </t>
    </r>
    <r>
      <rPr>
        <sz val="12"/>
        <rFont val="新細明體"/>
        <family val="1"/>
        <charset val="136"/>
      </rPr>
      <t>第</t>
    </r>
    <r>
      <rPr>
        <sz val="12"/>
        <rFont val="Times New Roman"/>
        <family val="1"/>
      </rPr>
      <t xml:space="preserve"> 332 </t>
    </r>
    <r>
      <rPr>
        <sz val="12"/>
        <rFont val="新細明體"/>
        <family val="1"/>
        <charset val="136"/>
      </rPr>
      <t>條</t>
    </r>
    <phoneticPr fontId="44" type="noConversion"/>
  </si>
  <si>
    <r>
      <rPr>
        <sz val="12"/>
        <rFont val="新細明體"/>
        <family val="1"/>
        <charset val="136"/>
      </rPr>
      <t>第</t>
    </r>
    <r>
      <rPr>
        <sz val="12"/>
        <rFont val="Times New Roman"/>
        <family val="1"/>
      </rPr>
      <t xml:space="preserve"> 347 </t>
    </r>
    <r>
      <rPr>
        <sz val="12"/>
        <rFont val="新細明體"/>
        <family val="1"/>
        <charset val="136"/>
      </rPr>
      <t>條</t>
    </r>
    <r>
      <rPr>
        <sz val="12"/>
        <rFont val="Times New Roman"/>
        <family val="1"/>
      </rPr>
      <t xml:space="preserve"> </t>
    </r>
    <r>
      <rPr>
        <sz val="12"/>
        <rFont val="新細明體"/>
        <family val="1"/>
        <charset val="136"/>
      </rPr>
      <t>第</t>
    </r>
    <r>
      <rPr>
        <sz val="12"/>
        <rFont val="Times New Roman"/>
        <family val="1"/>
      </rPr>
      <t xml:space="preserve"> 1 </t>
    </r>
    <r>
      <rPr>
        <sz val="12"/>
        <rFont val="新細明體"/>
        <family val="1"/>
        <charset val="136"/>
      </rPr>
      <t>項</t>
    </r>
    <r>
      <rPr>
        <sz val="12"/>
        <rFont val="Times New Roman"/>
        <family val="1"/>
      </rPr>
      <t xml:space="preserve">  </t>
    </r>
    <phoneticPr fontId="44" type="noConversion"/>
  </si>
  <si>
    <r>
      <rPr>
        <sz val="12"/>
        <rFont val="新細明體"/>
        <family val="1"/>
        <charset val="136"/>
      </rPr>
      <t>第</t>
    </r>
    <r>
      <rPr>
        <sz val="12"/>
        <rFont val="Times New Roman"/>
        <family val="1"/>
      </rPr>
      <t xml:space="preserve"> 348 </t>
    </r>
    <r>
      <rPr>
        <sz val="12"/>
        <rFont val="新細明體"/>
        <family val="1"/>
        <charset val="136"/>
      </rPr>
      <t>條</t>
    </r>
    <r>
      <rPr>
        <sz val="12"/>
        <rFont val="Times New Roman"/>
        <family val="1"/>
      </rPr>
      <t xml:space="preserve"> </t>
    </r>
    <r>
      <rPr>
        <sz val="12"/>
        <rFont val="新細明體"/>
        <family val="1"/>
        <charset val="136"/>
      </rPr>
      <t>第</t>
    </r>
    <r>
      <rPr>
        <sz val="12"/>
        <rFont val="Times New Roman"/>
        <family val="1"/>
      </rPr>
      <t xml:space="preserve"> 1 </t>
    </r>
    <r>
      <rPr>
        <sz val="12"/>
        <rFont val="新細明體"/>
        <family val="1"/>
        <charset val="136"/>
      </rPr>
      <t>項</t>
    </r>
    <r>
      <rPr>
        <sz val="12"/>
        <rFont val="Times New Roman"/>
        <family val="1"/>
      </rPr>
      <t xml:space="preserve">  </t>
    </r>
    <phoneticPr fontId="44" type="noConversion"/>
  </si>
  <si>
    <r>
      <rPr>
        <sz val="12"/>
        <rFont val="新細明體"/>
        <family val="1"/>
        <charset val="136"/>
      </rPr>
      <t>第</t>
    </r>
    <r>
      <rPr>
        <sz val="12"/>
        <rFont val="Times New Roman"/>
        <family val="1"/>
      </rPr>
      <t xml:space="preserve"> 348 </t>
    </r>
    <r>
      <rPr>
        <sz val="12"/>
        <rFont val="新細明體"/>
        <family val="1"/>
        <charset val="136"/>
      </rPr>
      <t>條</t>
    </r>
    <r>
      <rPr>
        <sz val="12"/>
        <rFont val="Times New Roman"/>
        <family val="1"/>
      </rPr>
      <t xml:space="preserve"> </t>
    </r>
    <r>
      <rPr>
        <sz val="12"/>
        <rFont val="新細明體"/>
        <family val="1"/>
        <charset val="136"/>
      </rPr>
      <t>第</t>
    </r>
    <r>
      <rPr>
        <sz val="12"/>
        <rFont val="Times New Roman"/>
        <family val="1"/>
      </rPr>
      <t xml:space="preserve"> 2 </t>
    </r>
    <r>
      <rPr>
        <sz val="12"/>
        <rFont val="新細明體"/>
        <family val="1"/>
        <charset val="136"/>
      </rPr>
      <t>項</t>
    </r>
    <r>
      <rPr>
        <sz val="12"/>
        <rFont val="Times New Roman"/>
        <family val="1"/>
      </rPr>
      <t xml:space="preserve">  </t>
    </r>
    <phoneticPr fontId="44" type="noConversion"/>
  </si>
  <si>
    <r>
      <rPr>
        <sz val="12"/>
        <rFont val="新細明體"/>
        <family val="1"/>
        <charset val="136"/>
      </rPr>
      <t>第</t>
    </r>
    <r>
      <rPr>
        <sz val="12"/>
        <rFont val="Times New Roman"/>
        <family val="1"/>
      </rPr>
      <t xml:space="preserve"> 348 </t>
    </r>
    <r>
      <rPr>
        <sz val="12"/>
        <rFont val="新細明體"/>
        <family val="1"/>
        <charset val="136"/>
      </rPr>
      <t>條</t>
    </r>
    <r>
      <rPr>
        <sz val="12"/>
        <rFont val="Times New Roman"/>
        <family val="1"/>
      </rPr>
      <t xml:space="preserve"> </t>
    </r>
    <r>
      <rPr>
        <sz val="12"/>
        <rFont val="新細明體"/>
        <family val="1"/>
        <charset val="136"/>
      </rPr>
      <t>之</t>
    </r>
    <r>
      <rPr>
        <sz val="12"/>
        <rFont val="Times New Roman"/>
        <family val="1"/>
      </rPr>
      <t xml:space="preserve"> 1</t>
    </r>
    <phoneticPr fontId="44" type="noConversion"/>
  </si>
  <si>
    <r>
      <rPr>
        <sz val="12"/>
        <rFont val="新細明體"/>
        <family val="1"/>
        <charset val="136"/>
      </rPr>
      <t>第</t>
    </r>
    <r>
      <rPr>
        <sz val="12"/>
        <rFont val="Times New Roman"/>
        <family val="1"/>
      </rPr>
      <t xml:space="preserve"> 4 </t>
    </r>
    <r>
      <rPr>
        <sz val="12"/>
        <rFont val="新細明體"/>
        <family val="1"/>
        <charset val="136"/>
      </rPr>
      <t>條</t>
    </r>
    <r>
      <rPr>
        <sz val="12"/>
        <rFont val="Times New Roman"/>
        <family val="1"/>
      </rPr>
      <t xml:space="preserve"> </t>
    </r>
    <r>
      <rPr>
        <sz val="12"/>
        <rFont val="新細明體"/>
        <family val="1"/>
        <charset val="136"/>
      </rPr>
      <t>第</t>
    </r>
    <r>
      <rPr>
        <sz val="12"/>
        <rFont val="Times New Roman"/>
        <family val="1"/>
      </rPr>
      <t xml:space="preserve"> 1 </t>
    </r>
    <r>
      <rPr>
        <sz val="12"/>
        <rFont val="新細明體"/>
        <family val="1"/>
        <charset val="136"/>
      </rPr>
      <t>項</t>
    </r>
    <r>
      <rPr>
        <sz val="12"/>
        <rFont val="Times New Roman"/>
        <family val="1"/>
      </rPr>
      <t xml:space="preserve"> </t>
    </r>
    <phoneticPr fontId="44" type="noConversion"/>
  </si>
  <si>
    <r>
      <rPr>
        <sz val="12"/>
        <rFont val="新細明體"/>
        <family val="1"/>
        <charset val="136"/>
      </rPr>
      <t>第</t>
    </r>
    <r>
      <rPr>
        <sz val="12"/>
        <rFont val="Times New Roman"/>
        <family val="1"/>
      </rPr>
      <t xml:space="preserve"> 4 </t>
    </r>
    <r>
      <rPr>
        <sz val="12"/>
        <rFont val="新細明體"/>
        <family val="1"/>
        <charset val="136"/>
      </rPr>
      <t>條</t>
    </r>
    <r>
      <rPr>
        <sz val="12"/>
        <rFont val="Times New Roman"/>
        <family val="1"/>
      </rPr>
      <t xml:space="preserve"> </t>
    </r>
    <r>
      <rPr>
        <sz val="12"/>
        <rFont val="新細明體"/>
        <family val="1"/>
        <charset val="136"/>
      </rPr>
      <t>第</t>
    </r>
    <r>
      <rPr>
        <sz val="12"/>
        <rFont val="Times New Roman"/>
        <family val="1"/>
      </rPr>
      <t xml:space="preserve"> 2 </t>
    </r>
    <r>
      <rPr>
        <sz val="12"/>
        <rFont val="新細明體"/>
        <family val="1"/>
        <charset val="136"/>
      </rPr>
      <t>項</t>
    </r>
    <phoneticPr fontId="44" type="noConversion"/>
  </si>
  <si>
    <r>
      <rPr>
        <sz val="12"/>
        <rFont val="新細明體"/>
        <family val="1"/>
        <charset val="136"/>
      </rPr>
      <t>第</t>
    </r>
    <r>
      <rPr>
        <sz val="12"/>
        <rFont val="Times New Roman"/>
        <family val="1"/>
      </rPr>
      <t xml:space="preserve"> 5 </t>
    </r>
    <r>
      <rPr>
        <sz val="12"/>
        <rFont val="新細明體"/>
        <family val="1"/>
        <charset val="136"/>
      </rPr>
      <t>條</t>
    </r>
    <r>
      <rPr>
        <sz val="12"/>
        <rFont val="Times New Roman"/>
        <family val="1"/>
      </rPr>
      <t xml:space="preserve"> </t>
    </r>
    <r>
      <rPr>
        <sz val="12"/>
        <rFont val="新細明體"/>
        <family val="1"/>
        <charset val="136"/>
      </rPr>
      <t>第</t>
    </r>
    <r>
      <rPr>
        <sz val="12"/>
        <rFont val="Times New Roman"/>
        <family val="1"/>
      </rPr>
      <t xml:space="preserve"> 1 </t>
    </r>
    <r>
      <rPr>
        <sz val="12"/>
        <rFont val="新細明體"/>
        <family val="1"/>
        <charset val="136"/>
      </rPr>
      <t>項</t>
    </r>
    <r>
      <rPr>
        <sz val="12"/>
        <rFont val="Times New Roman"/>
        <family val="1"/>
      </rPr>
      <t xml:space="preserve"> </t>
    </r>
    <phoneticPr fontId="44" type="noConversion"/>
  </si>
  <si>
    <r>
      <rPr>
        <sz val="12"/>
        <rFont val="新細明體"/>
        <family val="1"/>
        <charset val="136"/>
      </rPr>
      <t>第</t>
    </r>
    <r>
      <rPr>
        <sz val="12"/>
        <rFont val="Times New Roman"/>
        <family val="1"/>
      </rPr>
      <t xml:space="preserve"> 6 </t>
    </r>
    <r>
      <rPr>
        <sz val="12"/>
        <rFont val="新細明體"/>
        <family val="1"/>
        <charset val="136"/>
      </rPr>
      <t>條</t>
    </r>
    <r>
      <rPr>
        <sz val="12"/>
        <rFont val="Times New Roman"/>
        <family val="1"/>
      </rPr>
      <t xml:space="preserve"> </t>
    </r>
    <r>
      <rPr>
        <sz val="12"/>
        <rFont val="新細明體"/>
        <family val="1"/>
        <charset val="136"/>
      </rPr>
      <t>第</t>
    </r>
    <r>
      <rPr>
        <sz val="12"/>
        <rFont val="Times New Roman"/>
        <family val="1"/>
      </rPr>
      <t xml:space="preserve"> 1 </t>
    </r>
    <r>
      <rPr>
        <sz val="12"/>
        <rFont val="新細明體"/>
        <family val="1"/>
        <charset val="136"/>
      </rPr>
      <t>項</t>
    </r>
    <r>
      <rPr>
        <sz val="12"/>
        <rFont val="Times New Roman"/>
        <family val="1"/>
      </rPr>
      <t xml:space="preserve"> </t>
    </r>
    <phoneticPr fontId="44" type="noConversion"/>
  </si>
  <si>
    <r>
      <rPr>
        <sz val="12"/>
        <rFont val="新細明體"/>
        <family val="1"/>
        <charset val="136"/>
      </rPr>
      <t>第</t>
    </r>
    <r>
      <rPr>
        <sz val="12"/>
        <rFont val="Times New Roman"/>
        <family val="1"/>
      </rPr>
      <t xml:space="preserve"> 6 </t>
    </r>
    <r>
      <rPr>
        <sz val="12"/>
        <rFont val="新細明體"/>
        <family val="1"/>
        <charset val="136"/>
      </rPr>
      <t>條</t>
    </r>
    <r>
      <rPr>
        <sz val="12"/>
        <rFont val="Times New Roman"/>
        <family val="1"/>
      </rPr>
      <t xml:space="preserve"> </t>
    </r>
    <r>
      <rPr>
        <sz val="12"/>
        <rFont val="新細明體"/>
        <family val="1"/>
        <charset val="136"/>
      </rPr>
      <t>第</t>
    </r>
    <r>
      <rPr>
        <sz val="12"/>
        <rFont val="Times New Roman"/>
        <family val="1"/>
      </rPr>
      <t xml:space="preserve"> 2 </t>
    </r>
    <r>
      <rPr>
        <sz val="12"/>
        <rFont val="新細明體"/>
        <family val="1"/>
        <charset val="136"/>
      </rPr>
      <t>項</t>
    </r>
    <r>
      <rPr>
        <sz val="12"/>
        <rFont val="Times New Roman"/>
        <family val="1"/>
      </rPr>
      <t xml:space="preserve"> </t>
    </r>
    <phoneticPr fontId="44" type="noConversion"/>
  </si>
  <si>
    <r>
      <rPr>
        <sz val="12"/>
        <rFont val="新細明體"/>
        <family val="1"/>
        <charset val="136"/>
      </rPr>
      <t>第</t>
    </r>
    <r>
      <rPr>
        <sz val="12"/>
        <rFont val="Times New Roman"/>
        <family val="1"/>
      </rPr>
      <t xml:space="preserve"> 7 </t>
    </r>
    <r>
      <rPr>
        <sz val="12"/>
        <rFont val="新細明體"/>
        <family val="1"/>
        <charset val="136"/>
      </rPr>
      <t>條</t>
    </r>
    <r>
      <rPr>
        <sz val="12"/>
        <rFont val="Times New Roman"/>
        <family val="1"/>
      </rPr>
      <t xml:space="preserve"> </t>
    </r>
    <r>
      <rPr>
        <sz val="12"/>
        <rFont val="新細明體"/>
        <family val="1"/>
        <charset val="136"/>
      </rPr>
      <t>第</t>
    </r>
    <r>
      <rPr>
        <sz val="12"/>
        <rFont val="Times New Roman"/>
        <family val="1"/>
      </rPr>
      <t xml:space="preserve"> 1 </t>
    </r>
    <r>
      <rPr>
        <sz val="12"/>
        <rFont val="新細明體"/>
        <family val="1"/>
        <charset val="136"/>
      </rPr>
      <t>項</t>
    </r>
    <phoneticPr fontId="44" type="noConversion"/>
  </si>
  <si>
    <r>
      <rPr>
        <sz val="12"/>
        <rFont val="新細明體"/>
        <family val="1"/>
        <charset val="136"/>
      </rPr>
      <t>第</t>
    </r>
    <r>
      <rPr>
        <sz val="12"/>
        <rFont val="Times New Roman"/>
        <family val="1"/>
      </rPr>
      <t xml:space="preserve"> 7 </t>
    </r>
    <r>
      <rPr>
        <sz val="12"/>
        <rFont val="新細明體"/>
        <family val="1"/>
        <charset val="136"/>
      </rPr>
      <t>條</t>
    </r>
    <r>
      <rPr>
        <sz val="12"/>
        <rFont val="Times New Roman"/>
        <family val="1"/>
      </rPr>
      <t xml:space="preserve"> </t>
    </r>
    <r>
      <rPr>
        <sz val="12"/>
        <rFont val="新細明體"/>
        <family val="1"/>
        <charset val="136"/>
      </rPr>
      <t>第</t>
    </r>
    <r>
      <rPr>
        <sz val="12"/>
        <rFont val="Times New Roman"/>
        <family val="1"/>
      </rPr>
      <t xml:space="preserve"> 3 </t>
    </r>
    <r>
      <rPr>
        <sz val="12"/>
        <rFont val="新細明體"/>
        <family val="1"/>
        <charset val="136"/>
      </rPr>
      <t>項</t>
    </r>
    <phoneticPr fontId="44" type="noConversion"/>
  </si>
  <si>
    <r>
      <rPr>
        <sz val="12"/>
        <rFont val="新細明體"/>
        <family val="1"/>
        <charset val="136"/>
      </rPr>
      <t>第</t>
    </r>
    <r>
      <rPr>
        <sz val="12"/>
        <rFont val="Times New Roman"/>
        <family val="1"/>
      </rPr>
      <t xml:space="preserve"> 33 </t>
    </r>
    <r>
      <rPr>
        <sz val="12"/>
        <rFont val="新細明體"/>
        <family val="1"/>
        <charset val="136"/>
      </rPr>
      <t>條</t>
    </r>
    <r>
      <rPr>
        <sz val="12"/>
        <rFont val="Times New Roman"/>
        <family val="1"/>
      </rPr>
      <t xml:space="preserve"> </t>
    </r>
    <r>
      <rPr>
        <sz val="12"/>
        <rFont val="新細明體"/>
        <family val="1"/>
        <charset val="136"/>
      </rPr>
      <t>第</t>
    </r>
    <r>
      <rPr>
        <sz val="12"/>
        <rFont val="Times New Roman"/>
        <family val="1"/>
      </rPr>
      <t xml:space="preserve"> 1 </t>
    </r>
    <r>
      <rPr>
        <sz val="12"/>
        <rFont val="新細明體"/>
        <family val="1"/>
        <charset val="136"/>
      </rPr>
      <t>項</t>
    </r>
    <phoneticPr fontId="44" type="noConversion"/>
  </si>
  <si>
    <r>
      <rPr>
        <sz val="12"/>
        <rFont val="新細明體"/>
        <family val="1"/>
        <charset val="136"/>
      </rPr>
      <t>第</t>
    </r>
    <r>
      <rPr>
        <sz val="12"/>
        <rFont val="Times New Roman"/>
        <family val="1"/>
      </rPr>
      <t xml:space="preserve"> 33 </t>
    </r>
    <r>
      <rPr>
        <sz val="12"/>
        <rFont val="新細明體"/>
        <family val="1"/>
        <charset val="136"/>
      </rPr>
      <t>條</t>
    </r>
    <r>
      <rPr>
        <sz val="12"/>
        <rFont val="Times New Roman"/>
        <family val="1"/>
      </rPr>
      <t xml:space="preserve"> </t>
    </r>
    <r>
      <rPr>
        <sz val="12"/>
        <rFont val="新細明體"/>
        <family val="1"/>
        <charset val="136"/>
      </rPr>
      <t>第</t>
    </r>
    <r>
      <rPr>
        <sz val="12"/>
        <rFont val="Times New Roman"/>
        <family val="1"/>
      </rPr>
      <t xml:space="preserve"> 2 </t>
    </r>
    <r>
      <rPr>
        <sz val="12"/>
        <rFont val="新細明體"/>
        <family val="1"/>
        <charset val="136"/>
      </rPr>
      <t>項</t>
    </r>
    <phoneticPr fontId="44" type="noConversion"/>
  </si>
  <si>
    <r>
      <rPr>
        <sz val="12"/>
        <rFont val="新細明體"/>
        <family val="1"/>
        <charset val="136"/>
      </rPr>
      <t>第</t>
    </r>
    <r>
      <rPr>
        <sz val="12"/>
        <rFont val="Times New Roman"/>
        <family val="1"/>
      </rPr>
      <t xml:space="preserve"> 34 </t>
    </r>
    <r>
      <rPr>
        <sz val="12"/>
        <rFont val="新細明體"/>
        <family val="1"/>
        <charset val="136"/>
      </rPr>
      <t>條</t>
    </r>
    <r>
      <rPr>
        <sz val="12"/>
        <rFont val="Times New Roman"/>
        <family val="1"/>
      </rPr>
      <t xml:space="preserve"> </t>
    </r>
    <r>
      <rPr>
        <sz val="12"/>
        <rFont val="新細明體"/>
        <family val="1"/>
        <charset val="136"/>
      </rPr>
      <t>第</t>
    </r>
    <r>
      <rPr>
        <sz val="12"/>
        <rFont val="Times New Roman"/>
        <family val="1"/>
      </rPr>
      <t xml:space="preserve"> 2 </t>
    </r>
    <r>
      <rPr>
        <sz val="12"/>
        <rFont val="新細明體"/>
        <family val="1"/>
        <charset val="136"/>
      </rPr>
      <t>項</t>
    </r>
    <phoneticPr fontId="44" type="noConversion"/>
  </si>
  <si>
    <r>
      <t xml:space="preserve"> </t>
    </r>
    <r>
      <rPr>
        <sz val="12"/>
        <rFont val="新細明體"/>
        <family val="1"/>
        <charset val="136"/>
      </rPr>
      <t>其</t>
    </r>
    <r>
      <rPr>
        <sz val="12"/>
        <rFont val="Times New Roman"/>
        <family val="1"/>
      </rPr>
      <t xml:space="preserve">   </t>
    </r>
    <r>
      <rPr>
        <sz val="12"/>
        <rFont val="新細明體"/>
        <family val="1"/>
        <charset val="136"/>
      </rPr>
      <t>他</t>
    </r>
    <r>
      <rPr>
        <sz val="12"/>
        <rFont val="Times New Roman"/>
        <family val="1"/>
      </rPr>
      <t xml:space="preserve">   </t>
    </r>
    <r>
      <rPr>
        <sz val="12"/>
        <rFont val="新細明體"/>
        <family val="1"/>
        <charset val="136"/>
      </rPr>
      <t>重</t>
    </r>
    <r>
      <rPr>
        <sz val="12"/>
        <rFont val="Times New Roman"/>
        <family val="1"/>
      </rPr>
      <t xml:space="preserve">   </t>
    </r>
    <r>
      <rPr>
        <sz val="12"/>
        <rFont val="新細明體"/>
        <family val="1"/>
        <charset val="136"/>
      </rPr>
      <t>大</t>
    </r>
    <r>
      <rPr>
        <sz val="12"/>
        <rFont val="Times New Roman"/>
        <family val="1"/>
      </rPr>
      <t xml:space="preserve">   </t>
    </r>
    <r>
      <rPr>
        <sz val="12"/>
        <rFont val="新細明體"/>
        <family val="1"/>
        <charset val="136"/>
      </rPr>
      <t>刑</t>
    </r>
    <r>
      <rPr>
        <sz val="12"/>
        <rFont val="Times New Roman"/>
        <family val="1"/>
      </rPr>
      <t xml:space="preserve">   </t>
    </r>
    <r>
      <rPr>
        <sz val="12"/>
        <rFont val="新細明體"/>
        <family val="1"/>
        <charset val="136"/>
      </rPr>
      <t>事</t>
    </r>
    <r>
      <rPr>
        <sz val="12"/>
        <rFont val="Times New Roman"/>
        <family val="1"/>
      </rPr>
      <t xml:space="preserve">   </t>
    </r>
    <r>
      <rPr>
        <sz val="12"/>
        <rFont val="新細明體"/>
        <family val="1"/>
        <charset val="136"/>
      </rPr>
      <t>案</t>
    </r>
    <r>
      <rPr>
        <sz val="12"/>
        <rFont val="Times New Roman"/>
        <family val="1"/>
      </rPr>
      <t xml:space="preserve">   </t>
    </r>
    <r>
      <rPr>
        <sz val="12"/>
        <rFont val="新細明體"/>
        <family val="1"/>
        <charset val="136"/>
      </rPr>
      <t>件</t>
    </r>
    <phoneticPr fontId="44" type="noConversion"/>
  </si>
  <si>
    <r>
      <rPr>
        <sz val="10"/>
        <rFont val="新細明體"/>
        <family val="1"/>
        <charset val="136"/>
      </rPr>
      <t>說　　明：</t>
    </r>
    <r>
      <rPr>
        <sz val="10"/>
        <rFont val="Times New Roman"/>
        <family val="1"/>
      </rPr>
      <t xml:space="preserve">1. </t>
    </r>
    <r>
      <rPr>
        <sz val="10"/>
        <rFont val="新細明體"/>
        <family val="1"/>
        <charset val="136"/>
      </rPr>
      <t>其他重大刑事案件指其他嚴重侵害國家社會法益或於社會治安、經濟秩序有重大危害之刑事案件。</t>
    </r>
    <phoneticPr fontId="44" type="noConversion"/>
  </si>
  <si>
    <r>
      <rPr>
        <sz val="10"/>
        <rFont val="新細明體"/>
        <family val="1"/>
        <charset val="136"/>
      </rPr>
      <t>　　　　　</t>
    </r>
    <r>
      <rPr>
        <sz val="10"/>
        <rFont val="Times New Roman"/>
        <family val="1"/>
      </rPr>
      <t xml:space="preserve">2. </t>
    </r>
    <r>
      <rPr>
        <sz val="10"/>
        <rFont val="新細明體"/>
        <family val="1"/>
        <charset val="136"/>
      </rPr>
      <t>兒童及少年性交易防制條例自</t>
    </r>
    <r>
      <rPr>
        <sz val="10"/>
        <rFont val="Times New Roman"/>
        <family val="1"/>
      </rPr>
      <t>106</t>
    </r>
    <r>
      <rPr>
        <sz val="10"/>
        <rFont val="新細明體"/>
        <family val="1"/>
        <charset val="136"/>
      </rPr>
      <t>年</t>
    </r>
    <r>
      <rPr>
        <sz val="10"/>
        <rFont val="Times New Roman"/>
        <family val="1"/>
      </rPr>
      <t>1</t>
    </r>
    <r>
      <rPr>
        <sz val="10"/>
        <rFont val="新細明體"/>
        <family val="1"/>
        <charset val="136"/>
      </rPr>
      <t>月</t>
    </r>
    <r>
      <rPr>
        <sz val="10"/>
        <rFont val="Times New Roman"/>
        <family val="1"/>
      </rPr>
      <t>1</t>
    </r>
    <r>
      <rPr>
        <sz val="10"/>
        <rFont val="新細明體"/>
        <family val="1"/>
        <charset val="136"/>
      </rPr>
      <t>日起名稱修正為兒童及少年性剝削防制條例。</t>
    </r>
    <phoneticPr fontId="44" type="noConversion"/>
  </si>
  <si>
    <r>
      <rPr>
        <sz val="15"/>
        <rFont val="新細明體"/>
        <family val="1"/>
        <charset val="136"/>
      </rPr>
      <t>表</t>
    </r>
    <r>
      <rPr>
        <sz val="15"/>
        <rFont val="Times New Roman"/>
        <family val="1"/>
      </rPr>
      <t xml:space="preserve">2-1-24 </t>
    </r>
    <r>
      <rPr>
        <sz val="15"/>
        <rFont val="新細明體"/>
        <family val="1"/>
        <charset val="136"/>
      </rPr>
      <t>　近</t>
    </r>
    <r>
      <rPr>
        <sz val="15"/>
        <rFont val="Times New Roman"/>
        <family val="1"/>
      </rPr>
      <t>5</t>
    </r>
    <r>
      <rPr>
        <sz val="15"/>
        <rFont val="新細明體"/>
        <family val="1"/>
        <charset val="136"/>
      </rPr>
      <t>年地方檢察署辦理偵查案件情形</t>
    </r>
    <phoneticPr fontId="44" type="noConversion"/>
  </si>
  <si>
    <r>
      <t>104</t>
    </r>
    <r>
      <rPr>
        <sz val="12"/>
        <rFont val="新細明體"/>
        <family val="1"/>
        <charset val="136"/>
      </rPr>
      <t>年</t>
    </r>
    <phoneticPr fontId="44" type="noConversion"/>
  </si>
  <si>
    <r>
      <rPr>
        <sz val="11"/>
        <rFont val="新細明體"/>
        <family val="1"/>
        <charset val="136"/>
      </rPr>
      <t>平均每位檢察官每月新收檢察案件數</t>
    </r>
    <r>
      <rPr>
        <sz val="11"/>
        <rFont val="Times New Roman"/>
        <family val="1"/>
      </rPr>
      <t>(</t>
    </r>
    <r>
      <rPr>
        <sz val="11"/>
        <rFont val="新細明體"/>
        <family val="1"/>
        <charset val="136"/>
      </rPr>
      <t>件</t>
    </r>
    <r>
      <rPr>
        <sz val="11"/>
        <rFont val="Times New Roman"/>
        <family val="1"/>
      </rPr>
      <t>)</t>
    </r>
    <phoneticPr fontId="44" type="noConversion"/>
  </si>
  <si>
    <r>
      <rPr>
        <sz val="11"/>
        <rFont val="新細明體"/>
        <family val="1"/>
        <charset val="136"/>
      </rPr>
      <t>偵查終結案件平均每件所需日數</t>
    </r>
    <r>
      <rPr>
        <sz val="11"/>
        <rFont val="Times New Roman"/>
        <family val="1"/>
      </rPr>
      <t>(</t>
    </r>
    <r>
      <rPr>
        <sz val="11"/>
        <rFont val="新細明體"/>
        <family val="1"/>
        <charset val="136"/>
      </rPr>
      <t>日</t>
    </r>
    <r>
      <rPr>
        <sz val="11"/>
        <rFont val="Times New Roman"/>
        <family val="1"/>
      </rPr>
      <t>)</t>
    </r>
  </si>
  <si>
    <r>
      <rPr>
        <sz val="11"/>
        <rFont val="新細明體"/>
        <family val="1"/>
        <charset val="136"/>
      </rPr>
      <t>檢察官向法院聲請羈押人數</t>
    </r>
    <r>
      <rPr>
        <sz val="11"/>
        <rFont val="Times New Roman"/>
        <family val="1"/>
      </rPr>
      <t>(</t>
    </r>
    <r>
      <rPr>
        <sz val="11"/>
        <rFont val="新細明體"/>
        <family val="1"/>
        <charset val="136"/>
      </rPr>
      <t>人</t>
    </r>
    <r>
      <rPr>
        <sz val="11"/>
        <rFont val="Times New Roman"/>
        <family val="1"/>
      </rPr>
      <t>)</t>
    </r>
    <phoneticPr fontId="44" type="noConversion"/>
  </si>
  <si>
    <r>
      <rPr>
        <sz val="11"/>
        <rFont val="新細明體"/>
        <family val="1"/>
        <charset val="136"/>
      </rPr>
      <t>法院裁定准許羈押人數</t>
    </r>
    <r>
      <rPr>
        <sz val="12"/>
        <rFont val="Times New Roman"/>
        <family val="1"/>
      </rPr>
      <t>(</t>
    </r>
    <r>
      <rPr>
        <sz val="12"/>
        <rFont val="新細明體"/>
        <family val="1"/>
        <charset val="136"/>
      </rPr>
      <t>人</t>
    </r>
    <r>
      <rPr>
        <sz val="12"/>
        <rFont val="Times New Roman"/>
        <family val="1"/>
      </rPr>
      <t>)</t>
    </r>
    <phoneticPr fontId="44" type="noConversion"/>
  </si>
  <si>
    <r>
      <rPr>
        <sz val="11"/>
        <rFont val="新細明體"/>
        <family val="1"/>
        <charset val="136"/>
      </rPr>
      <t>法院許可羈押人數比率</t>
    </r>
    <r>
      <rPr>
        <sz val="11"/>
        <rFont val="Times New Roman"/>
        <family val="1"/>
      </rPr>
      <t>(%)</t>
    </r>
    <phoneticPr fontId="44" type="noConversion"/>
  </si>
  <si>
    <r>
      <rPr>
        <sz val="11"/>
        <rFont val="新細明體"/>
        <family val="1"/>
        <charset val="136"/>
      </rPr>
      <t>執行裁判確定案件定罪率</t>
    </r>
    <r>
      <rPr>
        <sz val="11"/>
        <rFont val="Times New Roman"/>
        <family val="1"/>
      </rPr>
      <t>(%)</t>
    </r>
    <phoneticPr fontId="44" type="noConversion"/>
  </si>
  <si>
    <r>
      <rPr>
        <sz val="10"/>
        <rFont val="新細明體"/>
        <family val="1"/>
        <charset val="136"/>
      </rPr>
      <t>資料提供：法務部統計處</t>
    </r>
    <phoneticPr fontId="44" type="noConversion"/>
  </si>
  <si>
    <r>
      <rPr>
        <sz val="10"/>
        <rFont val="新細明體"/>
        <family val="1"/>
        <charset val="136"/>
      </rPr>
      <t>說　　明：</t>
    </r>
    <r>
      <rPr>
        <sz val="10"/>
        <rFont val="Times New Roman"/>
        <family val="1"/>
      </rPr>
      <t>1.</t>
    </r>
    <r>
      <rPr>
        <sz val="10"/>
        <rFont val="新細明體"/>
        <family val="1"/>
        <charset val="136"/>
      </rPr>
      <t>法院許可羈押人數比率</t>
    </r>
    <r>
      <rPr>
        <sz val="10"/>
        <rFont val="Times New Roman"/>
        <family val="1"/>
      </rPr>
      <t>=(</t>
    </r>
    <r>
      <rPr>
        <sz val="10"/>
        <rFont val="新細明體"/>
        <family val="1"/>
        <charset val="136"/>
      </rPr>
      <t>法院裁定准許羈押人數</t>
    </r>
    <r>
      <rPr>
        <sz val="10"/>
        <rFont val="Times New Roman"/>
        <family val="1"/>
      </rPr>
      <t>/</t>
    </r>
    <r>
      <rPr>
        <sz val="10"/>
        <rFont val="新細明體"/>
        <family val="1"/>
        <charset val="136"/>
      </rPr>
      <t>檢察官向法院聲請羈押人數</t>
    </r>
    <r>
      <rPr>
        <sz val="10"/>
        <rFont val="Times New Roman"/>
        <family val="1"/>
      </rPr>
      <t>)×100</t>
    </r>
    <r>
      <rPr>
        <sz val="10"/>
        <rFont val="新細明體"/>
        <family val="1"/>
        <charset val="136"/>
      </rPr>
      <t>。</t>
    </r>
    <phoneticPr fontId="44" type="noConversion"/>
  </si>
  <si>
    <r>
      <rPr>
        <sz val="10"/>
        <rFont val="新細明體"/>
        <family val="1"/>
        <charset val="136"/>
      </rPr>
      <t>　　　　　</t>
    </r>
    <r>
      <rPr>
        <sz val="10"/>
        <rFont val="Times New Roman"/>
        <family val="1"/>
      </rPr>
      <t>2.</t>
    </r>
    <r>
      <rPr>
        <sz val="10"/>
        <rFont val="新細明體"/>
        <family val="1"/>
        <charset val="136"/>
      </rPr>
      <t>定罪率</t>
    </r>
    <r>
      <rPr>
        <sz val="10"/>
        <rFont val="Times New Roman"/>
        <family val="1"/>
      </rPr>
      <t>=</t>
    </r>
    <r>
      <rPr>
        <sz val="10"/>
        <rFont val="新細明體"/>
        <family val="1"/>
        <charset val="136"/>
      </rPr>
      <t>有罪人數</t>
    </r>
    <r>
      <rPr>
        <sz val="10"/>
        <rFont val="Times New Roman"/>
        <family val="1"/>
      </rPr>
      <t>/(</t>
    </r>
    <r>
      <rPr>
        <sz val="10"/>
        <rFont val="新細明體"/>
        <family val="1"/>
        <charset val="136"/>
      </rPr>
      <t>有罪人數</t>
    </r>
    <r>
      <rPr>
        <sz val="10"/>
        <rFont val="Times New Roman"/>
        <family val="1"/>
      </rPr>
      <t>+</t>
    </r>
    <r>
      <rPr>
        <sz val="10"/>
        <rFont val="新細明體"/>
        <family val="1"/>
        <charset val="136"/>
      </rPr>
      <t>無罪人數</t>
    </r>
    <r>
      <rPr>
        <sz val="10"/>
        <rFont val="Times New Roman"/>
        <family val="1"/>
      </rPr>
      <t>)×100</t>
    </r>
    <r>
      <rPr>
        <sz val="10"/>
        <rFont val="新細明體"/>
        <family val="1"/>
        <charset val="136"/>
      </rPr>
      <t>。</t>
    </r>
    <phoneticPr fontId="44" type="noConversion"/>
  </si>
  <si>
    <r>
      <rPr>
        <sz val="10"/>
        <rFont val="新細明體"/>
        <family val="1"/>
        <charset val="136"/>
      </rPr>
      <t>　</t>
    </r>
    <r>
      <rPr>
        <sz val="10"/>
        <rFont val="Times New Roman"/>
        <family val="1"/>
      </rPr>
      <t xml:space="preserve"> </t>
    </r>
    <r>
      <rPr>
        <sz val="10"/>
        <rFont val="新細明體"/>
        <family val="1"/>
        <charset val="136"/>
      </rPr>
      <t>　</t>
    </r>
    <r>
      <rPr>
        <sz val="10"/>
        <rFont val="Times New Roman"/>
        <family val="1"/>
      </rPr>
      <t xml:space="preserve">   </t>
    </r>
    <phoneticPr fontId="44" type="noConversion"/>
  </si>
  <si>
    <r>
      <rPr>
        <sz val="15"/>
        <rFont val="新細明體"/>
        <family val="1"/>
        <charset val="136"/>
      </rPr>
      <t>表</t>
    </r>
    <r>
      <rPr>
        <sz val="15"/>
        <rFont val="Times New Roman"/>
        <family val="1"/>
      </rPr>
      <t xml:space="preserve">2-2-1   </t>
    </r>
    <r>
      <rPr>
        <sz val="15"/>
        <rFont val="新細明體"/>
        <family val="1"/>
        <charset val="136"/>
      </rPr>
      <t>近</t>
    </r>
    <r>
      <rPr>
        <sz val="15"/>
        <rFont val="Times New Roman"/>
        <family val="1"/>
      </rPr>
      <t>10</t>
    </r>
    <r>
      <rPr>
        <sz val="15"/>
        <rFont val="新細明體"/>
        <family val="1"/>
        <charset val="136"/>
      </rPr>
      <t>年地方檢察署偵查案件起訴後裁判確定結果</t>
    </r>
    <phoneticPr fontId="44" type="noConversion"/>
  </si>
  <si>
    <r>
      <rPr>
        <sz val="12"/>
        <rFont val="新細明體"/>
        <family val="1"/>
        <charset val="136"/>
      </rPr>
      <t>總</t>
    </r>
    <r>
      <rPr>
        <sz val="12"/>
        <rFont val="Times New Roman"/>
        <family val="1"/>
      </rPr>
      <t xml:space="preserve">  </t>
    </r>
    <r>
      <rPr>
        <sz val="12"/>
        <rFont val="新細明體"/>
        <family val="1"/>
        <charset val="136"/>
      </rPr>
      <t>計</t>
    </r>
  </si>
  <si>
    <r>
      <rPr>
        <sz val="12"/>
        <rFont val="新細明體"/>
        <family val="1"/>
        <charset val="136"/>
      </rPr>
      <t>科</t>
    </r>
    <r>
      <rPr>
        <sz val="12"/>
        <rFont val="Times New Roman"/>
        <family val="1"/>
      </rPr>
      <t xml:space="preserve"> </t>
    </r>
    <r>
      <rPr>
        <sz val="12"/>
        <rFont val="新細明體"/>
        <family val="1"/>
        <charset val="136"/>
      </rPr>
      <t>刑</t>
    </r>
  </si>
  <si>
    <r>
      <rPr>
        <sz val="12"/>
        <rFont val="新細明體"/>
        <family val="1"/>
        <charset val="136"/>
      </rPr>
      <t>免</t>
    </r>
    <r>
      <rPr>
        <sz val="12"/>
        <rFont val="Times New Roman"/>
        <family val="1"/>
      </rPr>
      <t xml:space="preserve"> </t>
    </r>
    <r>
      <rPr>
        <sz val="12"/>
        <rFont val="新細明體"/>
        <family val="1"/>
        <charset val="136"/>
      </rPr>
      <t>刑</t>
    </r>
  </si>
  <si>
    <r>
      <rPr>
        <sz val="12"/>
        <rFont val="新細明體"/>
        <family val="1"/>
        <charset val="136"/>
      </rPr>
      <t>無</t>
    </r>
    <r>
      <rPr>
        <sz val="12"/>
        <rFont val="Times New Roman"/>
        <family val="1"/>
      </rPr>
      <t xml:space="preserve"> </t>
    </r>
    <r>
      <rPr>
        <sz val="12"/>
        <rFont val="新細明體"/>
        <family val="1"/>
        <charset val="136"/>
      </rPr>
      <t>罪</t>
    </r>
  </si>
  <si>
    <r>
      <rPr>
        <sz val="12"/>
        <rFont val="新細明體"/>
        <family val="1"/>
        <charset val="136"/>
      </rPr>
      <t>免</t>
    </r>
    <r>
      <rPr>
        <sz val="12"/>
        <rFont val="Times New Roman"/>
        <family val="1"/>
      </rPr>
      <t xml:space="preserve"> </t>
    </r>
    <r>
      <rPr>
        <sz val="12"/>
        <rFont val="新細明體"/>
        <family val="1"/>
        <charset val="136"/>
      </rPr>
      <t>訴</t>
    </r>
  </si>
  <si>
    <r>
      <rPr>
        <sz val="12"/>
        <rFont val="新細明體"/>
        <family val="1"/>
        <charset val="136"/>
      </rPr>
      <t>不受理</t>
    </r>
    <phoneticPr fontId="44" type="noConversion"/>
  </si>
  <si>
    <r>
      <rPr>
        <sz val="12"/>
        <rFont val="新細明體"/>
        <family val="1"/>
        <charset val="136"/>
      </rPr>
      <t>管轄錯誤</t>
    </r>
    <phoneticPr fontId="44" type="noConversion"/>
  </si>
  <si>
    <r>
      <rPr>
        <sz val="12"/>
        <rFont val="新細明體"/>
        <family val="1"/>
        <charset val="136"/>
      </rPr>
      <t>其</t>
    </r>
    <r>
      <rPr>
        <sz val="12"/>
        <rFont val="Times New Roman"/>
        <family val="1"/>
      </rPr>
      <t xml:space="preserve"> </t>
    </r>
    <r>
      <rPr>
        <sz val="12"/>
        <rFont val="新細明體"/>
        <family val="1"/>
        <charset val="136"/>
      </rPr>
      <t>他</t>
    </r>
  </si>
  <si>
    <r>
      <t>99</t>
    </r>
    <r>
      <rPr>
        <sz val="12"/>
        <rFont val="新細明體"/>
        <family val="1"/>
        <charset val="136"/>
      </rPr>
      <t>年</t>
    </r>
    <phoneticPr fontId="44" type="noConversion"/>
  </si>
  <si>
    <r>
      <rPr>
        <sz val="12"/>
        <rFont val="標楷體"/>
        <family val="4"/>
        <charset val="136"/>
      </rPr>
      <t>人</t>
    </r>
    <phoneticPr fontId="44" type="noConversion"/>
  </si>
  <si>
    <r>
      <rPr>
        <sz val="12"/>
        <rFont val="標楷體"/>
        <family val="4"/>
        <charset val="136"/>
      </rPr>
      <t>人</t>
    </r>
    <phoneticPr fontId="44" type="noConversion"/>
  </si>
  <si>
    <r>
      <t>101</t>
    </r>
    <r>
      <rPr>
        <sz val="12"/>
        <rFont val="新細明體"/>
        <family val="1"/>
        <charset val="136"/>
      </rPr>
      <t>年</t>
    </r>
    <phoneticPr fontId="44" type="noConversion"/>
  </si>
  <si>
    <r>
      <rPr>
        <sz val="12"/>
        <rFont val="標楷體"/>
        <family val="4"/>
        <charset val="136"/>
      </rPr>
      <t>人</t>
    </r>
    <phoneticPr fontId="44" type="noConversion"/>
  </si>
  <si>
    <r>
      <t>102</t>
    </r>
    <r>
      <rPr>
        <sz val="12"/>
        <rFont val="新細明體"/>
        <family val="1"/>
        <charset val="136"/>
      </rPr>
      <t>年</t>
    </r>
    <phoneticPr fontId="44" type="noConversion"/>
  </si>
  <si>
    <r>
      <t>103</t>
    </r>
    <r>
      <rPr>
        <sz val="12"/>
        <rFont val="新細明體"/>
        <family val="1"/>
        <charset val="136"/>
      </rPr>
      <t>年</t>
    </r>
    <phoneticPr fontId="44" type="noConversion"/>
  </si>
  <si>
    <r>
      <t>104</t>
    </r>
    <r>
      <rPr>
        <sz val="12"/>
        <rFont val="新細明體"/>
        <family val="1"/>
        <charset val="136"/>
      </rPr>
      <t>年</t>
    </r>
    <phoneticPr fontId="44" type="noConversion"/>
  </si>
  <si>
    <t>-</t>
    <phoneticPr fontId="115" type="noConversion"/>
  </si>
  <si>
    <r>
      <rPr>
        <sz val="12"/>
        <rFont val="標楷體"/>
        <family val="4"/>
        <charset val="136"/>
      </rPr>
      <t>人</t>
    </r>
    <phoneticPr fontId="44" type="noConversion"/>
  </si>
  <si>
    <r>
      <t>108</t>
    </r>
    <r>
      <rPr>
        <sz val="12"/>
        <rFont val="新細明體"/>
        <family val="1"/>
        <charset val="136"/>
      </rPr>
      <t>年</t>
    </r>
    <phoneticPr fontId="44" type="noConversion"/>
  </si>
  <si>
    <r>
      <rPr>
        <sz val="12"/>
        <rFont val="標楷體"/>
        <family val="4"/>
        <charset val="136"/>
      </rPr>
      <t>人</t>
    </r>
    <phoneticPr fontId="44" type="noConversion"/>
  </si>
  <si>
    <r>
      <rPr>
        <sz val="10"/>
        <rFont val="新細明體"/>
        <family val="1"/>
        <charset val="136"/>
      </rPr>
      <t>資料來源：法務部統計處</t>
    </r>
    <phoneticPr fontId="44" type="noConversion"/>
  </si>
  <si>
    <r>
      <rPr>
        <sz val="10"/>
        <rFont val="新細明體"/>
        <family val="1"/>
        <charset val="136"/>
      </rPr>
      <t>說　　明︰</t>
    </r>
    <r>
      <rPr>
        <sz val="10"/>
        <rFont val="Times New Roman"/>
        <family val="1"/>
      </rPr>
      <t>1.</t>
    </r>
    <r>
      <rPr>
        <sz val="10"/>
        <rFont val="新細明體"/>
        <family val="1"/>
        <charset val="136"/>
      </rPr>
      <t>本表不含自訴案件。
　　　　　</t>
    </r>
    <r>
      <rPr>
        <sz val="10"/>
        <rFont val="Times New Roman"/>
        <family val="1"/>
      </rPr>
      <t>2.</t>
    </r>
    <r>
      <rPr>
        <sz val="10"/>
        <rFont val="新細明體"/>
        <family val="1"/>
        <charset val="136"/>
      </rPr>
      <t>其他包括行為不罰、易以訓誡及撤回等。</t>
    </r>
    <phoneticPr fontId="44" type="noConversion"/>
  </si>
  <si>
    <r>
      <rPr>
        <sz val="15"/>
        <rFont val="新細明體"/>
        <family val="1"/>
        <charset val="136"/>
      </rPr>
      <t>表</t>
    </r>
    <r>
      <rPr>
        <sz val="15"/>
        <rFont val="Times New Roman"/>
        <family val="1"/>
      </rPr>
      <t xml:space="preserve">2-2-2  </t>
    </r>
    <r>
      <rPr>
        <sz val="15"/>
        <rFont val="新細明體"/>
        <family val="1"/>
        <charset val="136"/>
      </rPr>
      <t>近</t>
    </r>
    <r>
      <rPr>
        <sz val="15"/>
        <rFont val="Times New Roman"/>
        <family val="1"/>
      </rPr>
      <t>10</t>
    </r>
    <r>
      <rPr>
        <sz val="15"/>
        <rFont val="新細明體"/>
        <family val="1"/>
        <charset val="136"/>
      </rPr>
      <t>年</t>
    </r>
    <r>
      <rPr>
        <sz val="15"/>
        <rFont val="新細明體"/>
        <family val="1"/>
        <charset val="136"/>
      </rPr>
      <t>地方檢察署執行裁判確定有罪人數、性別及定罪人口率</t>
    </r>
    <phoneticPr fontId="44" type="noConversion"/>
  </si>
  <si>
    <r>
      <t>99</t>
    </r>
    <r>
      <rPr>
        <sz val="11"/>
        <rFont val="新細明體"/>
        <family val="1"/>
        <charset val="136"/>
      </rPr>
      <t>年</t>
    </r>
    <phoneticPr fontId="115" type="noConversion"/>
  </si>
  <si>
    <r>
      <rPr>
        <sz val="11"/>
        <rFont val="新細明體"/>
        <family val="1"/>
        <charset val="136"/>
      </rPr>
      <t>單位：人、</t>
    </r>
    <r>
      <rPr>
        <sz val="11"/>
        <rFont val="Times New Roman"/>
        <family val="1"/>
      </rPr>
      <t>%</t>
    </r>
    <r>
      <rPr>
        <sz val="11"/>
        <rFont val="新細明體"/>
        <family val="1"/>
        <charset val="136"/>
      </rPr>
      <t>、人</t>
    </r>
    <r>
      <rPr>
        <sz val="11"/>
        <rFont val="Times New Roman"/>
        <family val="1"/>
      </rPr>
      <t>/</t>
    </r>
    <r>
      <rPr>
        <sz val="11"/>
        <rFont val="新細明體"/>
        <family val="1"/>
        <charset val="136"/>
      </rPr>
      <t>十萬人</t>
    </r>
    <phoneticPr fontId="44" type="noConversion"/>
  </si>
  <si>
    <r>
      <rPr>
        <sz val="12"/>
        <rFont val="新細明體"/>
        <family val="1"/>
        <charset val="136"/>
      </rPr>
      <t>年</t>
    </r>
    <r>
      <rPr>
        <sz val="12"/>
        <rFont val="Times New Roman"/>
        <family val="1"/>
      </rPr>
      <t xml:space="preserve">   </t>
    </r>
    <r>
      <rPr>
        <sz val="12"/>
        <rFont val="新細明體"/>
        <family val="1"/>
        <charset val="136"/>
      </rPr>
      <t>別</t>
    </r>
  </si>
  <si>
    <r>
      <t xml:space="preserve">  </t>
    </r>
    <r>
      <rPr>
        <sz val="12"/>
        <rFont val="新細明體"/>
        <family val="1"/>
        <charset val="136"/>
      </rPr>
      <t>年</t>
    </r>
    <r>
      <rPr>
        <sz val="12"/>
        <rFont val="Times New Roman"/>
        <family val="1"/>
      </rPr>
      <t xml:space="preserve"> </t>
    </r>
    <r>
      <rPr>
        <sz val="12"/>
        <rFont val="新細明體"/>
        <family val="1"/>
        <charset val="136"/>
      </rPr>
      <t>中</t>
    </r>
    <r>
      <rPr>
        <sz val="12"/>
        <rFont val="Times New Roman"/>
        <family val="1"/>
      </rPr>
      <t xml:space="preserve"> </t>
    </r>
    <r>
      <rPr>
        <sz val="12"/>
        <rFont val="新細明體"/>
        <family val="1"/>
        <charset val="136"/>
      </rPr>
      <t>人</t>
    </r>
    <r>
      <rPr>
        <sz val="12"/>
        <rFont val="Times New Roman"/>
        <family val="1"/>
      </rPr>
      <t xml:space="preserve"> </t>
    </r>
    <r>
      <rPr>
        <sz val="12"/>
        <rFont val="新細明體"/>
        <family val="1"/>
        <charset val="136"/>
      </rPr>
      <t>口</t>
    </r>
    <r>
      <rPr>
        <sz val="12"/>
        <rFont val="Times New Roman"/>
        <family val="1"/>
      </rPr>
      <t xml:space="preserve"> </t>
    </r>
    <r>
      <rPr>
        <sz val="12"/>
        <rFont val="新細明體"/>
        <family val="1"/>
        <charset val="136"/>
      </rPr>
      <t>數</t>
    </r>
  </si>
  <si>
    <r>
      <rPr>
        <sz val="12"/>
        <rFont val="新細明體"/>
        <family val="1"/>
        <charset val="136"/>
      </rPr>
      <t>裁</t>
    </r>
    <r>
      <rPr>
        <sz val="12"/>
        <rFont val="Times New Roman"/>
        <family val="1"/>
      </rPr>
      <t xml:space="preserve">   </t>
    </r>
    <r>
      <rPr>
        <sz val="12"/>
        <rFont val="新細明體"/>
        <family val="1"/>
        <charset val="136"/>
      </rPr>
      <t>判</t>
    </r>
    <r>
      <rPr>
        <sz val="12"/>
        <rFont val="Times New Roman"/>
        <family val="1"/>
      </rPr>
      <t xml:space="preserve">   </t>
    </r>
    <r>
      <rPr>
        <sz val="12"/>
        <rFont val="新細明體"/>
        <family val="1"/>
        <charset val="136"/>
      </rPr>
      <t>確</t>
    </r>
    <r>
      <rPr>
        <sz val="12"/>
        <rFont val="Times New Roman"/>
        <family val="1"/>
      </rPr>
      <t xml:space="preserve">  </t>
    </r>
    <r>
      <rPr>
        <sz val="12"/>
        <rFont val="新細明體"/>
        <family val="1"/>
        <charset val="136"/>
      </rPr>
      <t>定</t>
    </r>
    <r>
      <rPr>
        <sz val="12"/>
        <rFont val="Times New Roman"/>
        <family val="1"/>
      </rPr>
      <t xml:space="preserve">  </t>
    </r>
    <r>
      <rPr>
        <sz val="12"/>
        <rFont val="新細明體"/>
        <family val="1"/>
        <charset val="136"/>
      </rPr>
      <t>有</t>
    </r>
    <r>
      <rPr>
        <sz val="12"/>
        <rFont val="Times New Roman"/>
        <family val="1"/>
      </rPr>
      <t xml:space="preserve">  </t>
    </r>
    <r>
      <rPr>
        <sz val="12"/>
        <rFont val="新細明體"/>
        <family val="1"/>
        <charset val="136"/>
      </rPr>
      <t>罪</t>
    </r>
    <r>
      <rPr>
        <sz val="12"/>
        <rFont val="Times New Roman"/>
        <family val="1"/>
      </rPr>
      <t xml:space="preserve">  </t>
    </r>
    <r>
      <rPr>
        <sz val="12"/>
        <rFont val="新細明體"/>
        <family val="1"/>
        <charset val="136"/>
      </rPr>
      <t>人</t>
    </r>
    <r>
      <rPr>
        <sz val="12"/>
        <rFont val="Times New Roman"/>
        <family val="1"/>
      </rPr>
      <t xml:space="preserve">  </t>
    </r>
    <r>
      <rPr>
        <sz val="12"/>
        <rFont val="新細明體"/>
        <family val="1"/>
        <charset val="136"/>
      </rPr>
      <t>數</t>
    </r>
    <phoneticPr fontId="44" type="noConversion"/>
  </si>
  <si>
    <r>
      <rPr>
        <sz val="12"/>
        <rFont val="新細明體"/>
        <family val="1"/>
        <charset val="136"/>
      </rPr>
      <t xml:space="preserve">定罪人口率
</t>
    </r>
    <r>
      <rPr>
        <sz val="12"/>
        <rFont val="Times New Roman"/>
        <family val="1"/>
      </rPr>
      <t>(</t>
    </r>
    <r>
      <rPr>
        <sz val="12"/>
        <rFont val="新細明體"/>
        <family val="1"/>
        <charset val="136"/>
      </rPr>
      <t>人／十萬人</t>
    </r>
    <r>
      <rPr>
        <sz val="12"/>
        <rFont val="Times New Roman"/>
        <family val="1"/>
      </rPr>
      <t>)</t>
    </r>
    <phoneticPr fontId="44" type="noConversion"/>
  </si>
  <si>
    <r>
      <rPr>
        <sz val="12"/>
        <rFont val="新細明體"/>
        <family val="1"/>
        <charset val="136"/>
      </rPr>
      <t>總</t>
    </r>
    <r>
      <rPr>
        <sz val="12"/>
        <rFont val="Times New Roman"/>
        <family val="1"/>
      </rPr>
      <t xml:space="preserve">          </t>
    </r>
    <r>
      <rPr>
        <sz val="12"/>
        <rFont val="新細明體"/>
        <family val="1"/>
        <charset val="136"/>
      </rPr>
      <t>計</t>
    </r>
    <r>
      <rPr>
        <sz val="12"/>
        <rFont val="Times New Roman"/>
        <family val="1"/>
      </rPr>
      <t xml:space="preserve"> (1)</t>
    </r>
    <phoneticPr fontId="44" type="noConversion"/>
  </si>
  <si>
    <r>
      <rPr>
        <sz val="12"/>
        <rFont val="新細明體"/>
        <family val="1"/>
        <charset val="136"/>
      </rPr>
      <t>男</t>
    </r>
    <phoneticPr fontId="44" type="noConversion"/>
  </si>
  <si>
    <r>
      <rPr>
        <sz val="12"/>
        <rFont val="新細明體"/>
        <family val="1"/>
        <charset val="136"/>
      </rPr>
      <t>女</t>
    </r>
    <phoneticPr fontId="44" type="noConversion"/>
  </si>
  <si>
    <r>
      <rPr>
        <sz val="12"/>
        <rFont val="新細明體"/>
        <family val="1"/>
        <charset val="136"/>
      </rPr>
      <t>總</t>
    </r>
    <r>
      <rPr>
        <sz val="12"/>
        <rFont val="Times New Roman"/>
        <family val="1"/>
      </rPr>
      <t xml:space="preserve">          </t>
    </r>
    <r>
      <rPr>
        <sz val="12"/>
        <rFont val="新細明體"/>
        <family val="1"/>
        <charset val="136"/>
      </rPr>
      <t>計</t>
    </r>
    <phoneticPr fontId="44" type="noConversion"/>
  </si>
  <si>
    <r>
      <rPr>
        <sz val="12"/>
        <rFont val="新細明體"/>
        <family val="1"/>
        <charset val="136"/>
      </rPr>
      <t>男</t>
    </r>
    <r>
      <rPr>
        <sz val="12"/>
        <rFont val="Times New Roman"/>
        <family val="1"/>
      </rPr>
      <t>(2)</t>
    </r>
    <phoneticPr fontId="44" type="noConversion"/>
  </si>
  <si>
    <r>
      <rPr>
        <sz val="12"/>
        <rFont val="新細明體"/>
        <family val="1"/>
        <charset val="136"/>
      </rPr>
      <t>女</t>
    </r>
    <r>
      <rPr>
        <sz val="12"/>
        <rFont val="Times New Roman"/>
        <family val="1"/>
      </rPr>
      <t>(3)</t>
    </r>
    <phoneticPr fontId="44" type="noConversion"/>
  </si>
  <si>
    <r>
      <rPr>
        <sz val="12"/>
        <rFont val="新細明體"/>
        <family val="1"/>
        <charset val="136"/>
      </rPr>
      <t>指</t>
    </r>
    <r>
      <rPr>
        <sz val="12"/>
        <rFont val="Times New Roman"/>
        <family val="1"/>
      </rPr>
      <t xml:space="preserve"> </t>
    </r>
    <r>
      <rPr>
        <sz val="12"/>
        <rFont val="新細明體"/>
        <family val="1"/>
        <charset val="136"/>
      </rPr>
      <t>數</t>
    </r>
    <phoneticPr fontId="115" type="noConversion"/>
  </si>
  <si>
    <r>
      <rPr>
        <sz val="12"/>
        <rFont val="新細明體"/>
        <family val="1"/>
        <charset val="136"/>
      </rPr>
      <t>人</t>
    </r>
    <phoneticPr fontId="123" type="noConversion"/>
  </si>
  <si>
    <t>%</t>
    <phoneticPr fontId="115" type="noConversion"/>
  </si>
  <si>
    <t>((2)+(3))/(1)×100,000</t>
    <phoneticPr fontId="123" type="noConversion"/>
  </si>
  <si>
    <t>99年</t>
    <phoneticPr fontId="44" type="noConversion"/>
  </si>
  <si>
    <t>100年</t>
    <phoneticPr fontId="44" type="noConversion"/>
  </si>
  <si>
    <t>101年</t>
    <phoneticPr fontId="44" type="noConversion"/>
  </si>
  <si>
    <t>102年</t>
    <phoneticPr fontId="44" type="noConversion"/>
  </si>
  <si>
    <t>103年</t>
    <phoneticPr fontId="44" type="noConversion"/>
  </si>
  <si>
    <t>104年</t>
    <phoneticPr fontId="44" type="noConversion"/>
  </si>
  <si>
    <t>105年</t>
    <phoneticPr fontId="44" type="noConversion"/>
  </si>
  <si>
    <t>106年</t>
    <phoneticPr fontId="44" type="noConversion"/>
  </si>
  <si>
    <t>107年</t>
    <phoneticPr fontId="44" type="noConversion"/>
  </si>
  <si>
    <t>108年</t>
    <phoneticPr fontId="44" type="noConversion"/>
  </si>
  <si>
    <r>
      <rPr>
        <sz val="10"/>
        <rFont val="新細明體"/>
        <family val="1"/>
        <charset val="136"/>
      </rPr>
      <t>資料來源：法務部統計處</t>
    </r>
    <phoneticPr fontId="44" type="noConversion"/>
  </si>
  <si>
    <r>
      <rPr>
        <sz val="10"/>
        <rFont val="細明體"/>
        <family val="3"/>
        <charset val="136"/>
      </rPr>
      <t>說　　明：</t>
    </r>
    <r>
      <rPr>
        <sz val="10"/>
        <rFont val="Times New Roman"/>
        <family val="1"/>
      </rPr>
      <t xml:space="preserve">1. </t>
    </r>
    <r>
      <rPr>
        <sz val="10"/>
        <rFont val="細明體"/>
        <family val="3"/>
        <charset val="136"/>
      </rPr>
      <t>裁判確定有罪人數之男女比率，係以總計有罪人數為計算依據。</t>
    </r>
    <r>
      <rPr>
        <sz val="10"/>
        <rFont val="Times New Roman"/>
        <family val="1"/>
      </rPr>
      <t xml:space="preserve">    
</t>
    </r>
    <r>
      <rPr>
        <sz val="10"/>
        <rFont val="細明體"/>
        <family val="3"/>
        <charset val="136"/>
      </rPr>
      <t>　　　　　</t>
    </r>
    <r>
      <rPr>
        <sz val="10"/>
        <rFont val="Times New Roman"/>
        <family val="1"/>
      </rPr>
      <t xml:space="preserve">2. </t>
    </r>
    <r>
      <rPr>
        <sz val="10"/>
        <rFont val="細明體"/>
        <family val="3"/>
        <charset val="136"/>
      </rPr>
      <t>本表裁判確定有罪人數總計，不含法人。</t>
    </r>
    <phoneticPr fontId="115" type="noConversion"/>
  </si>
  <si>
    <r>
      <rPr>
        <sz val="15"/>
        <rFont val="新細明體"/>
        <family val="1"/>
        <charset val="136"/>
      </rPr>
      <t>表</t>
    </r>
    <r>
      <rPr>
        <sz val="15"/>
        <rFont val="Times New Roman"/>
        <family val="1"/>
      </rPr>
      <t xml:space="preserve">2-2-3 </t>
    </r>
    <r>
      <rPr>
        <sz val="15"/>
        <rFont val="新細明體"/>
        <family val="1"/>
        <charset val="136"/>
      </rPr>
      <t>地方檢察署執行裁判確定有罪主要罪名</t>
    </r>
    <phoneticPr fontId="44" type="noConversion"/>
  </si>
  <si>
    <r>
      <rPr>
        <sz val="10"/>
        <rFont val="新細明體"/>
        <family val="1"/>
        <charset val="136"/>
      </rPr>
      <t>單位：人、</t>
    </r>
    <r>
      <rPr>
        <sz val="10"/>
        <rFont val="Times New Roman"/>
        <family val="1"/>
      </rPr>
      <t>%</t>
    </r>
    <phoneticPr fontId="44" type="noConversion"/>
  </si>
  <si>
    <r>
      <rPr>
        <sz val="10"/>
        <rFont val="新細明體"/>
        <family val="1"/>
        <charset val="136"/>
      </rPr>
      <t>年</t>
    </r>
    <r>
      <rPr>
        <sz val="10"/>
        <rFont val="Times New Roman"/>
        <family val="1"/>
      </rPr>
      <t xml:space="preserve">  </t>
    </r>
    <r>
      <rPr>
        <sz val="10"/>
        <rFont val="新細明體"/>
        <family val="1"/>
        <charset val="136"/>
      </rPr>
      <t>別</t>
    </r>
  </si>
  <si>
    <r>
      <rPr>
        <sz val="10"/>
        <rFont val="新細明體"/>
        <family val="1"/>
        <charset val="136"/>
      </rPr>
      <t>總計</t>
    </r>
    <phoneticPr fontId="44" type="noConversion"/>
  </si>
  <si>
    <r>
      <rPr>
        <sz val="10"/>
        <rFont val="新細明體"/>
        <family val="1"/>
        <charset val="136"/>
      </rPr>
      <t>公共危險罪</t>
    </r>
    <phoneticPr fontId="44" type="noConversion"/>
  </si>
  <si>
    <r>
      <rPr>
        <sz val="10"/>
        <rFont val="新細明體"/>
        <family val="1"/>
        <charset val="136"/>
      </rPr>
      <t>偽造文書印文罪</t>
    </r>
    <phoneticPr fontId="44" type="noConversion"/>
  </si>
  <si>
    <r>
      <rPr>
        <sz val="8"/>
        <rFont val="新細明體"/>
        <family val="1"/>
        <charset val="136"/>
      </rPr>
      <t>妨</t>
    </r>
    <r>
      <rPr>
        <sz val="8"/>
        <rFont val="Times New Roman"/>
        <family val="1"/>
      </rPr>
      <t xml:space="preserve"> </t>
    </r>
    <r>
      <rPr>
        <sz val="8"/>
        <rFont val="新細明體"/>
        <family val="1"/>
        <charset val="136"/>
      </rPr>
      <t>害</t>
    </r>
    <r>
      <rPr>
        <sz val="8"/>
        <rFont val="Times New Roman"/>
        <family val="1"/>
      </rPr>
      <t xml:space="preserve"> </t>
    </r>
    <r>
      <rPr>
        <sz val="8"/>
        <rFont val="新細明體"/>
        <family val="1"/>
        <charset val="136"/>
      </rPr>
      <t>性</t>
    </r>
    <r>
      <rPr>
        <sz val="8"/>
        <rFont val="Times New Roman"/>
        <family val="1"/>
      </rPr>
      <t xml:space="preserve"> </t>
    </r>
    <r>
      <rPr>
        <sz val="8"/>
        <rFont val="新細明體"/>
        <family val="1"/>
        <charset val="136"/>
      </rPr>
      <t>自</t>
    </r>
    <r>
      <rPr>
        <sz val="8"/>
        <rFont val="Times New Roman"/>
        <family val="1"/>
      </rPr>
      <t xml:space="preserve"> </t>
    </r>
    <r>
      <rPr>
        <sz val="8"/>
        <rFont val="新細明體"/>
        <family val="1"/>
        <charset val="136"/>
      </rPr>
      <t>主</t>
    </r>
    <r>
      <rPr>
        <sz val="8"/>
        <rFont val="Times New Roman"/>
        <family val="1"/>
      </rPr>
      <t xml:space="preserve"> </t>
    </r>
    <r>
      <rPr>
        <sz val="8"/>
        <rFont val="新細明體"/>
        <family val="1"/>
        <charset val="136"/>
      </rPr>
      <t>及</t>
    </r>
    <r>
      <rPr>
        <sz val="8"/>
        <rFont val="Times New Roman"/>
        <family val="1"/>
      </rPr>
      <t xml:space="preserve"> </t>
    </r>
    <r>
      <rPr>
        <sz val="8"/>
        <rFont val="新細明體"/>
        <family val="1"/>
        <charset val="136"/>
      </rPr>
      <t>妨</t>
    </r>
    <r>
      <rPr>
        <sz val="8"/>
        <rFont val="Times New Roman"/>
        <family val="1"/>
      </rPr>
      <t xml:space="preserve"> </t>
    </r>
    <r>
      <rPr>
        <sz val="8"/>
        <rFont val="新細明體"/>
        <family val="1"/>
        <charset val="136"/>
      </rPr>
      <t>害
風</t>
    </r>
    <r>
      <rPr>
        <sz val="8"/>
        <rFont val="Times New Roman"/>
        <family val="1"/>
      </rPr>
      <t xml:space="preserve"> </t>
    </r>
    <r>
      <rPr>
        <sz val="8"/>
        <rFont val="新細明體"/>
        <family val="1"/>
        <charset val="136"/>
      </rPr>
      <t>化</t>
    </r>
    <r>
      <rPr>
        <sz val="8"/>
        <rFont val="Times New Roman"/>
        <family val="1"/>
      </rPr>
      <t xml:space="preserve"> </t>
    </r>
    <r>
      <rPr>
        <sz val="8"/>
        <rFont val="新細明體"/>
        <family val="1"/>
        <charset val="136"/>
      </rPr>
      <t>罪</t>
    </r>
    <r>
      <rPr>
        <sz val="8"/>
        <rFont val="Times New Roman"/>
        <family val="1"/>
      </rPr>
      <t>(</t>
    </r>
    <r>
      <rPr>
        <sz val="8"/>
        <rFont val="新細明體"/>
        <family val="1"/>
        <charset val="136"/>
      </rPr>
      <t>不含強制性交罪</t>
    </r>
    <r>
      <rPr>
        <sz val="8"/>
        <rFont val="Times New Roman"/>
        <family val="1"/>
      </rPr>
      <t>)</t>
    </r>
    <phoneticPr fontId="44" type="noConversion"/>
  </si>
  <si>
    <r>
      <t xml:space="preserve"> </t>
    </r>
    <r>
      <rPr>
        <sz val="10"/>
        <rFont val="新細明體"/>
        <family val="1"/>
        <charset val="136"/>
      </rPr>
      <t>強制性交罪</t>
    </r>
    <phoneticPr fontId="44" type="noConversion"/>
  </si>
  <si>
    <r>
      <rPr>
        <sz val="10"/>
        <rFont val="新細明體"/>
        <family val="1"/>
        <charset val="136"/>
      </rPr>
      <t>妨害投票罪</t>
    </r>
    <phoneticPr fontId="44" type="noConversion"/>
  </si>
  <si>
    <r>
      <rPr>
        <sz val="10"/>
        <rFont val="新細明體"/>
        <family val="1"/>
        <charset val="136"/>
      </rPr>
      <t>賭</t>
    </r>
    <r>
      <rPr>
        <sz val="10"/>
        <rFont val="Times New Roman"/>
        <family val="1"/>
      </rPr>
      <t xml:space="preserve">  </t>
    </r>
    <r>
      <rPr>
        <sz val="10"/>
        <rFont val="新細明體"/>
        <family val="1"/>
        <charset val="136"/>
      </rPr>
      <t>博</t>
    </r>
    <r>
      <rPr>
        <sz val="10"/>
        <rFont val="Times New Roman"/>
        <family val="1"/>
      </rPr>
      <t xml:space="preserve">  </t>
    </r>
    <r>
      <rPr>
        <sz val="10"/>
        <rFont val="新細明體"/>
        <family val="1"/>
        <charset val="136"/>
      </rPr>
      <t>罪</t>
    </r>
    <phoneticPr fontId="44" type="noConversion"/>
  </si>
  <si>
    <r>
      <rPr>
        <sz val="10"/>
        <rFont val="新細明體"/>
        <family val="1"/>
        <charset val="136"/>
      </rPr>
      <t>男</t>
    </r>
    <phoneticPr fontId="44" type="noConversion"/>
  </si>
  <si>
    <r>
      <rPr>
        <sz val="10"/>
        <rFont val="新細明體"/>
        <family val="1"/>
        <charset val="136"/>
      </rPr>
      <t>女</t>
    </r>
    <phoneticPr fontId="44" type="noConversion"/>
  </si>
  <si>
    <r>
      <rPr>
        <sz val="10"/>
        <rFont val="新細明體"/>
        <family val="1"/>
        <charset val="136"/>
      </rPr>
      <t>計</t>
    </r>
    <phoneticPr fontId="44" type="noConversion"/>
  </si>
  <si>
    <r>
      <rPr>
        <sz val="10"/>
        <rFont val="新細明體"/>
        <family val="1"/>
        <charset val="136"/>
      </rPr>
      <t>女</t>
    </r>
    <phoneticPr fontId="44" type="noConversion"/>
  </si>
  <si>
    <r>
      <rPr>
        <sz val="10"/>
        <rFont val="新細明體"/>
        <family val="1"/>
        <charset val="136"/>
      </rPr>
      <t>女</t>
    </r>
    <phoneticPr fontId="44" type="noConversion"/>
  </si>
  <si>
    <r>
      <rPr>
        <sz val="10"/>
        <rFont val="新細明體"/>
        <family val="1"/>
        <charset val="136"/>
      </rPr>
      <t>計</t>
    </r>
    <phoneticPr fontId="44" type="noConversion"/>
  </si>
  <si>
    <r>
      <rPr>
        <sz val="10"/>
        <rFont val="新細明體"/>
        <family val="1"/>
        <charset val="136"/>
      </rPr>
      <t>男</t>
    </r>
    <phoneticPr fontId="44" type="noConversion"/>
  </si>
  <si>
    <r>
      <t>94</t>
    </r>
    <r>
      <rPr>
        <sz val="10"/>
        <rFont val="新細明體"/>
        <family val="1"/>
        <charset val="136"/>
      </rPr>
      <t>年</t>
    </r>
    <phoneticPr fontId="44" type="noConversion"/>
  </si>
  <si>
    <r>
      <t>95</t>
    </r>
    <r>
      <rPr>
        <sz val="10"/>
        <rFont val="新細明體"/>
        <family val="1"/>
        <charset val="136"/>
      </rPr>
      <t>年</t>
    </r>
    <phoneticPr fontId="44" type="noConversion"/>
  </si>
  <si>
    <r>
      <t>96</t>
    </r>
    <r>
      <rPr>
        <sz val="10"/>
        <rFont val="新細明體"/>
        <family val="1"/>
        <charset val="136"/>
      </rPr>
      <t>年</t>
    </r>
    <phoneticPr fontId="44" type="noConversion"/>
  </si>
  <si>
    <r>
      <t>97</t>
    </r>
    <r>
      <rPr>
        <sz val="10"/>
        <rFont val="新細明體"/>
        <family val="1"/>
        <charset val="136"/>
      </rPr>
      <t>年</t>
    </r>
    <phoneticPr fontId="44" type="noConversion"/>
  </si>
  <si>
    <r>
      <t>98</t>
    </r>
    <r>
      <rPr>
        <sz val="10"/>
        <rFont val="新細明體"/>
        <family val="1"/>
        <charset val="136"/>
      </rPr>
      <t>年</t>
    </r>
    <phoneticPr fontId="44" type="noConversion"/>
  </si>
  <si>
    <r>
      <t>99</t>
    </r>
    <r>
      <rPr>
        <sz val="10"/>
        <rFont val="新細明體"/>
        <family val="1"/>
        <charset val="136"/>
      </rPr>
      <t>年</t>
    </r>
    <phoneticPr fontId="44" type="noConversion"/>
  </si>
  <si>
    <t xml:space="preserve"> </t>
    <phoneticPr fontId="44" type="noConversion"/>
  </si>
  <si>
    <r>
      <t>100</t>
    </r>
    <r>
      <rPr>
        <sz val="10"/>
        <rFont val="新細明體"/>
        <family val="1"/>
        <charset val="136"/>
      </rPr>
      <t>年</t>
    </r>
    <phoneticPr fontId="44" type="noConversion"/>
  </si>
  <si>
    <r>
      <t>101</t>
    </r>
    <r>
      <rPr>
        <sz val="10"/>
        <rFont val="新細明體"/>
        <family val="1"/>
        <charset val="136"/>
      </rPr>
      <t>年</t>
    </r>
    <phoneticPr fontId="44" type="noConversion"/>
  </si>
  <si>
    <r>
      <t>102</t>
    </r>
    <r>
      <rPr>
        <sz val="10"/>
        <rFont val="新細明體"/>
        <family val="1"/>
        <charset val="136"/>
      </rPr>
      <t>年</t>
    </r>
    <phoneticPr fontId="44" type="noConversion"/>
  </si>
  <si>
    <r>
      <t>103</t>
    </r>
    <r>
      <rPr>
        <sz val="10"/>
        <rFont val="新細明體"/>
        <family val="1"/>
        <charset val="136"/>
      </rPr>
      <t>年</t>
    </r>
    <phoneticPr fontId="44" type="noConversion"/>
  </si>
  <si>
    <r>
      <t>104</t>
    </r>
    <r>
      <rPr>
        <sz val="10"/>
        <rFont val="新細明體"/>
        <family val="1"/>
        <charset val="136"/>
      </rPr>
      <t>年</t>
    </r>
    <phoneticPr fontId="44" type="noConversion"/>
  </si>
  <si>
    <r>
      <t>105</t>
    </r>
    <r>
      <rPr>
        <sz val="10"/>
        <rFont val="新細明體"/>
        <family val="1"/>
        <charset val="136"/>
      </rPr>
      <t>年</t>
    </r>
    <phoneticPr fontId="44" type="noConversion"/>
  </si>
  <si>
    <r>
      <t>106</t>
    </r>
    <r>
      <rPr>
        <sz val="10"/>
        <rFont val="新細明體"/>
        <family val="1"/>
        <charset val="136"/>
      </rPr>
      <t>年</t>
    </r>
    <phoneticPr fontId="44" type="noConversion"/>
  </si>
  <si>
    <r>
      <t>107</t>
    </r>
    <r>
      <rPr>
        <sz val="10"/>
        <rFont val="新細明體"/>
        <family val="1"/>
        <charset val="136"/>
      </rPr>
      <t>年</t>
    </r>
    <phoneticPr fontId="44" type="noConversion"/>
  </si>
  <si>
    <r>
      <t>108</t>
    </r>
    <r>
      <rPr>
        <sz val="10"/>
        <rFont val="新細明體"/>
        <family val="1"/>
        <charset val="136"/>
      </rPr>
      <t>年</t>
    </r>
    <phoneticPr fontId="44" type="noConversion"/>
  </si>
  <si>
    <r>
      <t xml:space="preserve">  </t>
    </r>
    <r>
      <rPr>
        <sz val="10"/>
        <rFont val="新細明體"/>
        <family val="1"/>
        <charset val="136"/>
      </rPr>
      <t>殺</t>
    </r>
    <r>
      <rPr>
        <sz val="10"/>
        <rFont val="Times New Roman"/>
        <family val="1"/>
      </rPr>
      <t xml:space="preserve"> </t>
    </r>
    <r>
      <rPr>
        <sz val="10"/>
        <rFont val="新細明體"/>
        <family val="1"/>
        <charset val="136"/>
      </rPr>
      <t>人</t>
    </r>
    <r>
      <rPr>
        <sz val="10"/>
        <rFont val="Times New Roman"/>
        <family val="1"/>
      </rPr>
      <t xml:space="preserve"> </t>
    </r>
    <r>
      <rPr>
        <sz val="10"/>
        <rFont val="新細明體"/>
        <family val="1"/>
        <charset val="136"/>
      </rPr>
      <t>罪</t>
    </r>
    <r>
      <rPr>
        <sz val="10"/>
        <rFont val="Times New Roman"/>
        <family val="1"/>
      </rPr>
      <t xml:space="preserve">  (</t>
    </r>
    <r>
      <rPr>
        <sz val="10"/>
        <rFont val="新細明體"/>
        <family val="1"/>
        <charset val="136"/>
      </rPr>
      <t>不含過失致死</t>
    </r>
    <r>
      <rPr>
        <sz val="10"/>
        <rFont val="Times New Roman"/>
        <family val="1"/>
      </rPr>
      <t>)</t>
    </r>
    <phoneticPr fontId="44" type="noConversion"/>
  </si>
  <si>
    <r>
      <rPr>
        <sz val="10"/>
        <rFont val="新細明體"/>
        <family val="1"/>
        <charset val="136"/>
      </rPr>
      <t>過失致死</t>
    </r>
  </si>
  <si>
    <r>
      <rPr>
        <sz val="10"/>
        <rFont val="新細明體"/>
        <family val="1"/>
        <charset val="136"/>
      </rPr>
      <t>傷害罪</t>
    </r>
    <r>
      <rPr>
        <sz val="10"/>
        <rFont val="Times New Roman"/>
        <family val="1"/>
      </rPr>
      <t>(</t>
    </r>
    <r>
      <rPr>
        <sz val="10"/>
        <rFont val="新細明體"/>
        <family val="1"/>
        <charset val="136"/>
      </rPr>
      <t>不含重傷罪</t>
    </r>
    <r>
      <rPr>
        <sz val="10"/>
        <rFont val="Times New Roman"/>
        <family val="1"/>
      </rPr>
      <t>)</t>
    </r>
    <phoneticPr fontId="44" type="noConversion"/>
  </si>
  <si>
    <r>
      <rPr>
        <sz val="10"/>
        <rFont val="新細明體"/>
        <family val="1"/>
        <charset val="136"/>
      </rPr>
      <t>重</t>
    </r>
    <r>
      <rPr>
        <sz val="10"/>
        <rFont val="Times New Roman"/>
        <family val="1"/>
      </rPr>
      <t xml:space="preserve"> </t>
    </r>
    <r>
      <rPr>
        <sz val="10"/>
        <rFont val="新細明體"/>
        <family val="1"/>
        <charset val="136"/>
      </rPr>
      <t>傷</t>
    </r>
    <r>
      <rPr>
        <sz val="10"/>
        <rFont val="Times New Roman"/>
        <family val="1"/>
      </rPr>
      <t xml:space="preserve"> </t>
    </r>
    <r>
      <rPr>
        <sz val="10"/>
        <rFont val="新細明體"/>
        <family val="1"/>
        <charset val="136"/>
      </rPr>
      <t>罪</t>
    </r>
  </si>
  <si>
    <r>
      <rPr>
        <sz val="10"/>
        <rFont val="新細明體"/>
        <family val="1"/>
        <charset val="136"/>
      </rPr>
      <t>妨害自由罪</t>
    </r>
    <phoneticPr fontId="44" type="noConversion"/>
  </si>
  <si>
    <r>
      <rPr>
        <sz val="10"/>
        <rFont val="新細明體"/>
        <family val="1"/>
        <charset val="136"/>
      </rPr>
      <t>竊</t>
    </r>
    <r>
      <rPr>
        <sz val="10"/>
        <rFont val="Times New Roman"/>
        <family val="1"/>
      </rPr>
      <t xml:space="preserve"> </t>
    </r>
    <r>
      <rPr>
        <sz val="10"/>
        <rFont val="新細明體"/>
        <family val="1"/>
        <charset val="136"/>
      </rPr>
      <t>盜</t>
    </r>
    <r>
      <rPr>
        <sz val="10"/>
        <rFont val="Times New Roman"/>
        <family val="1"/>
      </rPr>
      <t xml:space="preserve"> </t>
    </r>
    <r>
      <rPr>
        <sz val="10"/>
        <rFont val="新細明體"/>
        <family val="1"/>
        <charset val="136"/>
      </rPr>
      <t>罪</t>
    </r>
    <phoneticPr fontId="44" type="noConversion"/>
  </si>
  <si>
    <r>
      <t xml:space="preserve"> </t>
    </r>
    <r>
      <rPr>
        <sz val="10"/>
        <rFont val="新細明體"/>
        <family val="1"/>
        <charset val="136"/>
      </rPr>
      <t>搶奪強盜及海盜罪</t>
    </r>
    <phoneticPr fontId="44" type="noConversion"/>
  </si>
  <si>
    <r>
      <rPr>
        <sz val="10"/>
        <rFont val="新細明體"/>
        <family val="1"/>
        <charset val="136"/>
      </rPr>
      <t>計</t>
    </r>
    <phoneticPr fontId="44" type="noConversion"/>
  </si>
  <si>
    <r>
      <rPr>
        <sz val="10"/>
        <rFont val="新細明體"/>
        <family val="1"/>
        <charset val="136"/>
      </rPr>
      <t>男</t>
    </r>
    <phoneticPr fontId="44" type="noConversion"/>
  </si>
  <si>
    <r>
      <rPr>
        <sz val="10"/>
        <rFont val="新細明體"/>
        <family val="1"/>
        <charset val="136"/>
      </rPr>
      <t>計</t>
    </r>
    <phoneticPr fontId="44" type="noConversion"/>
  </si>
  <si>
    <r>
      <rPr>
        <sz val="10"/>
        <rFont val="新細明體"/>
        <family val="1"/>
        <charset val="136"/>
      </rPr>
      <t>女</t>
    </r>
    <phoneticPr fontId="44" type="noConversion"/>
  </si>
  <si>
    <r>
      <rPr>
        <sz val="10"/>
        <rFont val="新細明體"/>
        <family val="1"/>
        <charset val="136"/>
      </rPr>
      <t>男</t>
    </r>
    <phoneticPr fontId="44" type="noConversion"/>
  </si>
  <si>
    <r>
      <t>94</t>
    </r>
    <r>
      <rPr>
        <sz val="10"/>
        <rFont val="新細明體"/>
        <family val="1"/>
        <charset val="136"/>
      </rPr>
      <t>年</t>
    </r>
    <phoneticPr fontId="44" type="noConversion"/>
  </si>
  <si>
    <r>
      <t>95</t>
    </r>
    <r>
      <rPr>
        <sz val="10"/>
        <rFont val="新細明體"/>
        <family val="1"/>
        <charset val="136"/>
      </rPr>
      <t>年</t>
    </r>
    <phoneticPr fontId="44" type="noConversion"/>
  </si>
  <si>
    <r>
      <t>96</t>
    </r>
    <r>
      <rPr>
        <sz val="10"/>
        <rFont val="新細明體"/>
        <family val="1"/>
        <charset val="136"/>
      </rPr>
      <t>年</t>
    </r>
    <phoneticPr fontId="44" type="noConversion"/>
  </si>
  <si>
    <r>
      <t>97</t>
    </r>
    <r>
      <rPr>
        <sz val="10"/>
        <rFont val="新細明體"/>
        <family val="1"/>
        <charset val="136"/>
      </rPr>
      <t>年</t>
    </r>
    <phoneticPr fontId="44" type="noConversion"/>
  </si>
  <si>
    <r>
      <t>98</t>
    </r>
    <r>
      <rPr>
        <sz val="10"/>
        <rFont val="新細明體"/>
        <family val="1"/>
        <charset val="136"/>
      </rPr>
      <t>年</t>
    </r>
    <phoneticPr fontId="44" type="noConversion"/>
  </si>
  <si>
    <r>
      <t>100</t>
    </r>
    <r>
      <rPr>
        <sz val="10"/>
        <rFont val="新細明體"/>
        <family val="1"/>
        <charset val="136"/>
      </rPr>
      <t>年</t>
    </r>
    <phoneticPr fontId="44" type="noConversion"/>
  </si>
  <si>
    <r>
      <t>101</t>
    </r>
    <r>
      <rPr>
        <sz val="10"/>
        <rFont val="新細明體"/>
        <family val="1"/>
        <charset val="136"/>
      </rPr>
      <t>年</t>
    </r>
    <phoneticPr fontId="44" type="noConversion"/>
  </si>
  <si>
    <r>
      <t>103</t>
    </r>
    <r>
      <rPr>
        <sz val="10"/>
        <rFont val="新細明體"/>
        <family val="1"/>
        <charset val="136"/>
      </rPr>
      <t>年</t>
    </r>
    <phoneticPr fontId="44" type="noConversion"/>
  </si>
  <si>
    <r>
      <t>104</t>
    </r>
    <r>
      <rPr>
        <sz val="10"/>
        <rFont val="新細明體"/>
        <family val="1"/>
        <charset val="136"/>
      </rPr>
      <t>年</t>
    </r>
    <phoneticPr fontId="44" type="noConversion"/>
  </si>
  <si>
    <r>
      <t>107</t>
    </r>
    <r>
      <rPr>
        <sz val="10"/>
        <rFont val="新細明體"/>
        <family val="1"/>
        <charset val="136"/>
      </rPr>
      <t>年</t>
    </r>
    <phoneticPr fontId="44" type="noConversion"/>
  </si>
  <si>
    <r>
      <rPr>
        <sz val="10"/>
        <rFont val="新細明體"/>
        <family val="1"/>
        <charset val="136"/>
      </rPr>
      <t>背信及重利罪</t>
    </r>
    <phoneticPr fontId="44" type="noConversion"/>
  </si>
  <si>
    <r>
      <rPr>
        <sz val="10"/>
        <rFont val="新細明體"/>
        <family val="1"/>
        <charset val="136"/>
      </rPr>
      <t>恐嚇取財得利罪</t>
    </r>
    <phoneticPr fontId="44" type="noConversion"/>
  </si>
  <si>
    <r>
      <rPr>
        <sz val="10"/>
        <rFont val="新細明體"/>
        <family val="1"/>
        <charset val="136"/>
      </rPr>
      <t>擄人勒贖罪</t>
    </r>
    <phoneticPr fontId="44" type="noConversion"/>
  </si>
  <si>
    <r>
      <rPr>
        <sz val="10"/>
        <rFont val="新細明體"/>
        <family val="1"/>
        <charset val="136"/>
      </rPr>
      <t>贓</t>
    </r>
    <r>
      <rPr>
        <sz val="10"/>
        <rFont val="Times New Roman"/>
        <family val="1"/>
      </rPr>
      <t xml:space="preserve"> </t>
    </r>
    <r>
      <rPr>
        <sz val="10"/>
        <rFont val="新細明體"/>
        <family val="1"/>
        <charset val="136"/>
      </rPr>
      <t>物</t>
    </r>
    <r>
      <rPr>
        <sz val="10"/>
        <rFont val="Times New Roman"/>
        <family val="1"/>
      </rPr>
      <t xml:space="preserve"> </t>
    </r>
    <r>
      <rPr>
        <sz val="10"/>
        <rFont val="新細明體"/>
        <family val="1"/>
        <charset val="136"/>
      </rPr>
      <t>罪</t>
    </r>
    <phoneticPr fontId="44" type="noConversion"/>
  </si>
  <si>
    <r>
      <rPr>
        <sz val="10"/>
        <rFont val="新細明體"/>
        <family val="1"/>
        <charset val="136"/>
      </rPr>
      <t>瀆</t>
    </r>
    <r>
      <rPr>
        <sz val="10"/>
        <rFont val="Times New Roman"/>
        <family val="1"/>
      </rPr>
      <t xml:space="preserve"> </t>
    </r>
    <r>
      <rPr>
        <sz val="10"/>
        <rFont val="新細明體"/>
        <family val="1"/>
        <charset val="136"/>
      </rPr>
      <t>職</t>
    </r>
    <r>
      <rPr>
        <sz val="10"/>
        <rFont val="Times New Roman"/>
        <family val="1"/>
      </rPr>
      <t xml:space="preserve"> </t>
    </r>
    <r>
      <rPr>
        <sz val="10"/>
        <rFont val="新細明體"/>
        <family val="1"/>
        <charset val="136"/>
      </rPr>
      <t>罪</t>
    </r>
    <phoneticPr fontId="44" type="noConversion"/>
  </si>
  <si>
    <r>
      <rPr>
        <sz val="10"/>
        <rFont val="新細明體"/>
        <family val="1"/>
        <charset val="136"/>
      </rPr>
      <t>槍砲彈藥刀械管制條例</t>
    </r>
    <phoneticPr fontId="44" type="noConversion"/>
  </si>
  <si>
    <r>
      <rPr>
        <sz val="10"/>
        <rFont val="新細明體"/>
        <family val="1"/>
        <charset val="136"/>
      </rPr>
      <t>貪污治罪條例</t>
    </r>
    <phoneticPr fontId="44" type="noConversion"/>
  </si>
  <si>
    <r>
      <t>94</t>
    </r>
    <r>
      <rPr>
        <sz val="10"/>
        <rFont val="新細明體"/>
        <family val="1"/>
        <charset val="136"/>
      </rPr>
      <t>年</t>
    </r>
    <phoneticPr fontId="44" type="noConversion"/>
  </si>
  <si>
    <r>
      <t>99</t>
    </r>
    <r>
      <rPr>
        <sz val="10"/>
        <rFont val="新細明體"/>
        <family val="1"/>
        <charset val="136"/>
      </rPr>
      <t>年</t>
    </r>
    <phoneticPr fontId="44" type="noConversion"/>
  </si>
  <si>
    <r>
      <t>101</t>
    </r>
    <r>
      <rPr>
        <sz val="10"/>
        <rFont val="新細明體"/>
        <family val="1"/>
        <charset val="136"/>
      </rPr>
      <t>年</t>
    </r>
    <phoneticPr fontId="44" type="noConversion"/>
  </si>
  <si>
    <r>
      <t>103</t>
    </r>
    <r>
      <rPr>
        <sz val="10"/>
        <rFont val="新細明體"/>
        <family val="1"/>
        <charset val="136"/>
      </rPr>
      <t>年</t>
    </r>
    <phoneticPr fontId="44" type="noConversion"/>
  </si>
  <si>
    <r>
      <t>107</t>
    </r>
    <r>
      <rPr>
        <sz val="10"/>
        <rFont val="新細明體"/>
        <family val="1"/>
        <charset val="136"/>
      </rPr>
      <t>年</t>
    </r>
    <phoneticPr fontId="44" type="noConversion"/>
  </si>
  <si>
    <r>
      <rPr>
        <sz val="10"/>
        <rFont val="新細明體"/>
        <family val="1"/>
        <charset val="136"/>
      </rPr>
      <t>毒品危害防制條例</t>
    </r>
    <phoneticPr fontId="44" type="noConversion"/>
  </si>
  <si>
    <r>
      <rPr>
        <sz val="10"/>
        <rFont val="新細明體"/>
        <family val="1"/>
        <charset val="136"/>
      </rPr>
      <t>侵</t>
    </r>
    <r>
      <rPr>
        <sz val="10"/>
        <rFont val="Times New Roman"/>
        <family val="1"/>
      </rPr>
      <t xml:space="preserve"> </t>
    </r>
    <r>
      <rPr>
        <sz val="10"/>
        <rFont val="新細明體"/>
        <family val="1"/>
        <charset val="136"/>
      </rPr>
      <t>占</t>
    </r>
    <r>
      <rPr>
        <sz val="10"/>
        <rFont val="Times New Roman"/>
        <family val="1"/>
      </rPr>
      <t xml:space="preserve"> </t>
    </r>
    <r>
      <rPr>
        <sz val="10"/>
        <rFont val="新細明體"/>
        <family val="1"/>
        <charset val="136"/>
      </rPr>
      <t>罪</t>
    </r>
    <phoneticPr fontId="44" type="noConversion"/>
  </si>
  <si>
    <r>
      <rPr>
        <sz val="10"/>
        <rFont val="新細明體"/>
        <family val="1"/>
        <charset val="136"/>
      </rPr>
      <t>兒童及少年性
剝削防制條例</t>
    </r>
    <phoneticPr fontId="135" type="noConversion"/>
  </si>
  <si>
    <r>
      <rPr>
        <sz val="10"/>
        <rFont val="新細明體"/>
        <family val="1"/>
        <charset val="136"/>
      </rPr>
      <t>詐</t>
    </r>
    <r>
      <rPr>
        <sz val="10"/>
        <rFont val="Times New Roman"/>
        <family val="1"/>
      </rPr>
      <t xml:space="preserve"> </t>
    </r>
    <r>
      <rPr>
        <sz val="10"/>
        <rFont val="新細明體"/>
        <family val="1"/>
        <charset val="136"/>
      </rPr>
      <t>欺</t>
    </r>
    <r>
      <rPr>
        <sz val="10"/>
        <rFont val="Times New Roman"/>
        <family val="1"/>
      </rPr>
      <t xml:space="preserve"> </t>
    </r>
    <r>
      <rPr>
        <sz val="10"/>
        <rFont val="新細明體"/>
        <family val="1"/>
        <charset val="136"/>
      </rPr>
      <t>罪</t>
    </r>
    <phoneticPr fontId="44" type="noConversion"/>
  </si>
  <si>
    <r>
      <rPr>
        <sz val="10"/>
        <rFont val="新細明體"/>
        <family val="1"/>
        <charset val="136"/>
      </rPr>
      <t>著作權法、商
標法、專利法</t>
    </r>
    <phoneticPr fontId="44" type="noConversion"/>
  </si>
  <si>
    <r>
      <rPr>
        <sz val="10"/>
        <rFont val="新細明體"/>
        <family val="1"/>
        <charset val="136"/>
      </rPr>
      <t>組織犯罪防治條例</t>
    </r>
    <phoneticPr fontId="44" type="noConversion"/>
  </si>
  <si>
    <r>
      <rPr>
        <sz val="10"/>
        <rFont val="新細明體"/>
        <family val="1"/>
        <charset val="136"/>
      </rPr>
      <t>其</t>
    </r>
    <r>
      <rPr>
        <sz val="10"/>
        <rFont val="Times New Roman"/>
        <family val="1"/>
      </rPr>
      <t xml:space="preserve">    </t>
    </r>
    <r>
      <rPr>
        <sz val="10"/>
        <rFont val="新細明體"/>
        <family val="1"/>
        <charset val="136"/>
      </rPr>
      <t>他</t>
    </r>
    <phoneticPr fontId="44" type="noConversion"/>
  </si>
  <si>
    <r>
      <rPr>
        <sz val="10.5"/>
        <rFont val="新細明體"/>
        <family val="1"/>
        <charset val="136"/>
      </rPr>
      <t>資料來源：法務部統計處</t>
    </r>
    <phoneticPr fontId="44" type="noConversion"/>
  </si>
  <si>
    <r>
      <rPr>
        <sz val="10.5"/>
        <rFont val="新細明體"/>
        <family val="1"/>
        <charset val="136"/>
      </rPr>
      <t>說　　明：兒童及少年性交易防制條例自</t>
    </r>
    <r>
      <rPr>
        <sz val="10.5"/>
        <rFont val="Times New Roman"/>
        <family val="1"/>
      </rPr>
      <t>106</t>
    </r>
    <r>
      <rPr>
        <sz val="10.5"/>
        <rFont val="新細明體"/>
        <family val="1"/>
        <charset val="136"/>
      </rPr>
      <t>年</t>
    </r>
    <r>
      <rPr>
        <sz val="10.5"/>
        <rFont val="Times New Roman"/>
        <family val="1"/>
      </rPr>
      <t>1</t>
    </r>
    <r>
      <rPr>
        <sz val="10.5"/>
        <rFont val="新細明體"/>
        <family val="1"/>
        <charset val="136"/>
      </rPr>
      <t>月</t>
    </r>
    <r>
      <rPr>
        <sz val="10.5"/>
        <rFont val="Times New Roman"/>
        <family val="1"/>
      </rPr>
      <t>1</t>
    </r>
    <r>
      <rPr>
        <sz val="10.5"/>
        <rFont val="新細明體"/>
        <family val="1"/>
        <charset val="136"/>
      </rPr>
      <t>日起名稱修正為兒童及少年性剝削防制條例。</t>
    </r>
    <phoneticPr fontId="44" type="noConversion"/>
  </si>
  <si>
    <r>
      <rPr>
        <sz val="15"/>
        <rFont val="新細明體"/>
        <family val="1"/>
        <charset val="136"/>
      </rPr>
      <t>表</t>
    </r>
    <r>
      <rPr>
        <sz val="15"/>
        <rFont val="Times New Roman"/>
        <family val="1"/>
      </rPr>
      <t xml:space="preserve">2-2-4   </t>
    </r>
    <r>
      <rPr>
        <sz val="15"/>
        <rFont val="新細明體"/>
        <family val="1"/>
        <charset val="136"/>
      </rPr>
      <t>近</t>
    </r>
    <r>
      <rPr>
        <sz val="15"/>
        <rFont val="Times New Roman"/>
        <family val="1"/>
      </rPr>
      <t>10</t>
    </r>
    <r>
      <rPr>
        <sz val="15"/>
        <rFont val="新細明體"/>
        <family val="1"/>
        <charset val="136"/>
      </rPr>
      <t>年地方檢察署執行裁判確定有罪之人犯年齡</t>
    </r>
    <phoneticPr fontId="44" type="noConversion"/>
  </si>
  <si>
    <r>
      <rPr>
        <sz val="12"/>
        <rFont val="新細明體"/>
        <family val="1"/>
        <charset val="136"/>
      </rPr>
      <t>總</t>
    </r>
    <r>
      <rPr>
        <sz val="12"/>
        <rFont val="Times New Roman"/>
        <family val="1"/>
      </rPr>
      <t xml:space="preserve">      </t>
    </r>
    <r>
      <rPr>
        <sz val="12"/>
        <rFont val="新細明體"/>
        <family val="1"/>
        <charset val="136"/>
      </rPr>
      <t>計</t>
    </r>
  </si>
  <si>
    <r>
      <t>14-18</t>
    </r>
    <r>
      <rPr>
        <sz val="12"/>
        <rFont val="新細明體"/>
        <family val="1"/>
        <charset val="136"/>
      </rPr>
      <t>歲
未</t>
    </r>
    <r>
      <rPr>
        <sz val="12"/>
        <rFont val="Times New Roman"/>
        <family val="1"/>
      </rPr>
      <t xml:space="preserve">   </t>
    </r>
    <r>
      <rPr>
        <sz val="12"/>
        <rFont val="新細明體"/>
        <family val="1"/>
        <charset val="136"/>
      </rPr>
      <t>滿</t>
    </r>
    <phoneticPr fontId="44" type="noConversion"/>
  </si>
  <si>
    <r>
      <t>18-24</t>
    </r>
    <r>
      <rPr>
        <sz val="12"/>
        <rFont val="新細明體"/>
        <family val="1"/>
        <charset val="136"/>
      </rPr>
      <t>歲
未</t>
    </r>
    <r>
      <rPr>
        <sz val="12"/>
        <rFont val="Times New Roman"/>
        <family val="1"/>
      </rPr>
      <t xml:space="preserve">   </t>
    </r>
    <r>
      <rPr>
        <sz val="12"/>
        <rFont val="新細明體"/>
        <family val="1"/>
        <charset val="136"/>
      </rPr>
      <t>滿</t>
    </r>
    <phoneticPr fontId="44" type="noConversion"/>
  </si>
  <si>
    <r>
      <t>24-30</t>
    </r>
    <r>
      <rPr>
        <sz val="12"/>
        <rFont val="新細明體"/>
        <family val="1"/>
        <charset val="136"/>
      </rPr>
      <t>歲</t>
    </r>
    <r>
      <rPr>
        <sz val="12"/>
        <rFont val="Times New Roman"/>
        <family val="1"/>
      </rPr>
      <t xml:space="preserve"> 
</t>
    </r>
    <r>
      <rPr>
        <sz val="12"/>
        <rFont val="新細明體"/>
        <family val="1"/>
        <charset val="136"/>
      </rPr>
      <t>未</t>
    </r>
    <r>
      <rPr>
        <sz val="12"/>
        <rFont val="Times New Roman"/>
        <family val="1"/>
      </rPr>
      <t xml:space="preserve">   </t>
    </r>
    <r>
      <rPr>
        <sz val="12"/>
        <rFont val="新細明體"/>
        <family val="1"/>
        <charset val="136"/>
      </rPr>
      <t>滿</t>
    </r>
    <phoneticPr fontId="44" type="noConversion"/>
  </si>
  <si>
    <r>
      <t>30-40</t>
    </r>
    <r>
      <rPr>
        <sz val="12"/>
        <rFont val="新細明體"/>
        <family val="1"/>
        <charset val="136"/>
      </rPr>
      <t>歲
未</t>
    </r>
    <r>
      <rPr>
        <sz val="12"/>
        <rFont val="Times New Roman"/>
        <family val="1"/>
      </rPr>
      <t xml:space="preserve">   </t>
    </r>
    <r>
      <rPr>
        <sz val="12"/>
        <rFont val="新細明體"/>
        <family val="1"/>
        <charset val="136"/>
      </rPr>
      <t>滿</t>
    </r>
    <phoneticPr fontId="44" type="noConversion"/>
  </si>
  <si>
    <r>
      <t xml:space="preserve"> 40-50</t>
    </r>
    <r>
      <rPr>
        <sz val="12"/>
        <rFont val="新細明體"/>
        <family val="1"/>
        <charset val="136"/>
      </rPr>
      <t>歲
未</t>
    </r>
    <r>
      <rPr>
        <sz val="12"/>
        <rFont val="Times New Roman"/>
        <family val="1"/>
      </rPr>
      <t xml:space="preserve">   </t>
    </r>
    <r>
      <rPr>
        <sz val="12"/>
        <rFont val="新細明體"/>
        <family val="1"/>
        <charset val="136"/>
      </rPr>
      <t>滿</t>
    </r>
    <phoneticPr fontId="44" type="noConversion"/>
  </si>
  <si>
    <r>
      <t>50-60</t>
    </r>
    <r>
      <rPr>
        <sz val="12"/>
        <rFont val="新細明體"/>
        <family val="1"/>
        <charset val="136"/>
      </rPr>
      <t>歲
未</t>
    </r>
    <r>
      <rPr>
        <sz val="12"/>
        <rFont val="Times New Roman"/>
        <family val="1"/>
      </rPr>
      <t xml:space="preserve">   </t>
    </r>
    <r>
      <rPr>
        <sz val="12"/>
        <rFont val="新細明體"/>
        <family val="1"/>
        <charset val="136"/>
      </rPr>
      <t>滿</t>
    </r>
    <phoneticPr fontId="44" type="noConversion"/>
  </si>
  <si>
    <r>
      <t>60-70</t>
    </r>
    <r>
      <rPr>
        <sz val="12"/>
        <rFont val="新細明體"/>
        <family val="1"/>
        <charset val="136"/>
      </rPr>
      <t>歲
未</t>
    </r>
    <r>
      <rPr>
        <sz val="12"/>
        <rFont val="Times New Roman"/>
        <family val="1"/>
      </rPr>
      <t xml:space="preserve">   </t>
    </r>
    <r>
      <rPr>
        <sz val="12"/>
        <rFont val="新細明體"/>
        <family val="1"/>
        <charset val="136"/>
      </rPr>
      <t>滿</t>
    </r>
    <phoneticPr fontId="44" type="noConversion"/>
  </si>
  <si>
    <r>
      <t>70-80</t>
    </r>
    <r>
      <rPr>
        <sz val="12"/>
        <rFont val="新細明體"/>
        <family val="1"/>
        <charset val="136"/>
      </rPr>
      <t>歲</t>
    </r>
    <r>
      <rPr>
        <sz val="12"/>
        <rFont val="Times New Roman"/>
        <family val="1"/>
      </rPr>
      <t xml:space="preserve"> 
</t>
    </r>
    <r>
      <rPr>
        <sz val="12"/>
        <rFont val="新細明體"/>
        <family val="1"/>
        <charset val="136"/>
      </rPr>
      <t>未</t>
    </r>
    <r>
      <rPr>
        <sz val="12"/>
        <rFont val="Times New Roman"/>
        <family val="1"/>
      </rPr>
      <t xml:space="preserve">   </t>
    </r>
    <r>
      <rPr>
        <sz val="12"/>
        <rFont val="新細明體"/>
        <family val="1"/>
        <charset val="136"/>
      </rPr>
      <t>滿</t>
    </r>
    <phoneticPr fontId="44" type="noConversion"/>
  </si>
  <si>
    <r>
      <t>80</t>
    </r>
    <r>
      <rPr>
        <sz val="12"/>
        <rFont val="新細明體"/>
        <family val="1"/>
        <charset val="136"/>
      </rPr>
      <t>歲以上</t>
    </r>
    <phoneticPr fontId="44" type="noConversion"/>
  </si>
  <si>
    <r>
      <rPr>
        <sz val="12"/>
        <rFont val="新細明體"/>
        <family val="1"/>
        <charset val="136"/>
      </rPr>
      <t>不</t>
    </r>
    <r>
      <rPr>
        <sz val="12"/>
        <rFont val="Times New Roman"/>
        <family val="1"/>
      </rPr>
      <t xml:space="preserve">   </t>
    </r>
    <r>
      <rPr>
        <sz val="12"/>
        <rFont val="新細明體"/>
        <family val="1"/>
        <charset val="136"/>
      </rPr>
      <t>詳</t>
    </r>
  </si>
  <si>
    <t>%</t>
    <phoneticPr fontId="44" type="noConversion"/>
  </si>
  <si>
    <t>%</t>
    <phoneticPr fontId="44" type="noConversion"/>
  </si>
  <si>
    <r>
      <t>99</t>
    </r>
    <r>
      <rPr>
        <sz val="12"/>
        <rFont val="新細明體"/>
        <family val="1"/>
        <charset val="136"/>
      </rPr>
      <t>年</t>
    </r>
    <phoneticPr fontId="72" type="noConversion"/>
  </si>
  <si>
    <r>
      <rPr>
        <sz val="12"/>
        <rFont val="新細明體"/>
        <family val="1"/>
        <charset val="136"/>
      </rPr>
      <t>計</t>
    </r>
    <phoneticPr fontId="44" type="noConversion"/>
  </si>
  <si>
    <r>
      <rPr>
        <sz val="12"/>
        <rFont val="新細明體"/>
        <family val="1"/>
        <charset val="136"/>
      </rPr>
      <t>男</t>
    </r>
    <phoneticPr fontId="44" type="noConversion"/>
  </si>
  <si>
    <r>
      <t>100</t>
    </r>
    <r>
      <rPr>
        <sz val="12"/>
        <rFont val="新細明體"/>
        <family val="1"/>
        <charset val="136"/>
      </rPr>
      <t>年</t>
    </r>
    <phoneticPr fontId="72" type="noConversion"/>
  </si>
  <si>
    <r>
      <rPr>
        <sz val="12"/>
        <rFont val="新細明體"/>
        <family val="1"/>
        <charset val="136"/>
      </rPr>
      <t>計</t>
    </r>
    <phoneticPr fontId="44" type="noConversion"/>
  </si>
  <si>
    <r>
      <rPr>
        <sz val="12"/>
        <rFont val="新細明體"/>
        <family val="1"/>
        <charset val="136"/>
      </rPr>
      <t>女</t>
    </r>
    <phoneticPr fontId="44" type="noConversion"/>
  </si>
  <si>
    <r>
      <t>101</t>
    </r>
    <r>
      <rPr>
        <sz val="12"/>
        <rFont val="新細明體"/>
        <family val="1"/>
        <charset val="136"/>
      </rPr>
      <t>年</t>
    </r>
    <phoneticPr fontId="72" type="noConversion"/>
  </si>
  <si>
    <r>
      <rPr>
        <sz val="12"/>
        <rFont val="新細明體"/>
        <family val="1"/>
        <charset val="136"/>
      </rPr>
      <t>女</t>
    </r>
    <phoneticPr fontId="44" type="noConversion"/>
  </si>
  <si>
    <r>
      <t>102</t>
    </r>
    <r>
      <rPr>
        <sz val="12"/>
        <rFont val="新細明體"/>
        <family val="1"/>
        <charset val="136"/>
      </rPr>
      <t>年</t>
    </r>
    <phoneticPr fontId="72" type="noConversion"/>
  </si>
  <si>
    <r>
      <rPr>
        <sz val="12"/>
        <rFont val="新細明體"/>
        <family val="1"/>
        <charset val="136"/>
      </rPr>
      <t>計</t>
    </r>
    <phoneticPr fontId="44" type="noConversion"/>
  </si>
  <si>
    <r>
      <t>103</t>
    </r>
    <r>
      <rPr>
        <sz val="12"/>
        <rFont val="新細明體"/>
        <family val="1"/>
        <charset val="136"/>
      </rPr>
      <t>年</t>
    </r>
    <phoneticPr fontId="72" type="noConversion"/>
  </si>
  <si>
    <r>
      <rPr>
        <sz val="12"/>
        <rFont val="新細明體"/>
        <family val="1"/>
        <charset val="136"/>
      </rPr>
      <t>計</t>
    </r>
    <phoneticPr fontId="44" type="noConversion"/>
  </si>
  <si>
    <t>-</t>
    <phoneticPr fontId="115" type="noConversion"/>
  </si>
  <si>
    <r>
      <t>104</t>
    </r>
    <r>
      <rPr>
        <sz val="12"/>
        <rFont val="新細明體"/>
        <family val="1"/>
        <charset val="136"/>
      </rPr>
      <t>年</t>
    </r>
    <phoneticPr fontId="72" type="noConversion"/>
  </si>
  <si>
    <r>
      <rPr>
        <sz val="12"/>
        <rFont val="新細明體"/>
        <family val="1"/>
        <charset val="136"/>
      </rPr>
      <t>男</t>
    </r>
    <phoneticPr fontId="44" type="noConversion"/>
  </si>
  <si>
    <r>
      <rPr>
        <sz val="12"/>
        <rFont val="新細明體"/>
        <family val="1"/>
        <charset val="136"/>
      </rPr>
      <t>女</t>
    </r>
    <phoneticPr fontId="44" type="noConversion"/>
  </si>
  <si>
    <r>
      <t>105</t>
    </r>
    <r>
      <rPr>
        <sz val="12"/>
        <rFont val="新細明體"/>
        <family val="1"/>
        <charset val="136"/>
      </rPr>
      <t>年</t>
    </r>
    <phoneticPr fontId="72" type="noConversion"/>
  </si>
  <si>
    <r>
      <rPr>
        <sz val="12"/>
        <rFont val="新細明體"/>
        <family val="1"/>
        <charset val="136"/>
      </rPr>
      <t>計</t>
    </r>
    <phoneticPr fontId="44" type="noConversion"/>
  </si>
  <si>
    <r>
      <rPr>
        <sz val="12"/>
        <rFont val="新細明體"/>
        <family val="1"/>
        <charset val="136"/>
      </rPr>
      <t>男</t>
    </r>
    <phoneticPr fontId="44" type="noConversion"/>
  </si>
  <si>
    <r>
      <t>106</t>
    </r>
    <r>
      <rPr>
        <sz val="12"/>
        <rFont val="新細明體"/>
        <family val="1"/>
        <charset val="136"/>
      </rPr>
      <t>年</t>
    </r>
    <phoneticPr fontId="72" type="noConversion"/>
  </si>
  <si>
    <r>
      <rPr>
        <sz val="12"/>
        <rFont val="新細明體"/>
        <family val="1"/>
        <charset val="136"/>
      </rPr>
      <t>男</t>
    </r>
    <phoneticPr fontId="44" type="noConversion"/>
  </si>
  <si>
    <r>
      <t>107</t>
    </r>
    <r>
      <rPr>
        <sz val="12"/>
        <rFont val="新細明體"/>
        <family val="1"/>
        <charset val="136"/>
      </rPr>
      <t>年</t>
    </r>
    <phoneticPr fontId="72" type="noConversion"/>
  </si>
  <si>
    <r>
      <t>108</t>
    </r>
    <r>
      <rPr>
        <sz val="12"/>
        <rFont val="新細明體"/>
        <family val="1"/>
        <charset val="136"/>
      </rPr>
      <t>年</t>
    </r>
    <phoneticPr fontId="72" type="noConversion"/>
  </si>
  <si>
    <r>
      <rPr>
        <sz val="10"/>
        <rFont val="新細明體"/>
        <family val="1"/>
        <charset val="136"/>
      </rPr>
      <t>說</t>
    </r>
    <r>
      <rPr>
        <sz val="10"/>
        <color indexed="9"/>
        <rFont val="新細明體"/>
        <family val="1"/>
        <charset val="136"/>
      </rPr>
      <t>明明</t>
    </r>
    <r>
      <rPr>
        <sz val="10"/>
        <rFont val="新細明體"/>
        <family val="1"/>
        <charset val="136"/>
      </rPr>
      <t>明：各年執行裁判確定有罪人數之「計」列含法人，其年齡另列於「不詳」。</t>
    </r>
    <phoneticPr fontId="44" type="noConversion"/>
  </si>
  <si>
    <r>
      <rPr>
        <sz val="15"/>
        <rFont val="新細明體"/>
        <family val="1"/>
        <charset val="136"/>
      </rPr>
      <t>表</t>
    </r>
    <r>
      <rPr>
        <sz val="15"/>
        <rFont val="Times New Roman"/>
        <family val="1"/>
      </rPr>
      <t xml:space="preserve">2-2-5    </t>
    </r>
    <r>
      <rPr>
        <sz val="15"/>
        <rFont val="新細明體"/>
        <family val="1"/>
        <charset val="136"/>
      </rPr>
      <t>近</t>
    </r>
    <r>
      <rPr>
        <sz val="15"/>
        <rFont val="Times New Roman"/>
        <family val="1"/>
      </rPr>
      <t>10</t>
    </r>
    <r>
      <rPr>
        <sz val="15"/>
        <rFont val="新細明體"/>
        <family val="1"/>
        <charset val="136"/>
      </rPr>
      <t>年地方檢察署執行裁判確定有罪之人犯教育程度</t>
    </r>
    <phoneticPr fontId="44" type="noConversion"/>
  </si>
  <si>
    <r>
      <rPr>
        <sz val="12"/>
        <rFont val="新細明體"/>
        <family val="1"/>
        <charset val="136"/>
      </rPr>
      <t>總</t>
    </r>
    <r>
      <rPr>
        <sz val="12"/>
        <rFont val="Times New Roman"/>
        <family val="1"/>
      </rPr>
      <t xml:space="preserve">    </t>
    </r>
    <r>
      <rPr>
        <sz val="12"/>
        <rFont val="新細明體"/>
        <family val="1"/>
        <charset val="136"/>
      </rPr>
      <t>計</t>
    </r>
  </si>
  <si>
    <r>
      <rPr>
        <sz val="12"/>
        <rFont val="新細明體"/>
        <family val="1"/>
        <charset val="136"/>
      </rPr>
      <t>不</t>
    </r>
    <r>
      <rPr>
        <sz val="12"/>
        <rFont val="Times New Roman"/>
        <family val="1"/>
      </rPr>
      <t xml:space="preserve"> </t>
    </r>
    <r>
      <rPr>
        <sz val="12"/>
        <rFont val="新細明體"/>
        <family val="1"/>
        <charset val="136"/>
      </rPr>
      <t>識</t>
    </r>
    <r>
      <rPr>
        <sz val="12"/>
        <rFont val="Times New Roman"/>
        <family val="1"/>
      </rPr>
      <t xml:space="preserve"> </t>
    </r>
    <r>
      <rPr>
        <sz val="12"/>
        <rFont val="新細明體"/>
        <family val="1"/>
        <charset val="136"/>
      </rPr>
      <t>字</t>
    </r>
    <phoneticPr fontId="44" type="noConversion"/>
  </si>
  <si>
    <r>
      <rPr>
        <sz val="12"/>
        <rFont val="新細明體"/>
        <family val="1"/>
        <charset val="136"/>
      </rPr>
      <t>國小暨自修</t>
    </r>
    <phoneticPr fontId="44" type="noConversion"/>
  </si>
  <si>
    <r>
      <rPr>
        <sz val="12"/>
        <rFont val="新細明體"/>
        <family val="1"/>
        <charset val="136"/>
      </rPr>
      <t>國</t>
    </r>
    <r>
      <rPr>
        <sz val="12"/>
        <rFont val="Times New Roman"/>
        <family val="1"/>
      </rPr>
      <t xml:space="preserve">  </t>
    </r>
    <r>
      <rPr>
        <sz val="12"/>
        <rFont val="新細明體"/>
        <family val="1"/>
        <charset val="136"/>
      </rPr>
      <t>中</t>
    </r>
    <phoneticPr fontId="44" type="noConversion"/>
  </si>
  <si>
    <r>
      <rPr>
        <sz val="12"/>
        <rFont val="新細明體"/>
        <family val="1"/>
        <charset val="136"/>
      </rPr>
      <t>高</t>
    </r>
    <r>
      <rPr>
        <sz val="12"/>
        <rFont val="Times New Roman"/>
        <family val="1"/>
      </rPr>
      <t xml:space="preserve"> </t>
    </r>
    <r>
      <rPr>
        <sz val="12"/>
        <rFont val="新細明體"/>
        <family val="1"/>
        <charset val="136"/>
      </rPr>
      <t>中</t>
    </r>
    <r>
      <rPr>
        <sz val="12"/>
        <rFont val="Times New Roman"/>
        <family val="1"/>
      </rPr>
      <t>(</t>
    </r>
    <r>
      <rPr>
        <sz val="12"/>
        <rFont val="新細明體"/>
        <family val="1"/>
        <charset val="136"/>
      </rPr>
      <t>職</t>
    </r>
    <r>
      <rPr>
        <sz val="12"/>
        <rFont val="Times New Roman"/>
        <family val="1"/>
      </rPr>
      <t>)</t>
    </r>
    <phoneticPr fontId="44" type="noConversion"/>
  </si>
  <si>
    <r>
      <rPr>
        <sz val="12"/>
        <rFont val="新細明體"/>
        <family val="1"/>
        <charset val="136"/>
      </rPr>
      <t>專科以上</t>
    </r>
    <phoneticPr fontId="44" type="noConversion"/>
  </si>
  <si>
    <r>
      <rPr>
        <sz val="12"/>
        <rFont val="新細明體"/>
        <family val="1"/>
        <charset val="136"/>
      </rPr>
      <t>不</t>
    </r>
    <r>
      <rPr>
        <sz val="12"/>
        <rFont val="Times New Roman"/>
        <family val="1"/>
      </rPr>
      <t xml:space="preserve">   </t>
    </r>
    <r>
      <rPr>
        <sz val="12"/>
        <rFont val="新細明體"/>
        <family val="1"/>
        <charset val="136"/>
      </rPr>
      <t>詳</t>
    </r>
    <phoneticPr fontId="44" type="noConversion"/>
  </si>
  <si>
    <t>%</t>
    <phoneticPr fontId="44" type="noConversion"/>
  </si>
  <si>
    <t>%</t>
    <phoneticPr fontId="44" type="noConversion"/>
  </si>
  <si>
    <r>
      <t>99</t>
    </r>
    <r>
      <rPr>
        <sz val="12"/>
        <rFont val="新細明體"/>
        <family val="1"/>
        <charset val="136"/>
      </rPr>
      <t>年</t>
    </r>
    <phoneticPr fontId="44" type="noConversion"/>
  </si>
  <si>
    <r>
      <rPr>
        <sz val="12"/>
        <rFont val="新細明體"/>
        <family val="1"/>
        <charset val="136"/>
      </rPr>
      <t>計</t>
    </r>
    <phoneticPr fontId="44" type="noConversion"/>
  </si>
  <si>
    <r>
      <rPr>
        <sz val="12"/>
        <rFont val="新細明體"/>
        <family val="1"/>
        <charset val="136"/>
      </rPr>
      <t>男</t>
    </r>
    <phoneticPr fontId="44" type="noConversion"/>
  </si>
  <si>
    <r>
      <t>100</t>
    </r>
    <r>
      <rPr>
        <sz val="12"/>
        <rFont val="新細明體"/>
        <family val="1"/>
        <charset val="136"/>
      </rPr>
      <t>年</t>
    </r>
    <phoneticPr fontId="44" type="noConversion"/>
  </si>
  <si>
    <r>
      <rPr>
        <sz val="12"/>
        <rFont val="新細明體"/>
        <family val="1"/>
        <charset val="136"/>
      </rPr>
      <t>計</t>
    </r>
    <phoneticPr fontId="44" type="noConversion"/>
  </si>
  <si>
    <r>
      <t>101</t>
    </r>
    <r>
      <rPr>
        <sz val="12"/>
        <rFont val="新細明體"/>
        <family val="1"/>
        <charset val="136"/>
      </rPr>
      <t>年</t>
    </r>
    <phoneticPr fontId="44" type="noConversion"/>
  </si>
  <si>
    <r>
      <rPr>
        <sz val="12"/>
        <rFont val="新細明體"/>
        <family val="1"/>
        <charset val="136"/>
      </rPr>
      <t>男</t>
    </r>
    <phoneticPr fontId="44" type="noConversion"/>
  </si>
  <si>
    <r>
      <t>102</t>
    </r>
    <r>
      <rPr>
        <sz val="12"/>
        <rFont val="新細明體"/>
        <family val="1"/>
        <charset val="136"/>
      </rPr>
      <t>年</t>
    </r>
    <phoneticPr fontId="44" type="noConversion"/>
  </si>
  <si>
    <r>
      <t>103</t>
    </r>
    <r>
      <rPr>
        <sz val="12"/>
        <rFont val="新細明體"/>
        <family val="1"/>
        <charset val="136"/>
      </rPr>
      <t>年</t>
    </r>
    <phoneticPr fontId="44" type="noConversion"/>
  </si>
  <si>
    <r>
      <rPr>
        <sz val="12"/>
        <rFont val="新細明體"/>
        <family val="1"/>
        <charset val="136"/>
      </rPr>
      <t>女</t>
    </r>
    <phoneticPr fontId="44" type="noConversion"/>
  </si>
  <si>
    <r>
      <t>104</t>
    </r>
    <r>
      <rPr>
        <sz val="12"/>
        <rFont val="新細明體"/>
        <family val="1"/>
        <charset val="136"/>
      </rPr>
      <t>年</t>
    </r>
    <phoneticPr fontId="44" type="noConversion"/>
  </si>
  <si>
    <r>
      <t>105</t>
    </r>
    <r>
      <rPr>
        <sz val="12"/>
        <rFont val="新細明體"/>
        <family val="1"/>
        <charset val="136"/>
      </rPr>
      <t>年</t>
    </r>
    <phoneticPr fontId="44" type="noConversion"/>
  </si>
  <si>
    <r>
      <t>106</t>
    </r>
    <r>
      <rPr>
        <sz val="12"/>
        <rFont val="新細明體"/>
        <family val="1"/>
        <charset val="136"/>
      </rPr>
      <t>年</t>
    </r>
    <phoneticPr fontId="44" type="noConversion"/>
  </si>
  <si>
    <r>
      <t>107</t>
    </r>
    <r>
      <rPr>
        <sz val="12"/>
        <rFont val="新細明體"/>
        <family val="1"/>
        <charset val="136"/>
      </rPr>
      <t>年</t>
    </r>
    <phoneticPr fontId="44" type="noConversion"/>
  </si>
  <si>
    <r>
      <t>108</t>
    </r>
    <r>
      <rPr>
        <sz val="12"/>
        <rFont val="新細明體"/>
        <family val="1"/>
        <charset val="136"/>
      </rPr>
      <t>年</t>
    </r>
    <phoneticPr fontId="44" type="noConversion"/>
  </si>
  <si>
    <r>
      <rPr>
        <sz val="12"/>
        <rFont val="新細明體"/>
        <family val="1"/>
        <charset val="136"/>
      </rPr>
      <t>男</t>
    </r>
    <phoneticPr fontId="44" type="noConversion"/>
  </si>
  <si>
    <t>資料來源：法務部統計處</t>
    <phoneticPr fontId="44" type="noConversion"/>
  </si>
  <si>
    <r>
      <t>說</t>
    </r>
    <r>
      <rPr>
        <sz val="10"/>
        <color indexed="9"/>
        <rFont val="新細明體"/>
        <family val="1"/>
        <charset val="136"/>
      </rPr>
      <t>明明</t>
    </r>
    <r>
      <rPr>
        <sz val="10"/>
        <rFont val="新細明體"/>
        <family val="1"/>
        <charset val="136"/>
      </rPr>
      <t>明：各年執行裁判確定有罪人數之「計」列含法人，另列於「不詳」。</t>
    </r>
    <phoneticPr fontId="44" type="noConversion"/>
  </si>
  <si>
    <r>
      <rPr>
        <sz val="16"/>
        <rFont val="新細明體"/>
        <family val="1"/>
        <charset val="136"/>
      </rPr>
      <t>表</t>
    </r>
    <r>
      <rPr>
        <sz val="16"/>
        <rFont val="Times New Roman"/>
        <family val="1"/>
      </rPr>
      <t>2-2-6</t>
    </r>
    <r>
      <rPr>
        <sz val="16"/>
        <rFont val="新細明體"/>
        <family val="1"/>
        <charset val="136"/>
      </rPr>
      <t>　近</t>
    </r>
    <r>
      <rPr>
        <sz val="16"/>
        <rFont val="Times New Roman"/>
        <family val="1"/>
      </rPr>
      <t>10</t>
    </r>
    <r>
      <rPr>
        <sz val="16"/>
        <rFont val="新細明體"/>
        <family val="1"/>
        <charset val="136"/>
      </rPr>
      <t>年地方檢察署辦理認罪協商案件統計</t>
    </r>
    <phoneticPr fontId="44" type="noConversion"/>
  </si>
  <si>
    <r>
      <rPr>
        <sz val="9"/>
        <rFont val="新細明體"/>
        <family val="1"/>
        <charset val="136"/>
      </rPr>
      <t>單位：人、新臺幣萬元</t>
    </r>
    <phoneticPr fontId="44" type="noConversion"/>
  </si>
  <si>
    <r>
      <rPr>
        <sz val="12"/>
        <rFont val="新細明體"/>
        <family val="1"/>
        <charset val="136"/>
      </rPr>
      <t>執行認罪協商案件裁判確定有罪人數</t>
    </r>
    <phoneticPr fontId="44" type="noConversion"/>
  </si>
  <si>
    <r>
      <rPr>
        <sz val="12"/>
        <rFont val="新細明體"/>
        <family val="1"/>
        <charset val="136"/>
      </rPr>
      <t>被告應遵守指定支付對象及金額</t>
    </r>
    <r>
      <rPr>
        <sz val="12"/>
        <rFont val="Times New Roman"/>
        <family val="1"/>
      </rPr>
      <t>*</t>
    </r>
    <phoneticPr fontId="44" type="noConversion"/>
  </si>
  <si>
    <r>
      <rPr>
        <sz val="12"/>
        <rFont val="新細明體"/>
        <family val="1"/>
        <charset val="136"/>
      </rPr>
      <t>總計</t>
    </r>
    <phoneticPr fontId="44" type="noConversion"/>
  </si>
  <si>
    <r>
      <rPr>
        <sz val="12"/>
        <rFont val="新細明體"/>
        <family val="1"/>
        <charset val="136"/>
      </rPr>
      <t>六月以下</t>
    </r>
    <phoneticPr fontId="44" type="noConversion"/>
  </si>
  <si>
    <r>
      <rPr>
        <sz val="12"/>
        <rFont val="新細明體"/>
        <family val="1"/>
        <charset val="136"/>
      </rPr>
      <t>一年未滿</t>
    </r>
    <r>
      <rPr>
        <sz val="12"/>
        <rFont val="Times New Roman"/>
        <family val="1"/>
      </rPr>
      <t xml:space="preserve">   </t>
    </r>
    <r>
      <rPr>
        <sz val="12"/>
        <rFont val="新細明體"/>
        <family val="1"/>
        <charset val="136"/>
      </rPr>
      <t>逾六月</t>
    </r>
    <phoneticPr fontId="44" type="noConversion"/>
  </si>
  <si>
    <r>
      <rPr>
        <sz val="12"/>
        <rFont val="新細明體"/>
        <family val="1"/>
        <charset val="136"/>
      </rPr>
      <t>二年未滿</t>
    </r>
    <r>
      <rPr>
        <sz val="12"/>
        <rFont val="Times New Roman"/>
        <family val="1"/>
      </rPr>
      <t xml:space="preserve">   </t>
    </r>
    <r>
      <rPr>
        <sz val="12"/>
        <rFont val="新細明體"/>
        <family val="1"/>
        <charset val="136"/>
      </rPr>
      <t>一年以上</t>
    </r>
    <phoneticPr fontId="44" type="noConversion"/>
  </si>
  <si>
    <r>
      <rPr>
        <sz val="12"/>
        <rFont val="新細明體"/>
        <family val="1"/>
        <charset val="136"/>
      </rPr>
      <t>二年以上</t>
    </r>
    <phoneticPr fontId="44" type="noConversion"/>
  </si>
  <si>
    <r>
      <rPr>
        <sz val="12"/>
        <rFont val="新細明體"/>
        <family val="1"/>
        <charset val="136"/>
      </rPr>
      <t>金、免刑
拘役、罰</t>
    </r>
    <phoneticPr fontId="44" type="noConversion"/>
  </si>
  <si>
    <r>
      <rPr>
        <sz val="12"/>
        <rFont val="新細明體"/>
        <family val="1"/>
        <charset val="136"/>
      </rPr>
      <t>國庫</t>
    </r>
    <phoneticPr fontId="44" type="noConversion"/>
  </si>
  <si>
    <r>
      <rPr>
        <sz val="12"/>
        <rFont val="新細明體"/>
        <family val="1"/>
        <charset val="136"/>
      </rPr>
      <t>公益團體</t>
    </r>
    <phoneticPr fontId="44" type="noConversion"/>
  </si>
  <si>
    <r>
      <rPr>
        <sz val="12"/>
        <rFont val="新細明體"/>
        <family val="1"/>
        <charset val="136"/>
      </rPr>
      <t>團體
地方自治</t>
    </r>
    <phoneticPr fontId="44" type="noConversion"/>
  </si>
  <si>
    <t>-</t>
    <phoneticPr fontId="115" type="noConversion"/>
  </si>
  <si>
    <t>-</t>
    <phoneticPr fontId="115" type="noConversion"/>
  </si>
  <si>
    <t>-</t>
    <phoneticPr fontId="115" type="noConversion"/>
  </si>
  <si>
    <t>-</t>
    <phoneticPr fontId="115" type="noConversion"/>
  </si>
  <si>
    <r>
      <rPr>
        <sz val="10"/>
        <rFont val="新細明體"/>
        <family val="1"/>
        <charset val="136"/>
      </rPr>
      <t>說明明明：</t>
    </r>
    <r>
      <rPr>
        <sz val="10"/>
        <rFont val="Times New Roman"/>
        <family val="1"/>
      </rPr>
      <t>1. *</t>
    </r>
    <r>
      <rPr>
        <sz val="10"/>
        <rFont val="新細明體"/>
        <family val="1"/>
        <charset val="136"/>
      </rPr>
      <t>係指法院依刑事訴訟法第</t>
    </r>
    <r>
      <rPr>
        <sz val="10"/>
        <rFont val="Times New Roman"/>
        <family val="1"/>
      </rPr>
      <t>455</t>
    </r>
    <r>
      <rPr>
        <sz val="10"/>
        <rFont val="新細明體"/>
        <family val="1"/>
        <charset val="136"/>
      </rPr>
      <t>條之</t>
    </r>
    <r>
      <rPr>
        <sz val="10"/>
        <rFont val="Times New Roman"/>
        <family val="1"/>
      </rPr>
      <t>2</t>
    </r>
    <r>
      <rPr>
        <sz val="10"/>
        <rFont val="新細明體"/>
        <family val="1"/>
        <charset val="136"/>
      </rPr>
      <t>第</t>
    </r>
    <r>
      <rPr>
        <sz val="10"/>
        <rFont val="Times New Roman"/>
        <family val="1"/>
      </rPr>
      <t>1</t>
    </r>
    <r>
      <rPr>
        <sz val="10"/>
        <rFont val="新細明體"/>
        <family val="1"/>
        <charset val="136"/>
      </rPr>
      <t>項第</t>
    </r>
    <r>
      <rPr>
        <sz val="10"/>
        <rFont val="Times New Roman"/>
        <family val="1"/>
      </rPr>
      <t>4</t>
    </r>
    <r>
      <rPr>
        <sz val="10"/>
        <rFont val="新細明體"/>
        <family val="1"/>
        <charset val="136"/>
      </rPr>
      <t>款規定，判決被告向指定團體支付之金額。</t>
    </r>
    <phoneticPr fontId="44" type="noConversion"/>
  </si>
  <si>
    <r>
      <rPr>
        <sz val="10"/>
        <color indexed="9"/>
        <rFont val="新細明體"/>
        <family val="1"/>
        <charset val="136"/>
      </rPr>
      <t>說明明明：</t>
    </r>
    <r>
      <rPr>
        <sz val="10"/>
        <rFont val="Times New Roman"/>
        <family val="1"/>
      </rPr>
      <t>2. 103</t>
    </r>
    <r>
      <rPr>
        <sz val="10"/>
        <rFont val="新細明體"/>
        <family val="1"/>
        <charset val="136"/>
      </rPr>
      <t>年</t>
    </r>
    <r>
      <rPr>
        <sz val="10"/>
        <rFont val="Times New Roman"/>
        <family val="1"/>
      </rPr>
      <t>6</t>
    </r>
    <r>
      <rPr>
        <sz val="10"/>
        <rFont val="新細明體"/>
        <family val="1"/>
        <charset val="136"/>
      </rPr>
      <t>月</t>
    </r>
    <r>
      <rPr>
        <sz val="10"/>
        <rFont val="Times New Roman"/>
        <family val="1"/>
      </rPr>
      <t>4</t>
    </r>
    <r>
      <rPr>
        <sz val="10"/>
        <rFont val="新細明體"/>
        <family val="1"/>
        <charset val="136"/>
      </rPr>
      <t>日修正公布刑事訴訟法第</t>
    </r>
    <r>
      <rPr>
        <sz val="10"/>
        <rFont val="Times New Roman"/>
        <family val="1"/>
      </rPr>
      <t>455</t>
    </r>
    <r>
      <rPr>
        <sz val="10"/>
        <rFont val="新細明體"/>
        <family val="1"/>
        <charset val="136"/>
      </rPr>
      <t>條之</t>
    </r>
    <r>
      <rPr>
        <sz val="10"/>
        <rFont val="Times New Roman"/>
        <family val="1"/>
      </rPr>
      <t>2</t>
    </r>
    <r>
      <rPr>
        <sz val="10"/>
        <rFont val="新細明體"/>
        <family val="1"/>
        <charset val="136"/>
      </rPr>
      <t>條文，認罪協商金之支付對象由公庫、公益團體及地方自治團體，改僅限於</t>
    </r>
    <phoneticPr fontId="44" type="noConversion"/>
  </si>
  <si>
    <r>
      <rPr>
        <sz val="10"/>
        <color indexed="9"/>
        <rFont val="新細明體"/>
        <family val="1"/>
        <charset val="136"/>
      </rPr>
      <t>說明明明：</t>
    </r>
    <r>
      <rPr>
        <sz val="10"/>
        <color indexed="9"/>
        <rFont val="Times New Roman"/>
        <family val="1"/>
      </rPr>
      <t xml:space="preserve">2. </t>
    </r>
    <r>
      <rPr>
        <sz val="10"/>
        <rFont val="新細明體"/>
        <family val="1"/>
        <charset val="136"/>
      </rPr>
      <t>公庫；尚未確定案件（例如：上訴中），則仍依確定時點及原指定支付對象納入統計。</t>
    </r>
    <phoneticPr fontId="44" type="noConversion"/>
  </si>
  <si>
    <r>
      <rPr>
        <sz val="15"/>
        <rFont val="新細明體"/>
        <family val="1"/>
        <charset val="136"/>
      </rPr>
      <t>表</t>
    </r>
    <r>
      <rPr>
        <sz val="15"/>
        <rFont val="Times New Roman"/>
        <family val="1"/>
      </rPr>
      <t xml:space="preserve">2-2-7   </t>
    </r>
    <r>
      <rPr>
        <sz val="15"/>
        <rFont val="新細明體"/>
        <family val="1"/>
        <charset val="136"/>
      </rPr>
      <t>近</t>
    </r>
    <r>
      <rPr>
        <sz val="15"/>
        <rFont val="Times New Roman"/>
        <family val="1"/>
      </rPr>
      <t>10</t>
    </r>
    <r>
      <rPr>
        <sz val="15"/>
        <rFont val="新細明體"/>
        <family val="1"/>
        <charset val="136"/>
      </rPr>
      <t>年地方檢察署執行裁判確定案件中宣告緩刑人數及緩刑期間</t>
    </r>
    <phoneticPr fontId="44" type="noConversion"/>
  </si>
  <si>
    <r>
      <rPr>
        <sz val="12"/>
        <rFont val="新細明體"/>
        <family val="1"/>
        <charset val="136"/>
      </rPr>
      <t>總</t>
    </r>
    <r>
      <rPr>
        <sz val="12"/>
        <rFont val="Times New Roman"/>
        <family val="1"/>
      </rPr>
      <t xml:space="preserve">       </t>
    </r>
    <r>
      <rPr>
        <sz val="12"/>
        <rFont val="新細明體"/>
        <family val="1"/>
        <charset val="136"/>
      </rPr>
      <t>計</t>
    </r>
    <phoneticPr fontId="44" type="noConversion"/>
  </si>
  <si>
    <r>
      <rPr>
        <sz val="12"/>
        <rFont val="新細明體"/>
        <family val="1"/>
        <charset val="136"/>
      </rPr>
      <t>緩</t>
    </r>
    <r>
      <rPr>
        <sz val="12"/>
        <rFont val="Times New Roman"/>
        <family val="1"/>
      </rPr>
      <t xml:space="preserve">           </t>
    </r>
    <r>
      <rPr>
        <sz val="12"/>
        <rFont val="新細明體"/>
        <family val="1"/>
        <charset val="136"/>
      </rPr>
      <t>刑</t>
    </r>
    <r>
      <rPr>
        <sz val="12"/>
        <rFont val="Times New Roman"/>
        <family val="1"/>
      </rPr>
      <t xml:space="preserve">            </t>
    </r>
    <r>
      <rPr>
        <sz val="12"/>
        <rFont val="新細明體"/>
        <family val="1"/>
        <charset val="136"/>
      </rPr>
      <t>期</t>
    </r>
    <r>
      <rPr>
        <sz val="12"/>
        <rFont val="Times New Roman"/>
        <family val="1"/>
      </rPr>
      <t xml:space="preserve">            </t>
    </r>
    <r>
      <rPr>
        <sz val="12"/>
        <rFont val="新細明體"/>
        <family val="1"/>
        <charset val="136"/>
      </rPr>
      <t>間</t>
    </r>
    <phoneticPr fontId="44" type="noConversion"/>
  </si>
  <si>
    <r>
      <rPr>
        <sz val="12"/>
        <rFont val="新細明體"/>
        <family val="1"/>
        <charset val="136"/>
      </rPr>
      <t>二</t>
    </r>
    <r>
      <rPr>
        <sz val="12"/>
        <rFont val="Times New Roman"/>
        <family val="1"/>
      </rPr>
      <t xml:space="preserve">       </t>
    </r>
    <r>
      <rPr>
        <sz val="12"/>
        <rFont val="新細明體"/>
        <family val="1"/>
        <charset val="136"/>
      </rPr>
      <t>年</t>
    </r>
    <phoneticPr fontId="44" type="noConversion"/>
  </si>
  <si>
    <r>
      <rPr>
        <sz val="12"/>
        <rFont val="新細明體"/>
        <family val="1"/>
        <charset val="136"/>
      </rPr>
      <t>三</t>
    </r>
    <r>
      <rPr>
        <sz val="12"/>
        <rFont val="Times New Roman"/>
        <family val="1"/>
      </rPr>
      <t xml:space="preserve">       </t>
    </r>
    <r>
      <rPr>
        <sz val="12"/>
        <rFont val="新細明體"/>
        <family val="1"/>
        <charset val="136"/>
      </rPr>
      <t>年</t>
    </r>
    <phoneticPr fontId="44" type="noConversion"/>
  </si>
  <si>
    <r>
      <rPr>
        <sz val="12"/>
        <rFont val="新細明體"/>
        <family val="1"/>
        <charset val="136"/>
      </rPr>
      <t>四</t>
    </r>
    <r>
      <rPr>
        <sz val="12"/>
        <rFont val="Times New Roman"/>
        <family val="1"/>
      </rPr>
      <t xml:space="preserve">      </t>
    </r>
    <r>
      <rPr>
        <sz val="12"/>
        <rFont val="新細明體"/>
        <family val="1"/>
        <charset val="136"/>
      </rPr>
      <t>年</t>
    </r>
    <phoneticPr fontId="44" type="noConversion"/>
  </si>
  <si>
    <r>
      <rPr>
        <sz val="12"/>
        <rFont val="新細明體"/>
        <family val="1"/>
        <charset val="136"/>
      </rPr>
      <t>五</t>
    </r>
    <r>
      <rPr>
        <sz val="12"/>
        <rFont val="Times New Roman"/>
        <family val="1"/>
      </rPr>
      <t xml:space="preserve">     </t>
    </r>
    <r>
      <rPr>
        <sz val="12"/>
        <rFont val="新細明體"/>
        <family val="1"/>
        <charset val="136"/>
      </rPr>
      <t>年</t>
    </r>
    <phoneticPr fontId="44" type="noConversion"/>
  </si>
  <si>
    <r>
      <rPr>
        <sz val="12"/>
        <rFont val="新細明體"/>
        <family val="1"/>
        <charset val="136"/>
      </rPr>
      <t>人</t>
    </r>
    <phoneticPr fontId="44" type="noConversion"/>
  </si>
  <si>
    <r>
      <rPr>
        <sz val="12"/>
        <rFont val="新細明體"/>
        <family val="1"/>
        <charset val="136"/>
      </rPr>
      <t>人</t>
    </r>
    <phoneticPr fontId="44" type="noConversion"/>
  </si>
  <si>
    <r>
      <rPr>
        <sz val="12"/>
        <rFont val="新細明體"/>
        <family val="1"/>
        <charset val="136"/>
      </rPr>
      <t>人</t>
    </r>
    <phoneticPr fontId="44" type="noConversion"/>
  </si>
  <si>
    <r>
      <rPr>
        <sz val="12"/>
        <rFont val="新細明體"/>
        <family val="1"/>
        <charset val="136"/>
      </rPr>
      <t>人</t>
    </r>
    <phoneticPr fontId="44" type="noConversion"/>
  </si>
  <si>
    <r>
      <rPr>
        <sz val="10"/>
        <rFont val="新細明體"/>
        <family val="1"/>
        <charset val="136"/>
      </rPr>
      <t>資料來源：法務部統計處</t>
    </r>
    <phoneticPr fontId="44" type="noConversion"/>
  </si>
  <si>
    <r>
      <rPr>
        <sz val="15"/>
        <rFont val="新細明體"/>
        <family val="1"/>
        <charset val="136"/>
      </rPr>
      <t>表</t>
    </r>
    <r>
      <rPr>
        <sz val="15"/>
        <rFont val="Times New Roman"/>
        <family val="1"/>
      </rPr>
      <t>2-2-8</t>
    </r>
    <r>
      <rPr>
        <sz val="15"/>
        <rFont val="新細明體"/>
        <family val="1"/>
        <charset val="136"/>
      </rPr>
      <t>　近</t>
    </r>
    <r>
      <rPr>
        <sz val="15"/>
        <rFont val="Times New Roman"/>
        <family val="1"/>
      </rPr>
      <t>10</t>
    </r>
    <r>
      <rPr>
        <sz val="15"/>
        <rFont val="新細明體"/>
        <family val="1"/>
        <charset val="136"/>
      </rPr>
      <t>年地方檢察署執行裁判確定案件中受緩刑宣告者之原判決刑名</t>
    </r>
    <phoneticPr fontId="44" type="noConversion"/>
  </si>
  <si>
    <r>
      <rPr>
        <sz val="12"/>
        <rFont val="新細明體"/>
        <family val="1"/>
        <charset val="136"/>
      </rPr>
      <t>總</t>
    </r>
    <r>
      <rPr>
        <sz val="12"/>
        <rFont val="Times New Roman"/>
        <family val="1"/>
      </rPr>
      <t xml:space="preserve">       </t>
    </r>
    <r>
      <rPr>
        <sz val="12"/>
        <rFont val="新細明體"/>
        <family val="1"/>
        <charset val="136"/>
      </rPr>
      <t>計</t>
    </r>
    <phoneticPr fontId="44" type="noConversion"/>
  </si>
  <si>
    <r>
      <rPr>
        <sz val="12"/>
        <rFont val="新細明體"/>
        <family val="1"/>
        <charset val="136"/>
      </rPr>
      <t>原判決刑名</t>
    </r>
    <phoneticPr fontId="44" type="noConversion"/>
  </si>
  <si>
    <r>
      <rPr>
        <sz val="12"/>
        <rFont val="新細明體"/>
        <family val="1"/>
        <charset val="136"/>
      </rPr>
      <t>有期徒刑</t>
    </r>
    <phoneticPr fontId="44" type="noConversion"/>
  </si>
  <si>
    <r>
      <rPr>
        <sz val="12"/>
        <rFont val="新細明體"/>
        <family val="1"/>
        <charset val="136"/>
      </rPr>
      <t>拘</t>
    </r>
    <r>
      <rPr>
        <sz val="12"/>
        <rFont val="Times New Roman"/>
        <family val="1"/>
      </rPr>
      <t xml:space="preserve">     </t>
    </r>
    <r>
      <rPr>
        <sz val="12"/>
        <rFont val="新細明體"/>
        <family val="1"/>
        <charset val="136"/>
      </rPr>
      <t>役</t>
    </r>
    <phoneticPr fontId="44" type="noConversion"/>
  </si>
  <si>
    <r>
      <rPr>
        <sz val="12"/>
        <rFont val="新細明體"/>
        <family val="1"/>
        <charset val="136"/>
      </rPr>
      <t>罰</t>
    </r>
    <r>
      <rPr>
        <sz val="12"/>
        <rFont val="Times New Roman"/>
        <family val="1"/>
      </rPr>
      <t xml:space="preserve">     </t>
    </r>
    <r>
      <rPr>
        <sz val="12"/>
        <rFont val="新細明體"/>
        <family val="1"/>
        <charset val="136"/>
      </rPr>
      <t>金</t>
    </r>
    <phoneticPr fontId="44" type="noConversion"/>
  </si>
  <si>
    <r>
      <rPr>
        <sz val="12"/>
        <rFont val="新細明體"/>
        <family val="1"/>
        <charset val="136"/>
      </rPr>
      <t>二</t>
    </r>
    <r>
      <rPr>
        <sz val="12"/>
        <rFont val="Times New Roman"/>
        <family val="1"/>
      </rPr>
      <t xml:space="preserve">   </t>
    </r>
    <r>
      <rPr>
        <sz val="12"/>
        <rFont val="新細明體"/>
        <family val="1"/>
        <charset val="136"/>
      </rPr>
      <t>年</t>
    </r>
    <r>
      <rPr>
        <sz val="12"/>
        <rFont val="Times New Roman"/>
        <family val="1"/>
      </rPr>
      <t xml:space="preserve">   </t>
    </r>
    <r>
      <rPr>
        <sz val="12"/>
        <rFont val="新細明體"/>
        <family val="1"/>
        <charset val="136"/>
      </rPr>
      <t>以</t>
    </r>
    <r>
      <rPr>
        <sz val="12"/>
        <rFont val="Times New Roman"/>
        <family val="1"/>
      </rPr>
      <t xml:space="preserve">  </t>
    </r>
    <r>
      <rPr>
        <sz val="12"/>
        <rFont val="新細明體"/>
        <family val="1"/>
        <charset val="136"/>
      </rPr>
      <t>下</t>
    </r>
    <phoneticPr fontId="44" type="noConversion"/>
  </si>
  <si>
    <r>
      <rPr>
        <sz val="12"/>
        <rFont val="新細明體"/>
        <family val="1"/>
        <charset val="136"/>
      </rPr>
      <t>逾二年三年以下</t>
    </r>
    <r>
      <rPr>
        <sz val="12"/>
        <rFont val="Times New Roman"/>
        <family val="1"/>
      </rPr>
      <t xml:space="preserve"> </t>
    </r>
    <phoneticPr fontId="44" type="noConversion"/>
  </si>
  <si>
    <r>
      <t>99</t>
    </r>
    <r>
      <rPr>
        <sz val="12"/>
        <rFont val="新細明體"/>
        <family val="1"/>
        <charset val="136"/>
      </rPr>
      <t>年</t>
    </r>
    <phoneticPr fontId="44" type="noConversion"/>
  </si>
  <si>
    <r>
      <rPr>
        <sz val="12"/>
        <rFont val="新細明體"/>
        <family val="1"/>
        <charset val="136"/>
      </rPr>
      <t>人</t>
    </r>
    <phoneticPr fontId="44" type="noConversion"/>
  </si>
  <si>
    <r>
      <rPr>
        <sz val="12"/>
        <rFont val="新細明體"/>
        <family val="1"/>
        <charset val="136"/>
      </rPr>
      <t>人</t>
    </r>
    <phoneticPr fontId="44" type="noConversion"/>
  </si>
  <si>
    <r>
      <rPr>
        <sz val="12"/>
        <rFont val="新細明體"/>
        <family val="1"/>
        <charset val="136"/>
      </rPr>
      <t>人</t>
    </r>
    <phoneticPr fontId="44" type="noConversion"/>
  </si>
  <si>
    <r>
      <rPr>
        <sz val="12"/>
        <rFont val="新細明體"/>
        <family val="1"/>
        <charset val="136"/>
      </rPr>
      <t>人</t>
    </r>
    <phoneticPr fontId="44" type="noConversion"/>
  </si>
  <si>
    <r>
      <rPr>
        <sz val="10"/>
        <rFont val="新細明體"/>
        <family val="1"/>
        <charset val="136"/>
      </rPr>
      <t>資料來源：法務部統計處</t>
    </r>
    <phoneticPr fontId="44" type="noConversion"/>
  </si>
  <si>
    <r>
      <t xml:space="preserve">  </t>
    </r>
    <r>
      <rPr>
        <sz val="15"/>
        <rFont val="新細明體"/>
        <family val="1"/>
        <charset val="136"/>
      </rPr>
      <t>表</t>
    </r>
    <r>
      <rPr>
        <sz val="15"/>
        <rFont val="Times New Roman"/>
        <family val="1"/>
      </rPr>
      <t xml:space="preserve">2-2-9   </t>
    </r>
    <r>
      <rPr>
        <sz val="15"/>
        <rFont val="新細明體"/>
        <family val="1"/>
        <charset val="136"/>
      </rPr>
      <t>近</t>
    </r>
    <r>
      <rPr>
        <sz val="15"/>
        <rFont val="Times New Roman"/>
        <family val="1"/>
      </rPr>
      <t>10</t>
    </r>
    <r>
      <rPr>
        <sz val="15"/>
        <rFont val="新細明體"/>
        <family val="1"/>
        <charset val="136"/>
      </rPr>
      <t>年地方檢察署執行裁判確定案件中受緩刑宣告人數及撤銷緩刑原因</t>
    </r>
    <phoneticPr fontId="44" type="noConversion"/>
  </si>
  <si>
    <r>
      <rPr>
        <sz val="11"/>
        <rFont val="新細明體"/>
        <family val="1"/>
        <charset val="136"/>
      </rPr>
      <t>單位：人</t>
    </r>
    <phoneticPr fontId="44" type="noConversion"/>
  </si>
  <si>
    <r>
      <rPr>
        <sz val="12"/>
        <rFont val="新細明體"/>
        <family val="1"/>
        <charset val="136"/>
      </rPr>
      <t>受緩刑宣告人數</t>
    </r>
    <phoneticPr fontId="44" type="noConversion"/>
  </si>
  <si>
    <r>
      <rPr>
        <sz val="12"/>
        <rFont val="新細明體"/>
        <family val="1"/>
        <charset val="136"/>
      </rPr>
      <t>撤銷緩刑宣告人數</t>
    </r>
    <phoneticPr fontId="44" type="noConversion"/>
  </si>
  <si>
    <r>
      <rPr>
        <sz val="12"/>
        <rFont val="新細明體"/>
        <family val="1"/>
        <charset val="136"/>
      </rPr>
      <t>撤</t>
    </r>
    <r>
      <rPr>
        <sz val="12"/>
        <rFont val="Times New Roman"/>
        <family val="1"/>
      </rPr>
      <t xml:space="preserve">     </t>
    </r>
    <r>
      <rPr>
        <sz val="12"/>
        <rFont val="新細明體"/>
        <family val="1"/>
        <charset val="136"/>
      </rPr>
      <t>銷</t>
    </r>
    <r>
      <rPr>
        <sz val="12"/>
        <rFont val="Times New Roman"/>
        <family val="1"/>
      </rPr>
      <t xml:space="preserve">     </t>
    </r>
    <r>
      <rPr>
        <sz val="12"/>
        <rFont val="新細明體"/>
        <family val="1"/>
        <charset val="136"/>
      </rPr>
      <t>緩</t>
    </r>
    <r>
      <rPr>
        <sz val="12"/>
        <rFont val="Times New Roman"/>
        <family val="1"/>
      </rPr>
      <t xml:space="preserve">     </t>
    </r>
    <r>
      <rPr>
        <sz val="12"/>
        <rFont val="新細明體"/>
        <family val="1"/>
        <charset val="136"/>
      </rPr>
      <t>刑</t>
    </r>
    <r>
      <rPr>
        <sz val="12"/>
        <rFont val="Times New Roman"/>
        <family val="1"/>
      </rPr>
      <t xml:space="preserve">     </t>
    </r>
    <r>
      <rPr>
        <sz val="12"/>
        <rFont val="新細明體"/>
        <family val="1"/>
        <charset val="136"/>
      </rPr>
      <t>原</t>
    </r>
    <r>
      <rPr>
        <sz val="12"/>
        <rFont val="Times New Roman"/>
        <family val="1"/>
      </rPr>
      <t xml:space="preserve">     </t>
    </r>
    <r>
      <rPr>
        <sz val="12"/>
        <rFont val="新細明體"/>
        <family val="1"/>
        <charset val="136"/>
      </rPr>
      <t>因</t>
    </r>
    <phoneticPr fontId="44" type="noConversion"/>
  </si>
  <si>
    <r>
      <rPr>
        <sz val="12"/>
        <rFont val="新細明體"/>
        <family val="1"/>
        <charset val="136"/>
      </rPr>
      <t>總計</t>
    </r>
    <phoneticPr fontId="135" type="noConversion"/>
  </si>
  <si>
    <r>
      <rPr>
        <sz val="12"/>
        <rFont val="新細明體"/>
        <family val="1"/>
        <charset val="136"/>
      </rPr>
      <t>刑法犯
普通</t>
    </r>
    <phoneticPr fontId="135" type="noConversion"/>
  </si>
  <si>
    <r>
      <rPr>
        <sz val="12"/>
        <rFont val="新細明體"/>
        <family val="1"/>
        <charset val="136"/>
      </rPr>
      <t>刑法犯
特別</t>
    </r>
    <phoneticPr fontId="135" type="noConversion"/>
  </si>
  <si>
    <r>
      <rPr>
        <sz val="12"/>
        <rFont val="新細明體"/>
        <family val="1"/>
        <charset val="136"/>
      </rPr>
      <t>刑法犯
普通</t>
    </r>
    <phoneticPr fontId="135" type="noConversion"/>
  </si>
  <si>
    <r>
      <rPr>
        <sz val="9.5"/>
        <rFont val="新細明體"/>
        <family val="1"/>
        <charset val="136"/>
      </rPr>
      <t>總計</t>
    </r>
    <phoneticPr fontId="135" type="noConversion"/>
  </si>
  <si>
    <r>
      <rPr>
        <sz val="9.5"/>
        <rFont val="新細明體"/>
        <family val="1"/>
        <charset val="136"/>
      </rPr>
      <t>第一項第一款
刑法第七十五條</t>
    </r>
    <phoneticPr fontId="135" type="noConversion"/>
  </si>
  <si>
    <r>
      <rPr>
        <sz val="9.5"/>
        <rFont val="新細明體"/>
        <family val="1"/>
        <charset val="136"/>
      </rPr>
      <t>第一項第二款
刑法第七十五條</t>
    </r>
    <phoneticPr fontId="135" type="noConversion"/>
  </si>
  <si>
    <r>
      <rPr>
        <sz val="8"/>
        <rFont val="新細明體"/>
        <family val="1"/>
        <charset val="136"/>
      </rPr>
      <t>之一第一項第一款
刑法第七十五條</t>
    </r>
    <phoneticPr fontId="135" type="noConversion"/>
  </si>
  <si>
    <r>
      <rPr>
        <sz val="8"/>
        <rFont val="新細明體"/>
        <family val="1"/>
        <charset val="136"/>
      </rPr>
      <t>之一第一項第二款
刑法第七十五條</t>
    </r>
    <phoneticPr fontId="135" type="noConversion"/>
  </si>
  <si>
    <r>
      <rPr>
        <sz val="8"/>
        <rFont val="新細明體"/>
        <family val="1"/>
        <charset val="136"/>
      </rPr>
      <t>之一第一項第三款
刑法第七十五條</t>
    </r>
    <phoneticPr fontId="135" type="noConversion"/>
  </si>
  <si>
    <r>
      <rPr>
        <sz val="8"/>
        <rFont val="新細明體"/>
        <family val="1"/>
        <charset val="136"/>
      </rPr>
      <t>之一第一項第四款
刑法第七十五條</t>
    </r>
    <phoneticPr fontId="135" type="noConversion"/>
  </si>
  <si>
    <r>
      <rPr>
        <sz val="8"/>
        <rFont val="新細明體"/>
        <family val="1"/>
        <charset val="136"/>
      </rPr>
      <t>情節重大
應遵守事項
違反保護管束</t>
    </r>
    <phoneticPr fontId="135" type="noConversion"/>
  </si>
  <si>
    <r>
      <rPr>
        <sz val="10"/>
        <rFont val="新細明體"/>
        <family val="1"/>
        <charset val="136"/>
      </rPr>
      <t>資料來源：</t>
    </r>
    <r>
      <rPr>
        <sz val="10"/>
        <rFont val="新細明體"/>
        <family val="1"/>
        <charset val="136"/>
      </rPr>
      <t>法務部統計處</t>
    </r>
    <phoneticPr fontId="44" type="noConversion"/>
  </si>
  <si>
    <r>
      <rPr>
        <sz val="10"/>
        <rFont val="新細明體"/>
        <family val="1"/>
        <charset val="136"/>
      </rPr>
      <t>說　　明：受緩刑宣告人數與撤銷緩刑宣告人數非源於同一母數，不宜相互比較。</t>
    </r>
    <phoneticPr fontId="115" type="noConversion"/>
  </si>
  <si>
    <r>
      <rPr>
        <sz val="15"/>
        <rFont val="新細明體"/>
        <family val="1"/>
        <charset val="136"/>
      </rPr>
      <t>表</t>
    </r>
    <r>
      <rPr>
        <sz val="15"/>
        <rFont val="Times New Roman"/>
        <family val="1"/>
      </rPr>
      <t>2-2-10</t>
    </r>
    <r>
      <rPr>
        <sz val="15"/>
        <rFont val="新細明體"/>
        <family val="1"/>
        <charset val="136"/>
      </rPr>
      <t>　近</t>
    </r>
    <r>
      <rPr>
        <sz val="15"/>
        <rFont val="Times New Roman"/>
        <family val="1"/>
      </rPr>
      <t>10</t>
    </r>
    <r>
      <rPr>
        <sz val="15"/>
        <rFont val="新細明體"/>
        <family val="1"/>
        <charset val="136"/>
      </rPr>
      <t>年地方檢察署執行裁判確定情形</t>
    </r>
    <phoneticPr fontId="143" type="noConversion"/>
  </si>
  <si>
    <r>
      <rPr>
        <sz val="14"/>
        <rFont val="新細明體"/>
        <family val="1"/>
        <charset val="136"/>
      </rPr>
      <t>單位：人</t>
    </r>
    <phoneticPr fontId="143" type="noConversion"/>
  </si>
  <si>
    <r>
      <rPr>
        <sz val="14"/>
        <rFont val="新細明體"/>
        <family val="1"/>
        <charset val="136"/>
      </rPr>
      <t>總計</t>
    </r>
    <phoneticPr fontId="44" type="noConversion"/>
  </si>
  <si>
    <r>
      <rPr>
        <sz val="14"/>
        <rFont val="新細明體"/>
        <family val="1"/>
        <charset val="136"/>
      </rPr>
      <t>科　　　　　　　　　　　刑</t>
    </r>
  </si>
  <si>
    <r>
      <rPr>
        <sz val="14"/>
        <rFont val="新細明體"/>
        <family val="1"/>
        <charset val="136"/>
      </rPr>
      <t>免刑</t>
    </r>
  </si>
  <si>
    <r>
      <rPr>
        <sz val="14"/>
        <rFont val="新細明體"/>
        <family val="1"/>
        <charset val="136"/>
      </rPr>
      <t>無罪</t>
    </r>
  </si>
  <si>
    <r>
      <rPr>
        <sz val="14"/>
        <rFont val="新細明體"/>
        <family val="1"/>
        <charset val="136"/>
      </rPr>
      <t>免訴</t>
    </r>
  </si>
  <si>
    <r>
      <rPr>
        <sz val="14"/>
        <rFont val="新細明體"/>
        <family val="1"/>
        <charset val="136"/>
      </rPr>
      <t>不受理</t>
    </r>
    <phoneticPr fontId="143" type="noConversion"/>
  </si>
  <si>
    <r>
      <rPr>
        <sz val="14"/>
        <rFont val="新細明體"/>
        <family val="1"/>
        <charset val="136"/>
      </rPr>
      <t>其他</t>
    </r>
  </si>
  <si>
    <r>
      <rPr>
        <sz val="14"/>
        <rFont val="新細明體"/>
        <family val="1"/>
        <charset val="136"/>
      </rPr>
      <t>死刑</t>
    </r>
    <phoneticPr fontId="44" type="noConversion"/>
  </si>
  <si>
    <r>
      <rPr>
        <sz val="14"/>
        <rFont val="新細明體"/>
        <family val="1"/>
        <charset val="136"/>
      </rPr>
      <t>徒刑
無期</t>
    </r>
    <phoneticPr fontId="44" type="noConversion"/>
  </si>
  <si>
    <r>
      <rPr>
        <sz val="14"/>
        <rFont val="新細明體"/>
        <family val="1"/>
        <charset val="136"/>
      </rPr>
      <t>徒刑
有期</t>
    </r>
    <phoneticPr fontId="44" type="noConversion"/>
  </si>
  <si>
    <r>
      <rPr>
        <sz val="14"/>
        <rFont val="新細明體"/>
        <family val="1"/>
        <charset val="136"/>
      </rPr>
      <t>拘役</t>
    </r>
    <phoneticPr fontId="44" type="noConversion"/>
  </si>
  <si>
    <r>
      <rPr>
        <sz val="14"/>
        <rFont val="新細明體"/>
        <family val="1"/>
        <charset val="136"/>
      </rPr>
      <t>罰金</t>
    </r>
    <phoneticPr fontId="44" type="noConversion"/>
  </si>
  <si>
    <r>
      <t>100年</t>
    </r>
    <r>
      <rPr>
        <sz val="14"/>
        <rFont val="新細明體"/>
        <family val="1"/>
        <charset val="136"/>
      </rPr>
      <t/>
    </r>
  </si>
  <si>
    <r>
      <t>101年</t>
    </r>
    <r>
      <rPr>
        <sz val="14"/>
        <rFont val="新細明體"/>
        <family val="1"/>
        <charset val="136"/>
      </rPr>
      <t/>
    </r>
  </si>
  <si>
    <r>
      <t>102年</t>
    </r>
    <r>
      <rPr>
        <sz val="14"/>
        <rFont val="新細明體"/>
        <family val="1"/>
        <charset val="136"/>
      </rPr>
      <t/>
    </r>
  </si>
  <si>
    <r>
      <t>103年</t>
    </r>
    <r>
      <rPr>
        <sz val="14"/>
        <rFont val="新細明體"/>
        <family val="1"/>
        <charset val="136"/>
      </rPr>
      <t/>
    </r>
  </si>
  <si>
    <r>
      <t>104年</t>
    </r>
    <r>
      <rPr>
        <sz val="14"/>
        <rFont val="新細明體"/>
        <family val="1"/>
        <charset val="136"/>
      </rPr>
      <t/>
    </r>
  </si>
  <si>
    <r>
      <t>105年</t>
    </r>
    <r>
      <rPr>
        <sz val="14"/>
        <rFont val="新細明體"/>
        <family val="1"/>
        <charset val="136"/>
      </rPr>
      <t/>
    </r>
  </si>
  <si>
    <r>
      <t>106年</t>
    </r>
    <r>
      <rPr>
        <sz val="14"/>
        <rFont val="新細明體"/>
        <family val="1"/>
        <charset val="136"/>
      </rPr>
      <t/>
    </r>
  </si>
  <si>
    <r>
      <t>107年</t>
    </r>
    <r>
      <rPr>
        <sz val="14"/>
        <rFont val="新細明體"/>
        <family val="1"/>
        <charset val="136"/>
      </rPr>
      <t/>
    </r>
  </si>
  <si>
    <r>
      <t>108年</t>
    </r>
    <r>
      <rPr>
        <sz val="14"/>
        <rFont val="新細明體"/>
        <family val="1"/>
        <charset val="136"/>
      </rPr>
      <t/>
    </r>
  </si>
  <si>
    <t>-</t>
    <phoneticPr fontId="115" type="noConversion"/>
  </si>
  <si>
    <r>
      <rPr>
        <sz val="10"/>
        <rFont val="新細明體"/>
        <family val="1"/>
        <charset val="136"/>
      </rPr>
      <t>資料來源：法務部統計處</t>
    </r>
    <phoneticPr fontId="143" type="noConversion"/>
  </si>
  <si>
    <r>
      <rPr>
        <sz val="10"/>
        <rFont val="新細明體"/>
        <family val="1"/>
        <charset val="136"/>
      </rPr>
      <t>說　　明：</t>
    </r>
    <r>
      <rPr>
        <sz val="10"/>
        <rFont val="Times New Roman"/>
        <family val="1"/>
      </rPr>
      <t xml:space="preserve">1. </t>
    </r>
    <r>
      <rPr>
        <sz val="10"/>
        <rFont val="新細明體"/>
        <family val="1"/>
        <charset val="136"/>
      </rPr>
      <t>本表死刑人數係法院判決確定移送檢察機關執行後所發還案件資料，與實際執行數有時間差距。詳確資料參閱監獄受刑人死刑之宣告</t>
    </r>
    <phoneticPr fontId="143" type="noConversion"/>
  </si>
  <si>
    <r>
      <rPr>
        <sz val="10"/>
        <rFont val="新細明體"/>
        <family val="1"/>
        <charset val="136"/>
      </rPr>
      <t>　　　　　　或死刑執行人數。</t>
    </r>
    <phoneticPr fontId="143" type="noConversion"/>
  </si>
  <si>
    <r>
      <rPr>
        <sz val="10"/>
        <rFont val="新細明體"/>
        <family val="1"/>
        <charset val="136"/>
      </rPr>
      <t>　　　　　</t>
    </r>
    <r>
      <rPr>
        <sz val="10"/>
        <rFont val="Times New Roman"/>
        <family val="1"/>
      </rPr>
      <t xml:space="preserve">2. </t>
    </r>
    <r>
      <rPr>
        <sz val="10"/>
        <rFont val="新細明體"/>
        <family val="1"/>
        <charset val="136"/>
      </rPr>
      <t>本表其他欄內包括自訴駁回、管轄錯誤、行為不罰、易以訓誡及撤回等。</t>
    </r>
    <phoneticPr fontId="143" type="noConversion"/>
  </si>
  <si>
    <r>
      <rPr>
        <sz val="15"/>
        <rFont val="新細明體"/>
        <family val="1"/>
        <charset val="136"/>
      </rPr>
      <t>表</t>
    </r>
    <r>
      <rPr>
        <sz val="15"/>
        <rFont val="Times New Roman"/>
        <family val="1"/>
      </rPr>
      <t xml:space="preserve">2-3-1   </t>
    </r>
    <r>
      <rPr>
        <sz val="15"/>
        <rFont val="新細明體"/>
        <family val="1"/>
        <charset val="136"/>
      </rPr>
      <t>近</t>
    </r>
    <r>
      <rPr>
        <sz val="15"/>
        <rFont val="Times New Roman"/>
        <family val="1"/>
      </rPr>
      <t>10</t>
    </r>
    <r>
      <rPr>
        <sz val="15"/>
        <rFont val="新細明體"/>
        <family val="1"/>
        <charset val="136"/>
      </rPr>
      <t>年高等檢察署執行之生命刑罪名</t>
    </r>
    <phoneticPr fontId="44" type="noConversion"/>
  </si>
  <si>
    <r>
      <rPr>
        <sz val="12"/>
        <rFont val="新細明體"/>
        <family val="1"/>
        <charset val="136"/>
      </rPr>
      <t>總計</t>
    </r>
    <phoneticPr fontId="44" type="noConversion"/>
  </si>
  <si>
    <r>
      <rPr>
        <sz val="12"/>
        <rFont val="新細明體"/>
        <family val="1"/>
        <charset val="136"/>
      </rPr>
      <t>性交猥褻殺人
強姦殺人及強制</t>
    </r>
    <r>
      <rPr>
        <sz val="12"/>
        <rFont val="Times New Roman"/>
        <family val="1"/>
      </rPr>
      <t xml:space="preserve"> </t>
    </r>
    <phoneticPr fontId="44" type="noConversion"/>
  </si>
  <si>
    <r>
      <rPr>
        <sz val="12"/>
        <rFont val="新細明體"/>
        <family val="1"/>
        <charset val="136"/>
      </rPr>
      <t>殺人罪</t>
    </r>
    <phoneticPr fontId="44" type="noConversion"/>
  </si>
  <si>
    <r>
      <rPr>
        <sz val="12"/>
        <rFont val="新細明體"/>
        <family val="1"/>
        <charset val="136"/>
      </rPr>
      <t>強盜罪</t>
    </r>
    <phoneticPr fontId="44" type="noConversion"/>
  </si>
  <si>
    <r>
      <rPr>
        <sz val="12"/>
        <rFont val="新細明體"/>
        <family val="1"/>
        <charset val="136"/>
      </rPr>
      <t>擄人勒贖罪</t>
    </r>
    <phoneticPr fontId="44" type="noConversion"/>
  </si>
  <si>
    <r>
      <rPr>
        <sz val="12"/>
        <rFont val="新細明體"/>
        <family val="1"/>
        <charset val="136"/>
      </rPr>
      <t>懲治盜匪條例</t>
    </r>
    <phoneticPr fontId="44" type="noConversion"/>
  </si>
  <si>
    <r>
      <rPr>
        <sz val="12"/>
        <rFont val="新細明體"/>
        <family val="1"/>
        <charset val="136"/>
      </rPr>
      <t>毒品危害防制條例</t>
    </r>
    <phoneticPr fontId="44" type="noConversion"/>
  </si>
  <si>
    <r>
      <t>100年</t>
    </r>
    <r>
      <rPr>
        <sz val="12"/>
        <rFont val="標楷體"/>
        <family val="4"/>
        <charset val="136"/>
      </rPr>
      <t/>
    </r>
  </si>
  <si>
    <r>
      <t>101年</t>
    </r>
    <r>
      <rPr>
        <sz val="12"/>
        <rFont val="標楷體"/>
        <family val="4"/>
        <charset val="136"/>
      </rPr>
      <t/>
    </r>
  </si>
  <si>
    <r>
      <t>102年</t>
    </r>
    <r>
      <rPr>
        <sz val="12"/>
        <rFont val="標楷體"/>
        <family val="4"/>
        <charset val="136"/>
      </rPr>
      <t/>
    </r>
  </si>
  <si>
    <r>
      <t>103年</t>
    </r>
    <r>
      <rPr>
        <sz val="12"/>
        <rFont val="標楷體"/>
        <family val="4"/>
        <charset val="136"/>
      </rPr>
      <t/>
    </r>
  </si>
  <si>
    <r>
      <t>104年</t>
    </r>
    <r>
      <rPr>
        <sz val="12"/>
        <rFont val="標楷體"/>
        <family val="4"/>
        <charset val="136"/>
      </rPr>
      <t/>
    </r>
  </si>
  <si>
    <r>
      <t>105年</t>
    </r>
    <r>
      <rPr>
        <sz val="12"/>
        <rFont val="標楷體"/>
        <family val="4"/>
        <charset val="136"/>
      </rPr>
      <t/>
    </r>
  </si>
  <si>
    <r>
      <t>106年</t>
    </r>
    <r>
      <rPr>
        <sz val="12"/>
        <rFont val="標楷體"/>
        <family val="4"/>
        <charset val="136"/>
      </rPr>
      <t/>
    </r>
  </si>
  <si>
    <t>-</t>
    <phoneticPr fontId="115" type="noConversion"/>
  </si>
  <si>
    <r>
      <t>107年</t>
    </r>
    <r>
      <rPr>
        <sz val="12"/>
        <rFont val="標楷體"/>
        <family val="4"/>
        <charset val="136"/>
      </rPr>
      <t/>
    </r>
  </si>
  <si>
    <r>
      <t>108年</t>
    </r>
    <r>
      <rPr>
        <sz val="12"/>
        <rFont val="標楷體"/>
        <family val="4"/>
        <charset val="136"/>
      </rPr>
      <t/>
    </r>
  </si>
  <si>
    <t>-</t>
    <phoneticPr fontId="115" type="noConversion"/>
  </si>
  <si>
    <r>
      <rPr>
        <sz val="10"/>
        <rFont val="新細明體"/>
        <family val="1"/>
        <charset val="136"/>
      </rPr>
      <t>說</t>
    </r>
    <r>
      <rPr>
        <sz val="10"/>
        <color indexed="9"/>
        <rFont val="新細明體"/>
        <family val="1"/>
        <charset val="136"/>
      </rPr>
      <t>明明</t>
    </r>
    <r>
      <rPr>
        <sz val="10"/>
        <rFont val="新細明體"/>
        <family val="1"/>
        <charset val="136"/>
      </rPr>
      <t>明：毒品危害防制條例包含</t>
    </r>
    <r>
      <rPr>
        <sz val="10"/>
        <rFont val="Times New Roman"/>
        <family val="1"/>
      </rPr>
      <t>87</t>
    </r>
    <r>
      <rPr>
        <sz val="10"/>
        <rFont val="新細明體"/>
        <family val="1"/>
        <charset val="136"/>
      </rPr>
      <t>年</t>
    </r>
    <r>
      <rPr>
        <sz val="10"/>
        <rFont val="Times New Roman"/>
        <family val="1"/>
      </rPr>
      <t>5</t>
    </r>
    <r>
      <rPr>
        <sz val="10"/>
        <rFont val="新細明體"/>
        <family val="1"/>
        <charset val="136"/>
      </rPr>
      <t>月</t>
    </r>
    <r>
      <rPr>
        <sz val="10"/>
        <rFont val="Times New Roman"/>
        <family val="1"/>
      </rPr>
      <t>20</t>
    </r>
    <r>
      <rPr>
        <sz val="10"/>
        <rFont val="新細明體"/>
        <family val="1"/>
        <charset val="136"/>
      </rPr>
      <t>日修正施行前之肅清煙毒條例及麻醉藥品管理條例。</t>
    </r>
    <phoneticPr fontId="44" type="noConversion"/>
  </si>
  <si>
    <r>
      <rPr>
        <sz val="15"/>
        <rFont val="新細明體"/>
        <family val="1"/>
        <charset val="136"/>
      </rPr>
      <t>表</t>
    </r>
    <r>
      <rPr>
        <sz val="15"/>
        <rFont val="Times New Roman"/>
        <family val="1"/>
      </rPr>
      <t xml:space="preserve">2-3-2   </t>
    </r>
    <r>
      <rPr>
        <sz val="15"/>
        <rFont val="新細明體"/>
        <family val="1"/>
        <charset val="136"/>
      </rPr>
      <t>近</t>
    </r>
    <r>
      <rPr>
        <sz val="15"/>
        <rFont val="Times New Roman"/>
        <family val="1"/>
      </rPr>
      <t>10</t>
    </r>
    <r>
      <rPr>
        <sz val="15"/>
        <rFont val="新細明體"/>
        <family val="1"/>
        <charset val="136"/>
      </rPr>
      <t>年地方檢察署已執行自由刑</t>
    </r>
    <phoneticPr fontId="44" type="noConversion"/>
  </si>
  <si>
    <r>
      <rPr>
        <sz val="12"/>
        <rFont val="新細明體"/>
        <family val="1"/>
        <charset val="136"/>
      </rPr>
      <t>總　　　　計</t>
    </r>
    <phoneticPr fontId="44" type="noConversion"/>
  </si>
  <si>
    <r>
      <rPr>
        <sz val="12"/>
        <rFont val="新細明體"/>
        <family val="1"/>
        <charset val="136"/>
      </rPr>
      <t>無</t>
    </r>
    <r>
      <rPr>
        <sz val="12"/>
        <rFont val="Times New Roman"/>
        <family val="1"/>
      </rPr>
      <t xml:space="preserve">  </t>
    </r>
    <r>
      <rPr>
        <sz val="12"/>
        <rFont val="新細明體"/>
        <family val="1"/>
        <charset val="136"/>
      </rPr>
      <t>期</t>
    </r>
    <r>
      <rPr>
        <sz val="12"/>
        <rFont val="Times New Roman"/>
        <family val="1"/>
      </rPr>
      <t xml:space="preserve">  </t>
    </r>
    <r>
      <rPr>
        <sz val="12"/>
        <rFont val="新細明體"/>
        <family val="1"/>
        <charset val="136"/>
      </rPr>
      <t>徒</t>
    </r>
    <r>
      <rPr>
        <sz val="12"/>
        <rFont val="Times New Roman"/>
        <family val="1"/>
      </rPr>
      <t xml:space="preserve"> </t>
    </r>
    <r>
      <rPr>
        <sz val="12"/>
        <rFont val="新細明體"/>
        <family val="1"/>
        <charset val="136"/>
      </rPr>
      <t>刑</t>
    </r>
    <phoneticPr fontId="44" type="noConversion"/>
  </si>
  <si>
    <r>
      <rPr>
        <sz val="12"/>
        <rFont val="新細明體"/>
        <family val="1"/>
        <charset val="136"/>
      </rPr>
      <t>有</t>
    </r>
    <r>
      <rPr>
        <sz val="12"/>
        <rFont val="Times New Roman"/>
        <family val="1"/>
      </rPr>
      <t xml:space="preserve"> </t>
    </r>
    <r>
      <rPr>
        <sz val="12"/>
        <rFont val="新細明體"/>
        <family val="1"/>
        <charset val="136"/>
      </rPr>
      <t>期</t>
    </r>
    <r>
      <rPr>
        <sz val="12"/>
        <rFont val="Times New Roman"/>
        <family val="1"/>
      </rPr>
      <t xml:space="preserve"> </t>
    </r>
    <r>
      <rPr>
        <sz val="12"/>
        <rFont val="新細明體"/>
        <family val="1"/>
        <charset val="136"/>
      </rPr>
      <t>徒</t>
    </r>
    <r>
      <rPr>
        <sz val="12"/>
        <rFont val="Times New Roman"/>
        <family val="1"/>
      </rPr>
      <t xml:space="preserve"> </t>
    </r>
    <r>
      <rPr>
        <sz val="12"/>
        <rFont val="新細明體"/>
        <family val="1"/>
        <charset val="136"/>
      </rPr>
      <t>刑</t>
    </r>
    <phoneticPr fontId="44" type="noConversion"/>
  </si>
  <si>
    <r>
      <rPr>
        <sz val="12"/>
        <rFont val="新細明體"/>
        <family val="1"/>
        <charset val="136"/>
      </rPr>
      <t>拘　　役</t>
    </r>
    <phoneticPr fontId="44" type="noConversion"/>
  </si>
  <si>
    <r>
      <rPr>
        <sz val="12"/>
        <rFont val="新細明體"/>
        <family val="1"/>
        <charset val="136"/>
      </rPr>
      <t>人</t>
    </r>
    <phoneticPr fontId="44" type="noConversion"/>
  </si>
  <si>
    <r>
      <rPr>
        <sz val="12"/>
        <rFont val="新細明體"/>
        <family val="1"/>
        <charset val="136"/>
      </rPr>
      <t>人</t>
    </r>
    <phoneticPr fontId="44" type="noConversion"/>
  </si>
  <si>
    <r>
      <rPr>
        <sz val="12"/>
        <rFont val="新細明體"/>
        <family val="1"/>
        <charset val="136"/>
      </rPr>
      <t>人</t>
    </r>
    <phoneticPr fontId="44" type="noConversion"/>
  </si>
  <si>
    <r>
      <rPr>
        <sz val="10"/>
        <rFont val="新細明體"/>
        <family val="1"/>
        <charset val="136"/>
      </rPr>
      <t>資料來源：</t>
    </r>
    <r>
      <rPr>
        <sz val="10"/>
        <rFont val="Times New Roman"/>
        <family val="1"/>
      </rPr>
      <t xml:space="preserve"> </t>
    </r>
    <r>
      <rPr>
        <sz val="10"/>
        <rFont val="新細明體"/>
        <family val="1"/>
        <charset val="136"/>
      </rPr>
      <t>法務部統計處</t>
    </r>
    <phoneticPr fontId="44" type="noConversion"/>
  </si>
  <si>
    <r>
      <rPr>
        <sz val="15"/>
        <rFont val="新細明體"/>
        <family val="1"/>
        <charset val="136"/>
      </rPr>
      <t>表</t>
    </r>
    <r>
      <rPr>
        <sz val="15"/>
        <rFont val="Times New Roman"/>
        <family val="1"/>
      </rPr>
      <t xml:space="preserve">2-3-3   </t>
    </r>
    <r>
      <rPr>
        <sz val="15"/>
        <rFont val="新細明體"/>
        <family val="1"/>
        <charset val="136"/>
      </rPr>
      <t>近</t>
    </r>
    <r>
      <rPr>
        <sz val="15"/>
        <rFont val="Times New Roman"/>
        <family val="1"/>
      </rPr>
      <t>5</t>
    </r>
    <r>
      <rPr>
        <sz val="15"/>
        <rFont val="新細明體"/>
        <family val="1"/>
        <charset val="136"/>
      </rPr>
      <t>年地方檢察署已執行有期徒刑刑名</t>
    </r>
    <phoneticPr fontId="44" type="noConversion"/>
  </si>
  <si>
    <r>
      <rPr>
        <sz val="12"/>
        <rFont val="新細明體"/>
        <family val="1"/>
        <charset val="136"/>
      </rPr>
      <t>刑　　名</t>
    </r>
    <phoneticPr fontId="44" type="noConversion"/>
  </si>
  <si>
    <r>
      <t>104</t>
    </r>
    <r>
      <rPr>
        <sz val="12"/>
        <rFont val="新細明體"/>
        <family val="1"/>
        <charset val="136"/>
      </rPr>
      <t>年</t>
    </r>
    <phoneticPr fontId="44" type="noConversion"/>
  </si>
  <si>
    <r>
      <rPr>
        <sz val="12"/>
        <rFont val="新細明體"/>
        <family val="1"/>
        <charset val="136"/>
      </rPr>
      <t>人</t>
    </r>
    <r>
      <rPr>
        <sz val="12"/>
        <rFont val="Times New Roman"/>
        <family val="1"/>
      </rPr>
      <t xml:space="preserve">  </t>
    </r>
    <phoneticPr fontId="44" type="noConversion"/>
  </si>
  <si>
    <r>
      <rPr>
        <sz val="12"/>
        <rFont val="新細明體"/>
        <family val="1"/>
        <charset val="136"/>
      </rPr>
      <t>人</t>
    </r>
    <r>
      <rPr>
        <sz val="12"/>
        <rFont val="Times New Roman"/>
        <family val="1"/>
      </rPr>
      <t xml:space="preserve">  </t>
    </r>
    <phoneticPr fontId="44" type="noConversion"/>
  </si>
  <si>
    <r>
      <rPr>
        <sz val="12"/>
        <rFont val="新細明體"/>
        <family val="1"/>
        <charset val="136"/>
      </rPr>
      <t>人</t>
    </r>
    <r>
      <rPr>
        <sz val="12"/>
        <rFont val="Times New Roman"/>
        <family val="1"/>
      </rPr>
      <t xml:space="preserve">  </t>
    </r>
    <phoneticPr fontId="44" type="noConversion"/>
  </si>
  <si>
    <r>
      <rPr>
        <sz val="11"/>
        <rFont val="新細明體"/>
        <family val="1"/>
        <charset val="136"/>
      </rPr>
      <t>總計</t>
    </r>
    <phoneticPr fontId="44" type="noConversion"/>
  </si>
  <si>
    <r>
      <rPr>
        <sz val="11"/>
        <rFont val="新細明體"/>
        <family val="1"/>
        <charset val="136"/>
      </rPr>
      <t>易科罰金</t>
    </r>
    <phoneticPr fontId="44" type="noConversion"/>
  </si>
  <si>
    <r>
      <rPr>
        <sz val="11"/>
        <rFont val="新細明體"/>
        <family val="1"/>
        <charset val="136"/>
      </rPr>
      <t>易服社會勞動</t>
    </r>
    <phoneticPr fontId="44" type="noConversion"/>
  </si>
  <si>
    <r>
      <rPr>
        <sz val="11"/>
        <rFont val="新細明體"/>
        <family val="1"/>
        <charset val="136"/>
      </rPr>
      <t>六月以下</t>
    </r>
    <phoneticPr fontId="44" type="noConversion"/>
  </si>
  <si>
    <r>
      <rPr>
        <sz val="11"/>
        <rFont val="新細明體"/>
        <family val="1"/>
        <charset val="136"/>
      </rPr>
      <t>逾六月一年未滿</t>
    </r>
    <phoneticPr fontId="44" type="noConversion"/>
  </si>
  <si>
    <r>
      <rPr>
        <sz val="11"/>
        <rFont val="新細明體"/>
        <family val="1"/>
        <charset val="136"/>
      </rPr>
      <t>一年以上二年未滿</t>
    </r>
  </si>
  <si>
    <r>
      <rPr>
        <sz val="11"/>
        <rFont val="新細明體"/>
        <family val="1"/>
        <charset val="136"/>
      </rPr>
      <t>二年以上三年未滿</t>
    </r>
  </si>
  <si>
    <r>
      <rPr>
        <sz val="11"/>
        <rFont val="新細明體"/>
        <family val="1"/>
        <charset val="136"/>
      </rPr>
      <t>三年以上五年未滿</t>
    </r>
  </si>
  <si>
    <r>
      <rPr>
        <sz val="11"/>
        <rFont val="新細明體"/>
        <family val="1"/>
        <charset val="136"/>
      </rPr>
      <t>五年以上七年未滿</t>
    </r>
  </si>
  <si>
    <r>
      <rPr>
        <sz val="11"/>
        <rFont val="新細明體"/>
        <family val="1"/>
        <charset val="136"/>
      </rPr>
      <t>七年以上十年未滿</t>
    </r>
  </si>
  <si>
    <r>
      <rPr>
        <sz val="11"/>
        <rFont val="新細明體"/>
        <family val="1"/>
        <charset val="136"/>
      </rPr>
      <t>十年以上十五年以下</t>
    </r>
    <phoneticPr fontId="44" type="noConversion"/>
  </si>
  <si>
    <r>
      <rPr>
        <sz val="11"/>
        <rFont val="新細明體"/>
        <family val="1"/>
        <charset val="136"/>
      </rPr>
      <t>逾十五年</t>
    </r>
    <phoneticPr fontId="44" type="noConversion"/>
  </si>
  <si>
    <r>
      <rPr>
        <sz val="10"/>
        <rFont val="新細明體"/>
        <family val="1"/>
        <charset val="136"/>
      </rPr>
      <t>說　　明：自</t>
    </r>
    <r>
      <rPr>
        <sz val="10"/>
        <rFont val="Times New Roman"/>
        <family val="1"/>
      </rPr>
      <t>98</t>
    </r>
    <r>
      <rPr>
        <sz val="10"/>
        <rFont val="新細明體"/>
        <family val="1"/>
        <charset val="136"/>
      </rPr>
      <t>年</t>
    </r>
    <r>
      <rPr>
        <sz val="10"/>
        <rFont val="Times New Roman"/>
        <family val="1"/>
      </rPr>
      <t>9</t>
    </r>
    <r>
      <rPr>
        <sz val="10"/>
        <rFont val="新細明體"/>
        <family val="1"/>
        <charset val="136"/>
      </rPr>
      <t>月</t>
    </r>
    <r>
      <rPr>
        <sz val="10"/>
        <rFont val="Times New Roman"/>
        <family val="1"/>
      </rPr>
      <t>1</t>
    </r>
    <r>
      <rPr>
        <sz val="10"/>
        <rFont val="新細明體"/>
        <family val="1"/>
        <charset val="136"/>
      </rPr>
      <t>日起開始實施易服社會勞動新制。</t>
    </r>
    <phoneticPr fontId="44" type="noConversion"/>
  </si>
  <si>
    <r>
      <rPr>
        <sz val="15"/>
        <rFont val="新細明體"/>
        <family val="1"/>
        <charset val="136"/>
      </rPr>
      <t>表</t>
    </r>
    <r>
      <rPr>
        <sz val="15"/>
        <rFont val="Times New Roman"/>
        <family val="1"/>
      </rPr>
      <t>2-3-4    108</t>
    </r>
    <r>
      <rPr>
        <sz val="15"/>
        <rFont val="新細明體"/>
        <family val="1"/>
        <charset val="136"/>
      </rPr>
      <t>年地方檢察署已執行拘役之主要罪名</t>
    </r>
    <phoneticPr fontId="44" type="noConversion"/>
  </si>
  <si>
    <r>
      <rPr>
        <sz val="11"/>
        <rFont val="新細明體"/>
        <family val="1"/>
        <charset val="136"/>
      </rPr>
      <t>單位：人、</t>
    </r>
    <r>
      <rPr>
        <sz val="11"/>
        <rFont val="Times New Roman"/>
        <family val="1"/>
      </rPr>
      <t>%</t>
    </r>
    <phoneticPr fontId="44" type="noConversion"/>
  </si>
  <si>
    <t>總　　計</t>
    <phoneticPr fontId="44" type="noConversion"/>
  </si>
  <si>
    <t>拘　　役</t>
    <phoneticPr fontId="44" type="noConversion"/>
  </si>
  <si>
    <r>
      <rPr>
        <sz val="12"/>
        <rFont val="新細明體"/>
        <family val="1"/>
        <charset val="136"/>
      </rPr>
      <t>易科罰金</t>
    </r>
    <phoneticPr fontId="44" type="noConversion"/>
  </si>
  <si>
    <r>
      <rPr>
        <sz val="12"/>
        <rFont val="新細明體"/>
        <family val="1"/>
        <charset val="136"/>
      </rPr>
      <t>易服社會勞動</t>
    </r>
    <phoneticPr fontId="44" type="noConversion"/>
  </si>
  <si>
    <r>
      <rPr>
        <sz val="12"/>
        <rFont val="新細明體"/>
        <family val="1"/>
        <charset val="136"/>
      </rPr>
      <t>百分比</t>
    </r>
    <phoneticPr fontId="44" type="noConversion"/>
  </si>
  <si>
    <r>
      <rPr>
        <sz val="12"/>
        <rFont val="新細明體"/>
        <family val="1"/>
        <charset val="136"/>
      </rPr>
      <t>總</t>
    </r>
    <r>
      <rPr>
        <sz val="12"/>
        <rFont val="Times New Roman"/>
        <family val="1"/>
      </rPr>
      <t xml:space="preserve">            </t>
    </r>
    <r>
      <rPr>
        <sz val="12"/>
        <rFont val="新細明體"/>
        <family val="1"/>
        <charset val="136"/>
      </rPr>
      <t>計</t>
    </r>
    <phoneticPr fontId="44" type="noConversion"/>
  </si>
  <si>
    <r>
      <rPr>
        <sz val="12"/>
        <rFont val="新細明體"/>
        <family val="1"/>
        <charset val="136"/>
      </rPr>
      <t>竊盜罪</t>
    </r>
    <phoneticPr fontId="44" type="noConversion"/>
  </si>
  <si>
    <r>
      <rPr>
        <sz val="12"/>
        <rFont val="新細明體"/>
        <family val="1"/>
        <charset val="136"/>
      </rPr>
      <t>傷害罪</t>
    </r>
    <phoneticPr fontId="44" type="noConversion"/>
  </si>
  <si>
    <r>
      <rPr>
        <sz val="12"/>
        <rFont val="新細明體"/>
        <family val="1"/>
        <charset val="136"/>
      </rPr>
      <t>詐欺罪</t>
    </r>
    <phoneticPr fontId="44" type="noConversion"/>
  </si>
  <si>
    <r>
      <rPr>
        <sz val="12"/>
        <rFont val="新細明體"/>
        <family val="1"/>
        <charset val="136"/>
      </rPr>
      <t>妨害公務罪</t>
    </r>
    <phoneticPr fontId="44" type="noConversion"/>
  </si>
  <si>
    <r>
      <rPr>
        <sz val="12"/>
        <rFont val="新細明體"/>
        <family val="1"/>
        <charset val="136"/>
      </rPr>
      <t>商標法</t>
    </r>
    <phoneticPr fontId="44" type="noConversion"/>
  </si>
  <si>
    <r>
      <rPr>
        <sz val="12"/>
        <rFont val="新細明體"/>
        <family val="1"/>
        <charset val="136"/>
      </rPr>
      <t>區域計畫法</t>
    </r>
    <phoneticPr fontId="44" type="noConversion"/>
  </si>
  <si>
    <r>
      <rPr>
        <sz val="12"/>
        <rFont val="新細明體"/>
        <family val="1"/>
        <charset val="136"/>
      </rPr>
      <t>藏匿人犯及湮滅證據罪</t>
    </r>
    <phoneticPr fontId="44" type="noConversion"/>
  </si>
  <si>
    <r>
      <rPr>
        <sz val="12"/>
        <rFont val="新細明體"/>
        <family val="1"/>
        <charset val="136"/>
      </rPr>
      <t>妨害風化罪</t>
    </r>
    <phoneticPr fontId="44" type="noConversion"/>
  </si>
  <si>
    <r>
      <rPr>
        <sz val="12"/>
        <rFont val="新細明體"/>
        <family val="1"/>
        <charset val="136"/>
      </rPr>
      <t>著作權法</t>
    </r>
    <phoneticPr fontId="44" type="noConversion"/>
  </si>
  <si>
    <r>
      <rPr>
        <sz val="15"/>
        <rFont val="新細明體"/>
        <family val="1"/>
        <charset val="136"/>
      </rPr>
      <t>表</t>
    </r>
    <r>
      <rPr>
        <sz val="15"/>
        <rFont val="Times New Roman"/>
        <family val="1"/>
      </rPr>
      <t>2-3-5</t>
    </r>
    <r>
      <rPr>
        <sz val="15"/>
        <rFont val="新細明體"/>
        <family val="1"/>
        <charset val="136"/>
      </rPr>
      <t>　近</t>
    </r>
    <r>
      <rPr>
        <sz val="15"/>
        <rFont val="Times New Roman"/>
        <family val="1"/>
      </rPr>
      <t>5</t>
    </r>
    <r>
      <rPr>
        <sz val="15"/>
        <rFont val="新細明體"/>
        <family val="1"/>
        <charset val="136"/>
      </rPr>
      <t>年地方檢察署已執行罰金人數</t>
    </r>
    <phoneticPr fontId="44" type="noConversion"/>
  </si>
  <si>
    <r>
      <rPr>
        <sz val="11"/>
        <rFont val="新細明體"/>
        <family val="1"/>
        <charset val="136"/>
      </rPr>
      <t>單位：人</t>
    </r>
    <phoneticPr fontId="44" type="noConversion"/>
  </si>
  <si>
    <r>
      <rPr>
        <sz val="12"/>
        <rFont val="新細明體"/>
        <family val="1"/>
        <charset val="136"/>
      </rPr>
      <t>總計</t>
    </r>
    <phoneticPr fontId="44" type="noConversion"/>
  </si>
  <si>
    <t>7,452 (100.00%)</t>
    <phoneticPr fontId="115" type="noConversion"/>
  </si>
  <si>
    <t>6,986 (100.00%)</t>
    <phoneticPr fontId="115" type="noConversion"/>
  </si>
  <si>
    <t>7,203 (100.00%)</t>
    <phoneticPr fontId="115" type="noConversion"/>
  </si>
  <si>
    <t>6,884 (100.00%)</t>
    <phoneticPr fontId="115" type="noConversion"/>
  </si>
  <si>
    <t>7,138 (100.00%)</t>
    <phoneticPr fontId="115" type="noConversion"/>
  </si>
  <si>
    <r>
      <rPr>
        <sz val="12"/>
        <rFont val="新細明體"/>
        <family val="1"/>
        <charset val="136"/>
      </rPr>
      <t>繳納罰金</t>
    </r>
    <phoneticPr fontId="44" type="noConversion"/>
  </si>
  <si>
    <t>6,702 (89.94%)</t>
    <phoneticPr fontId="115" type="noConversion"/>
  </si>
  <si>
    <t>6,284 (89.95%)</t>
    <phoneticPr fontId="115" type="noConversion"/>
  </si>
  <si>
    <t>6,390 (88.71%)</t>
    <phoneticPr fontId="115" type="noConversion"/>
  </si>
  <si>
    <t>6,003 (87.20%)</t>
    <phoneticPr fontId="115" type="noConversion"/>
  </si>
  <si>
    <t>6,216 (87.08%)</t>
    <phoneticPr fontId="115" type="noConversion"/>
  </si>
  <si>
    <r>
      <rPr>
        <sz val="12"/>
        <rFont val="新細明體"/>
        <family val="1"/>
        <charset val="136"/>
      </rPr>
      <t>易服勞役</t>
    </r>
    <phoneticPr fontId="44" type="noConversion"/>
  </si>
  <si>
    <t>663 (8.90%)</t>
    <phoneticPr fontId="115" type="noConversion"/>
  </si>
  <si>
    <t>623 (8.92%)</t>
    <phoneticPr fontId="115" type="noConversion"/>
  </si>
  <si>
    <t>721 (10.01%)</t>
    <phoneticPr fontId="115" type="noConversion"/>
  </si>
  <si>
    <t>802 (11.65%)</t>
    <phoneticPr fontId="115" type="noConversion"/>
  </si>
  <si>
    <t>837 (11.73%)</t>
    <phoneticPr fontId="115" type="noConversion"/>
  </si>
  <si>
    <r>
      <rPr>
        <sz val="12"/>
        <rFont val="新細明體"/>
        <family val="1"/>
        <charset val="136"/>
      </rPr>
      <t>易服社會勞動</t>
    </r>
    <phoneticPr fontId="44" type="noConversion"/>
  </si>
  <si>
    <t>87 (1.17%)</t>
    <phoneticPr fontId="115" type="noConversion"/>
  </si>
  <si>
    <t>79 (1.13%)</t>
    <phoneticPr fontId="115" type="noConversion"/>
  </si>
  <si>
    <t>92 (1.28%)</t>
    <phoneticPr fontId="115" type="noConversion"/>
  </si>
  <si>
    <t>79 (1.15%)</t>
    <phoneticPr fontId="115" type="noConversion"/>
  </si>
  <si>
    <t>85 (1.19%)</t>
    <phoneticPr fontId="115" type="noConversion"/>
  </si>
  <si>
    <r>
      <rPr>
        <sz val="10"/>
        <rFont val="新細明體"/>
        <family val="1"/>
        <charset val="136"/>
      </rPr>
      <t>資料來源：法務部統計處</t>
    </r>
    <phoneticPr fontId="44" type="noConversion"/>
  </si>
  <si>
    <r>
      <rPr>
        <sz val="10"/>
        <rFont val="新細明體"/>
        <family val="1"/>
        <charset val="136"/>
      </rPr>
      <t>說　　明：自</t>
    </r>
    <r>
      <rPr>
        <sz val="10"/>
        <rFont val="Times New Roman"/>
        <family val="1"/>
      </rPr>
      <t>98</t>
    </r>
    <r>
      <rPr>
        <sz val="10"/>
        <rFont val="新細明體"/>
        <family val="1"/>
        <charset val="136"/>
      </rPr>
      <t>年</t>
    </r>
    <r>
      <rPr>
        <sz val="10"/>
        <rFont val="Times New Roman"/>
        <family val="1"/>
      </rPr>
      <t>9</t>
    </r>
    <r>
      <rPr>
        <sz val="10"/>
        <rFont val="新細明體"/>
        <family val="1"/>
        <charset val="136"/>
      </rPr>
      <t>月</t>
    </r>
    <r>
      <rPr>
        <sz val="10"/>
        <rFont val="Times New Roman"/>
        <family val="1"/>
      </rPr>
      <t>1</t>
    </r>
    <r>
      <rPr>
        <sz val="10"/>
        <rFont val="新細明體"/>
        <family val="1"/>
        <charset val="136"/>
      </rPr>
      <t>日起開始實施易服社會勞動新制。</t>
    </r>
    <phoneticPr fontId="44" type="noConversion"/>
  </si>
  <si>
    <r>
      <rPr>
        <sz val="15"/>
        <rFont val="新細明體"/>
        <family val="1"/>
        <charset val="136"/>
      </rPr>
      <t>表</t>
    </r>
    <r>
      <rPr>
        <sz val="15"/>
        <rFont val="Times New Roman"/>
        <family val="1"/>
      </rPr>
      <t xml:space="preserve">2-3-6   </t>
    </r>
    <r>
      <rPr>
        <sz val="15"/>
        <rFont val="新細明體"/>
        <family val="1"/>
        <charset val="136"/>
      </rPr>
      <t>近</t>
    </r>
    <r>
      <rPr>
        <sz val="15"/>
        <rFont val="Times New Roman"/>
        <family val="1"/>
      </rPr>
      <t>10</t>
    </r>
    <r>
      <rPr>
        <sz val="15"/>
        <rFont val="新細明體"/>
        <family val="1"/>
        <charset val="136"/>
      </rPr>
      <t>年地方檢察署執行裁判確定保安處分情形</t>
    </r>
    <phoneticPr fontId="44" type="noConversion"/>
  </si>
  <si>
    <r>
      <rPr>
        <sz val="12"/>
        <rFont val="新細明體"/>
        <family val="1"/>
        <charset val="136"/>
      </rPr>
      <t>總</t>
    </r>
    <r>
      <rPr>
        <sz val="12"/>
        <rFont val="Times New Roman"/>
        <family val="1"/>
      </rPr>
      <t xml:space="preserve">   </t>
    </r>
    <r>
      <rPr>
        <sz val="12"/>
        <rFont val="新細明體"/>
        <family val="1"/>
        <charset val="136"/>
      </rPr>
      <t>計</t>
    </r>
  </si>
  <si>
    <r>
      <rPr>
        <sz val="11"/>
        <rFont val="新細明體"/>
        <family val="1"/>
        <charset val="136"/>
      </rPr>
      <t>保護管束</t>
    </r>
  </si>
  <si>
    <t>驅逐出境</t>
    <phoneticPr fontId="115" type="noConversion"/>
  </si>
  <si>
    <r>
      <rPr>
        <sz val="11"/>
        <rFont val="新細明體"/>
        <family val="1"/>
        <charset val="136"/>
      </rPr>
      <t>監護</t>
    </r>
    <phoneticPr fontId="44" type="noConversion"/>
  </si>
  <si>
    <r>
      <rPr>
        <sz val="11"/>
        <rFont val="新細明體"/>
        <family val="1"/>
        <charset val="136"/>
      </rPr>
      <t>強制工作</t>
    </r>
  </si>
  <si>
    <r>
      <rPr>
        <sz val="11"/>
        <rFont val="新細明體"/>
        <family val="1"/>
        <charset val="136"/>
      </rPr>
      <t>禁戒</t>
    </r>
    <phoneticPr fontId="44" type="noConversion"/>
  </si>
  <si>
    <r>
      <rPr>
        <sz val="11"/>
        <rFont val="新細明體"/>
        <family val="1"/>
        <charset val="136"/>
      </rPr>
      <t>強制治療</t>
    </r>
  </si>
  <si>
    <r>
      <t>99</t>
    </r>
    <r>
      <rPr>
        <sz val="12"/>
        <rFont val="新細明體"/>
        <family val="1"/>
        <charset val="136"/>
      </rPr>
      <t>年</t>
    </r>
    <phoneticPr fontId="44" type="noConversion"/>
  </si>
  <si>
    <r>
      <rPr>
        <sz val="12"/>
        <rFont val="新細明體"/>
        <family val="1"/>
        <charset val="136"/>
      </rPr>
      <t>人</t>
    </r>
    <phoneticPr fontId="44" type="noConversion"/>
  </si>
  <si>
    <r>
      <rPr>
        <sz val="12"/>
        <rFont val="新細明體"/>
        <family val="1"/>
        <charset val="136"/>
      </rPr>
      <t>人</t>
    </r>
    <phoneticPr fontId="44" type="noConversion"/>
  </si>
  <si>
    <r>
      <rPr>
        <sz val="12"/>
        <rFont val="新細明體"/>
        <family val="1"/>
        <charset val="136"/>
      </rPr>
      <t>人</t>
    </r>
    <phoneticPr fontId="44" type="noConversion"/>
  </si>
  <si>
    <r>
      <rPr>
        <sz val="10"/>
        <rFont val="新細明體"/>
        <family val="1"/>
        <charset val="136"/>
      </rPr>
      <t>資料來源：法務部統計處</t>
    </r>
    <phoneticPr fontId="44" type="noConversion"/>
  </si>
  <si>
    <t>說　　明：本表不含假釋中付保護管束及停止強制工作付保護管束等案件。</t>
    <phoneticPr fontId="115" type="noConversion"/>
  </si>
  <si>
    <r>
      <rPr>
        <sz val="15"/>
        <rFont val="新細明體"/>
        <family val="1"/>
        <charset val="136"/>
      </rPr>
      <t>表</t>
    </r>
    <r>
      <rPr>
        <sz val="15"/>
        <rFont val="Times New Roman"/>
        <family val="1"/>
      </rPr>
      <t xml:space="preserve">2-3-7    </t>
    </r>
    <r>
      <rPr>
        <sz val="15"/>
        <rFont val="新細明體"/>
        <family val="1"/>
        <charset val="136"/>
      </rPr>
      <t>近</t>
    </r>
    <r>
      <rPr>
        <sz val="15"/>
        <rFont val="Times New Roman"/>
        <family val="1"/>
      </rPr>
      <t>10</t>
    </r>
    <r>
      <rPr>
        <sz val="15"/>
        <rFont val="新細明體"/>
        <family val="1"/>
        <charset val="136"/>
      </rPr>
      <t>年地方檢察署執行經法院判決確定應沒收犯罪所得統計</t>
    </r>
    <phoneticPr fontId="44" type="noConversion"/>
  </si>
  <si>
    <t>單位：新臺幣萬元</t>
    <phoneticPr fontId="115" type="noConversion"/>
  </si>
  <si>
    <r>
      <t>99</t>
    </r>
    <r>
      <rPr>
        <sz val="12"/>
        <rFont val="新細明體"/>
        <family val="1"/>
        <charset val="136"/>
      </rPr>
      <t>年</t>
    </r>
    <phoneticPr fontId="44" type="noConversion"/>
  </si>
  <si>
    <t>合計</t>
    <phoneticPr fontId="115" type="noConversion"/>
  </si>
  <si>
    <r>
      <rPr>
        <sz val="12"/>
        <rFont val="新細明體"/>
        <family val="1"/>
        <charset val="136"/>
      </rPr>
      <t>被告</t>
    </r>
    <phoneticPr fontId="115" type="noConversion"/>
  </si>
  <si>
    <t>偽造有價證券罪</t>
    <phoneticPr fontId="44" type="noConversion"/>
  </si>
  <si>
    <t>偽造文書印文罪</t>
    <phoneticPr fontId="44" type="noConversion"/>
  </si>
  <si>
    <r>
      <rPr>
        <sz val="12"/>
        <rFont val="新細明體"/>
        <family val="1"/>
        <charset val="136"/>
      </rPr>
      <t>妨害風化罪</t>
    </r>
    <phoneticPr fontId="44" type="noConversion"/>
  </si>
  <si>
    <r>
      <rPr>
        <sz val="12"/>
        <rFont val="新細明體"/>
        <family val="1"/>
        <charset val="136"/>
      </rPr>
      <t>銀行法</t>
    </r>
    <phoneticPr fontId="44" type="noConversion"/>
  </si>
  <si>
    <r>
      <rPr>
        <sz val="12"/>
        <rFont val="新細明體"/>
        <family val="1"/>
        <charset val="136"/>
      </rPr>
      <t>洗錢防制法</t>
    </r>
    <phoneticPr fontId="44" type="noConversion"/>
  </si>
  <si>
    <r>
      <rPr>
        <sz val="12"/>
        <rFont val="新細明體"/>
        <family val="1"/>
        <charset val="136"/>
      </rPr>
      <t>公平交易法</t>
    </r>
    <phoneticPr fontId="44" type="noConversion"/>
  </si>
  <si>
    <r>
      <rPr>
        <sz val="12"/>
        <rFont val="新細明體"/>
        <family val="1"/>
        <charset val="136"/>
      </rPr>
      <t>空氣污染防制法</t>
    </r>
    <phoneticPr fontId="44" type="noConversion"/>
  </si>
  <si>
    <r>
      <rPr>
        <sz val="15"/>
        <rFont val="新細明體"/>
        <family val="1"/>
        <charset val="136"/>
      </rPr>
      <t>表</t>
    </r>
    <r>
      <rPr>
        <sz val="15"/>
        <rFont val="Times New Roman"/>
        <family val="1"/>
      </rPr>
      <t>2-4-1</t>
    </r>
    <r>
      <rPr>
        <sz val="15"/>
        <rFont val="新細明體"/>
        <family val="1"/>
        <charset val="136"/>
      </rPr>
      <t>　近</t>
    </r>
    <r>
      <rPr>
        <sz val="15"/>
        <rFont val="Times New Roman"/>
        <family val="1"/>
      </rPr>
      <t>10</t>
    </r>
    <r>
      <rPr>
        <sz val="15"/>
        <rFont val="新細明體"/>
        <family val="1"/>
        <charset val="136"/>
      </rPr>
      <t>年矯正機關收容人數</t>
    </r>
    <phoneticPr fontId="44" type="noConversion"/>
  </si>
  <si>
    <r>
      <rPr>
        <sz val="12"/>
        <rFont val="新細明體"/>
        <family val="1"/>
        <charset val="136"/>
      </rPr>
      <t>單位：人、</t>
    </r>
    <r>
      <rPr>
        <sz val="12"/>
        <rFont val="Times New Roman"/>
        <family val="1"/>
      </rPr>
      <t>%</t>
    </r>
    <phoneticPr fontId="44" type="noConversion"/>
  </si>
  <si>
    <r>
      <rPr>
        <sz val="12"/>
        <rFont val="新細明體"/>
        <family val="1"/>
        <charset val="136"/>
      </rPr>
      <t>總收容人數</t>
    </r>
    <phoneticPr fontId="44" type="noConversion"/>
  </si>
  <si>
    <r>
      <rPr>
        <sz val="12"/>
        <rFont val="新細明體"/>
        <family val="1"/>
        <charset val="136"/>
      </rPr>
      <t>監獄收容人</t>
    </r>
    <phoneticPr fontId="44" type="noConversion"/>
  </si>
  <si>
    <r>
      <rPr>
        <sz val="12"/>
        <rFont val="新細明體"/>
        <family val="1"/>
        <charset val="136"/>
      </rPr>
      <t>強制工作人數</t>
    </r>
    <phoneticPr fontId="44" type="noConversion"/>
  </si>
  <si>
    <r>
      <rPr>
        <sz val="12"/>
        <rFont val="新細明體"/>
        <family val="1"/>
        <charset val="136"/>
      </rPr>
      <t>受感化教育學生</t>
    </r>
    <phoneticPr fontId="44" type="noConversion"/>
  </si>
  <si>
    <r>
      <rPr>
        <sz val="12"/>
        <rFont val="新細明體"/>
        <family val="1"/>
        <charset val="136"/>
      </rPr>
      <t>被告及被管收人</t>
    </r>
    <phoneticPr fontId="44" type="noConversion"/>
  </si>
  <si>
    <r>
      <rPr>
        <sz val="12"/>
        <rFont val="新細明體"/>
        <family val="1"/>
        <charset val="136"/>
      </rPr>
      <t>收容少年</t>
    </r>
    <phoneticPr fontId="44" type="noConversion"/>
  </si>
  <si>
    <r>
      <rPr>
        <sz val="12"/>
        <rFont val="新細明體"/>
        <family val="1"/>
        <charset val="136"/>
      </rPr>
      <t>受觀察勒戒人</t>
    </r>
    <phoneticPr fontId="44" type="noConversion"/>
  </si>
  <si>
    <r>
      <rPr>
        <sz val="12"/>
        <rFont val="新細明體"/>
        <family val="1"/>
        <charset val="136"/>
      </rPr>
      <t>戒治所收容人</t>
    </r>
    <phoneticPr fontId="44" type="noConversion"/>
  </si>
  <si>
    <r>
      <rPr>
        <sz val="12"/>
        <rFont val="新細明體"/>
        <family val="1"/>
        <charset val="136"/>
      </rPr>
      <t>核定容額</t>
    </r>
    <phoneticPr fontId="44" type="noConversion"/>
  </si>
  <si>
    <r>
      <rPr>
        <sz val="12"/>
        <rFont val="新細明體"/>
        <family val="1"/>
        <charset val="136"/>
      </rPr>
      <t>超</t>
    </r>
    <r>
      <rPr>
        <sz val="12"/>
        <rFont val="Times New Roman"/>
        <family val="1"/>
      </rPr>
      <t xml:space="preserve"> </t>
    </r>
    <r>
      <rPr>
        <sz val="12"/>
        <rFont val="新細明體"/>
        <family val="1"/>
        <charset val="136"/>
      </rPr>
      <t>額</t>
    </r>
    <r>
      <rPr>
        <sz val="12"/>
        <rFont val="Times New Roman"/>
        <family val="1"/>
      </rPr>
      <t xml:space="preserve"> </t>
    </r>
    <r>
      <rPr>
        <sz val="12"/>
        <rFont val="新細明體"/>
        <family val="1"/>
        <charset val="136"/>
      </rPr>
      <t>收</t>
    </r>
    <r>
      <rPr>
        <sz val="12"/>
        <rFont val="Times New Roman"/>
        <family val="1"/>
      </rPr>
      <t xml:space="preserve"> </t>
    </r>
    <r>
      <rPr>
        <sz val="12"/>
        <rFont val="新細明體"/>
        <family val="1"/>
        <charset val="136"/>
      </rPr>
      <t>容</t>
    </r>
    <phoneticPr fontId="44" type="noConversion"/>
  </si>
  <si>
    <r>
      <rPr>
        <sz val="12"/>
        <rFont val="新細明體"/>
        <family val="1"/>
        <charset val="136"/>
      </rPr>
      <t>計</t>
    </r>
    <phoneticPr fontId="44" type="noConversion"/>
  </si>
  <si>
    <r>
      <rPr>
        <sz val="12"/>
        <rFont val="新細明體"/>
        <family val="1"/>
        <charset val="136"/>
      </rPr>
      <t>受刑人</t>
    </r>
    <phoneticPr fontId="44" type="noConversion"/>
  </si>
  <si>
    <r>
      <rPr>
        <sz val="10"/>
        <rFont val="新細明體"/>
        <family val="1"/>
        <charset val="136"/>
      </rPr>
      <t>及押候執行者
受保安處分人</t>
    </r>
    <phoneticPr fontId="44" type="noConversion"/>
  </si>
  <si>
    <r>
      <rPr>
        <sz val="12"/>
        <rFont val="新細明體"/>
        <family val="1"/>
        <charset val="136"/>
      </rPr>
      <t>成年</t>
    </r>
    <phoneticPr fontId="44" type="noConversion"/>
  </si>
  <si>
    <r>
      <rPr>
        <sz val="12"/>
        <rFont val="新細明體"/>
        <family val="1"/>
        <charset val="136"/>
      </rPr>
      <t>少年</t>
    </r>
    <phoneticPr fontId="44" type="noConversion"/>
  </si>
  <si>
    <r>
      <rPr>
        <sz val="12"/>
        <rFont val="新細明體"/>
        <family val="1"/>
        <charset val="136"/>
      </rPr>
      <t>人數</t>
    </r>
    <phoneticPr fontId="44" type="noConversion"/>
  </si>
  <si>
    <t>99</t>
    <phoneticPr fontId="44" type="noConversion"/>
  </si>
  <si>
    <t>100</t>
  </si>
  <si>
    <t>101</t>
  </si>
  <si>
    <t>102</t>
  </si>
  <si>
    <t>103</t>
  </si>
  <si>
    <t>104</t>
  </si>
  <si>
    <t>105</t>
  </si>
  <si>
    <t>106</t>
  </si>
  <si>
    <t>107</t>
  </si>
  <si>
    <t>108</t>
  </si>
  <si>
    <t>說　　明：1. 收容在監獄之受保安處分人含監護、禁戒及強制治療受處分人。
　　　　　2. 檢肅流氓條例於98年1月23日廢止失效後，矯正機關停止收容流氓感訓受處分人及留置流氓。</t>
    <phoneticPr fontId="44" type="noConversion"/>
  </si>
  <si>
    <r>
      <rPr>
        <sz val="15"/>
        <rFont val="新細明體"/>
        <family val="1"/>
        <charset val="136"/>
      </rPr>
      <t>表</t>
    </r>
    <r>
      <rPr>
        <sz val="15"/>
        <rFont val="Times New Roman"/>
        <family val="1"/>
      </rPr>
      <t>2-4-2</t>
    </r>
    <r>
      <rPr>
        <sz val="15"/>
        <rFont val="新細明體"/>
        <family val="1"/>
        <charset val="136"/>
      </rPr>
      <t>　近</t>
    </r>
    <r>
      <rPr>
        <sz val="15"/>
        <rFont val="Times New Roman"/>
        <family val="1"/>
      </rPr>
      <t>10</t>
    </r>
    <r>
      <rPr>
        <sz val="15"/>
        <rFont val="新細明體"/>
        <family val="1"/>
        <charset val="136"/>
      </rPr>
      <t>年監獄新入監受刑人人數</t>
    </r>
    <phoneticPr fontId="44" type="noConversion"/>
  </si>
  <si>
    <t>99</t>
    <phoneticPr fontId="115" type="noConversion"/>
  </si>
  <si>
    <r>
      <rPr>
        <sz val="12"/>
        <rFont val="新細明體"/>
        <family val="1"/>
        <charset val="136"/>
      </rPr>
      <t>性</t>
    </r>
    <r>
      <rPr>
        <sz val="12"/>
        <rFont val="Times New Roman"/>
        <family val="1"/>
      </rPr>
      <t xml:space="preserve">  </t>
    </r>
    <r>
      <rPr>
        <sz val="12"/>
        <rFont val="新細明體"/>
        <family val="1"/>
        <charset val="136"/>
      </rPr>
      <t>別</t>
    </r>
    <phoneticPr fontId="44" type="noConversion"/>
  </si>
  <si>
    <r>
      <rPr>
        <sz val="12"/>
        <rFont val="新細明體"/>
        <family val="1"/>
        <charset val="136"/>
      </rPr>
      <t>指數</t>
    </r>
    <phoneticPr fontId="44" type="noConversion"/>
  </si>
  <si>
    <r>
      <rPr>
        <sz val="12"/>
        <rFont val="新細明體"/>
        <family val="1"/>
        <charset val="136"/>
      </rPr>
      <t>指數</t>
    </r>
    <phoneticPr fontId="44" type="noConversion"/>
  </si>
  <si>
    <r>
      <rPr>
        <sz val="12"/>
        <rFont val="新細明體"/>
        <family val="1"/>
        <charset val="136"/>
      </rPr>
      <t>男</t>
    </r>
  </si>
  <si>
    <r>
      <rPr>
        <sz val="12"/>
        <rFont val="新細明體"/>
        <family val="1"/>
        <charset val="136"/>
      </rPr>
      <t>女</t>
    </r>
  </si>
  <si>
    <r>
      <rPr>
        <sz val="12"/>
        <rFont val="新細明體"/>
        <family val="1"/>
        <charset val="136"/>
      </rPr>
      <t>性</t>
    </r>
    <r>
      <rPr>
        <sz val="12"/>
        <rFont val="Times New Roman"/>
        <family val="1"/>
      </rPr>
      <t xml:space="preserve">  </t>
    </r>
    <r>
      <rPr>
        <sz val="12"/>
        <rFont val="新細明體"/>
        <family val="1"/>
        <charset val="136"/>
      </rPr>
      <t>別</t>
    </r>
    <phoneticPr fontId="44" type="noConversion"/>
  </si>
  <si>
    <t>104</t>
    <phoneticPr fontId="115" type="noConversion"/>
  </si>
  <si>
    <r>
      <rPr>
        <sz val="12"/>
        <rFont val="新細明體"/>
        <family val="1"/>
        <charset val="136"/>
      </rPr>
      <t>指數</t>
    </r>
    <phoneticPr fontId="44" type="noConversion"/>
  </si>
  <si>
    <r>
      <rPr>
        <sz val="12"/>
        <rFont val="新細明體"/>
        <family val="1"/>
        <charset val="136"/>
      </rPr>
      <t>指數</t>
    </r>
    <phoneticPr fontId="44" type="noConversion"/>
  </si>
  <si>
    <r>
      <rPr>
        <sz val="10"/>
        <rFont val="新細明體"/>
        <family val="1"/>
        <charset val="136"/>
      </rPr>
      <t>資料來源︰法務部統計處</t>
    </r>
    <phoneticPr fontId="44" type="noConversion"/>
  </si>
  <si>
    <r>
      <rPr>
        <sz val="15"/>
        <rFont val="新細明體"/>
        <family val="1"/>
        <charset val="136"/>
      </rPr>
      <t>表</t>
    </r>
    <r>
      <rPr>
        <sz val="15"/>
        <rFont val="Times New Roman"/>
        <family val="1"/>
      </rPr>
      <t>2-4-3</t>
    </r>
    <r>
      <rPr>
        <sz val="15"/>
        <rFont val="新細明體"/>
        <family val="1"/>
        <charset val="136"/>
      </rPr>
      <t>　近</t>
    </r>
    <r>
      <rPr>
        <sz val="15"/>
        <rFont val="Times New Roman"/>
        <family val="1"/>
      </rPr>
      <t>10</t>
    </r>
    <r>
      <rPr>
        <sz val="15"/>
        <rFont val="新細明體"/>
        <family val="1"/>
        <charset val="136"/>
      </rPr>
      <t>年監獄新入監受刑人入監前教育程度</t>
    </r>
    <phoneticPr fontId="44" type="noConversion"/>
  </si>
  <si>
    <r>
      <rPr>
        <sz val="12"/>
        <rFont val="新細明體"/>
        <family val="1"/>
        <charset val="136"/>
      </rPr>
      <t>總</t>
    </r>
    <r>
      <rPr>
        <sz val="12"/>
        <rFont val="Times New Roman"/>
        <family val="1"/>
      </rPr>
      <t xml:space="preserve">   </t>
    </r>
    <r>
      <rPr>
        <sz val="12"/>
        <rFont val="新細明體"/>
        <family val="1"/>
        <charset val="136"/>
      </rPr>
      <t>計</t>
    </r>
    <phoneticPr fontId="44" type="noConversion"/>
  </si>
  <si>
    <r>
      <rPr>
        <sz val="12"/>
        <rFont val="新細明體"/>
        <family val="1"/>
        <charset val="136"/>
      </rPr>
      <t>不</t>
    </r>
    <r>
      <rPr>
        <sz val="12"/>
        <rFont val="Times New Roman"/>
        <family val="1"/>
      </rPr>
      <t xml:space="preserve"> </t>
    </r>
    <r>
      <rPr>
        <sz val="12"/>
        <rFont val="新細明體"/>
        <family val="1"/>
        <charset val="136"/>
      </rPr>
      <t>識</t>
    </r>
    <r>
      <rPr>
        <sz val="12"/>
        <rFont val="Times New Roman"/>
        <family val="1"/>
      </rPr>
      <t xml:space="preserve"> </t>
    </r>
    <r>
      <rPr>
        <sz val="12"/>
        <rFont val="新細明體"/>
        <family val="1"/>
        <charset val="136"/>
      </rPr>
      <t>字</t>
    </r>
    <phoneticPr fontId="44" type="noConversion"/>
  </si>
  <si>
    <r>
      <rPr>
        <sz val="12"/>
        <rFont val="新細明體"/>
        <family val="1"/>
        <charset val="136"/>
      </rPr>
      <t>自</t>
    </r>
    <r>
      <rPr>
        <sz val="12"/>
        <rFont val="Times New Roman"/>
        <family val="1"/>
      </rPr>
      <t xml:space="preserve">   </t>
    </r>
    <r>
      <rPr>
        <sz val="12"/>
        <rFont val="新細明體"/>
        <family val="1"/>
        <charset val="136"/>
      </rPr>
      <t>修</t>
    </r>
    <phoneticPr fontId="44" type="noConversion"/>
  </si>
  <si>
    <r>
      <rPr>
        <sz val="12"/>
        <rFont val="新細明體"/>
        <family val="1"/>
        <charset val="136"/>
      </rPr>
      <t>國</t>
    </r>
    <r>
      <rPr>
        <sz val="12"/>
        <rFont val="Times New Roman"/>
        <family val="1"/>
      </rPr>
      <t xml:space="preserve">   </t>
    </r>
    <r>
      <rPr>
        <sz val="12"/>
        <rFont val="新細明體"/>
        <family val="1"/>
        <charset val="136"/>
      </rPr>
      <t>小</t>
    </r>
    <phoneticPr fontId="44" type="noConversion"/>
  </si>
  <si>
    <r>
      <rPr>
        <sz val="12"/>
        <rFont val="新細明體"/>
        <family val="1"/>
        <charset val="136"/>
      </rPr>
      <t>國</t>
    </r>
    <r>
      <rPr>
        <sz val="12"/>
        <rFont val="Times New Roman"/>
        <family val="1"/>
      </rPr>
      <t xml:space="preserve">   </t>
    </r>
    <r>
      <rPr>
        <sz val="12"/>
        <rFont val="新細明體"/>
        <family val="1"/>
        <charset val="136"/>
      </rPr>
      <t>中</t>
    </r>
    <phoneticPr fontId="44" type="noConversion"/>
  </si>
  <si>
    <r>
      <rPr>
        <sz val="12"/>
        <rFont val="新細明體"/>
        <family val="1"/>
        <charset val="136"/>
      </rPr>
      <t>高中</t>
    </r>
    <r>
      <rPr>
        <sz val="12"/>
        <rFont val="Times New Roman"/>
        <family val="1"/>
      </rPr>
      <t>(</t>
    </r>
    <r>
      <rPr>
        <sz val="12"/>
        <rFont val="新細明體"/>
        <family val="1"/>
        <charset val="136"/>
      </rPr>
      <t>職</t>
    </r>
    <r>
      <rPr>
        <sz val="12"/>
        <rFont val="Times New Roman"/>
        <family val="1"/>
      </rPr>
      <t>)</t>
    </r>
    <phoneticPr fontId="44" type="noConversion"/>
  </si>
  <si>
    <r>
      <rPr>
        <sz val="12"/>
        <rFont val="新細明體"/>
        <family val="1"/>
        <charset val="136"/>
      </rPr>
      <t>大專以上</t>
    </r>
    <phoneticPr fontId="44" type="noConversion"/>
  </si>
  <si>
    <r>
      <rPr>
        <sz val="12"/>
        <rFont val="新細明體"/>
        <family val="1"/>
        <charset val="136"/>
      </rPr>
      <t>不</t>
    </r>
    <r>
      <rPr>
        <sz val="12"/>
        <rFont val="Times New Roman"/>
        <family val="1"/>
      </rPr>
      <t xml:space="preserve">   </t>
    </r>
    <r>
      <rPr>
        <sz val="12"/>
        <rFont val="新細明體"/>
        <family val="1"/>
        <charset val="136"/>
      </rPr>
      <t>詳</t>
    </r>
    <phoneticPr fontId="44" type="noConversion"/>
  </si>
  <si>
    <r>
      <rPr>
        <sz val="12"/>
        <rFont val="新細明體"/>
        <family val="1"/>
        <charset val="136"/>
      </rPr>
      <t>男</t>
    </r>
    <phoneticPr fontId="44" type="noConversion"/>
  </si>
  <si>
    <r>
      <rPr>
        <sz val="12"/>
        <rFont val="新細明體"/>
        <family val="1"/>
        <charset val="136"/>
      </rPr>
      <t>女</t>
    </r>
    <phoneticPr fontId="44" type="noConversion"/>
  </si>
  <si>
    <r>
      <rPr>
        <sz val="12"/>
        <rFont val="新細明體"/>
        <family val="1"/>
        <charset val="136"/>
      </rPr>
      <t>計</t>
    </r>
    <phoneticPr fontId="44" type="noConversion"/>
  </si>
  <si>
    <r>
      <rPr>
        <sz val="12"/>
        <rFont val="新細明體"/>
        <family val="1"/>
        <charset val="136"/>
      </rPr>
      <t>女</t>
    </r>
    <phoneticPr fontId="44" type="noConversion"/>
  </si>
  <si>
    <r>
      <rPr>
        <sz val="12"/>
        <rFont val="新細明體"/>
        <family val="1"/>
        <charset val="136"/>
      </rPr>
      <t>計</t>
    </r>
    <phoneticPr fontId="44" type="noConversion"/>
  </si>
  <si>
    <r>
      <rPr>
        <sz val="12"/>
        <rFont val="新細明體"/>
        <family val="1"/>
        <charset val="136"/>
      </rPr>
      <t>男</t>
    </r>
    <phoneticPr fontId="44" type="noConversion"/>
  </si>
  <si>
    <r>
      <rPr>
        <sz val="12"/>
        <rFont val="新細明體"/>
        <family val="1"/>
        <charset val="136"/>
      </rPr>
      <t>男</t>
    </r>
    <phoneticPr fontId="44" type="noConversion"/>
  </si>
  <si>
    <r>
      <rPr>
        <sz val="12"/>
        <rFont val="新細明體"/>
        <family val="1"/>
        <charset val="136"/>
      </rPr>
      <t>計</t>
    </r>
    <phoneticPr fontId="44" type="noConversion"/>
  </si>
  <si>
    <r>
      <rPr>
        <sz val="12"/>
        <rFont val="新細明體"/>
        <family val="1"/>
        <charset val="136"/>
      </rPr>
      <t>女</t>
    </r>
    <phoneticPr fontId="44" type="noConversion"/>
  </si>
  <si>
    <t>-</t>
    <phoneticPr fontId="115" type="noConversion"/>
  </si>
  <si>
    <t>-</t>
    <phoneticPr fontId="115" type="noConversion"/>
  </si>
  <si>
    <r>
      <rPr>
        <sz val="12"/>
        <rFont val="新細明體"/>
        <family val="1"/>
        <charset val="136"/>
      </rPr>
      <t>人</t>
    </r>
    <phoneticPr fontId="44" type="noConversion"/>
  </si>
  <si>
    <t>-</t>
    <phoneticPr fontId="115" type="noConversion"/>
  </si>
  <si>
    <t>-</t>
    <phoneticPr fontId="115" type="noConversion"/>
  </si>
  <si>
    <t>-</t>
    <phoneticPr fontId="115" type="noConversion"/>
  </si>
  <si>
    <t>-</t>
    <phoneticPr fontId="115" type="noConversion"/>
  </si>
  <si>
    <r>
      <rPr>
        <sz val="10"/>
        <rFont val="新細明體"/>
        <family val="1"/>
        <charset val="136"/>
      </rPr>
      <t>資料來源︰法務部統計處</t>
    </r>
    <phoneticPr fontId="44" type="noConversion"/>
  </si>
  <si>
    <r>
      <rPr>
        <sz val="15"/>
        <rFont val="新細明體"/>
        <family val="1"/>
        <charset val="136"/>
      </rPr>
      <t>表</t>
    </r>
    <r>
      <rPr>
        <sz val="15"/>
        <rFont val="Times New Roman"/>
        <family val="1"/>
      </rPr>
      <t>2-4-4</t>
    </r>
    <r>
      <rPr>
        <sz val="15"/>
        <rFont val="新細明體"/>
        <family val="1"/>
        <charset val="136"/>
      </rPr>
      <t>　近</t>
    </r>
    <r>
      <rPr>
        <sz val="15"/>
        <rFont val="Times New Roman"/>
        <family val="1"/>
      </rPr>
      <t>10</t>
    </r>
    <r>
      <rPr>
        <sz val="15"/>
        <rFont val="新細明體"/>
        <family val="1"/>
        <charset val="136"/>
      </rPr>
      <t>年監獄新入監受刑人入監時之年齡</t>
    </r>
    <phoneticPr fontId="44" type="noConversion"/>
  </si>
  <si>
    <r>
      <rPr>
        <sz val="12"/>
        <rFont val="新細明體"/>
        <family val="1"/>
        <charset val="136"/>
      </rPr>
      <t>總計</t>
    </r>
    <phoneticPr fontId="44" type="noConversion"/>
  </si>
  <si>
    <r>
      <t xml:space="preserve">80
</t>
    </r>
    <r>
      <rPr>
        <sz val="12"/>
        <rFont val="新細明體"/>
        <family val="1"/>
        <charset val="136"/>
      </rPr>
      <t>歲
以
上</t>
    </r>
    <phoneticPr fontId="44" type="noConversion"/>
  </si>
  <si>
    <r>
      <rPr>
        <sz val="12"/>
        <rFont val="新細明體"/>
        <family val="1"/>
        <charset val="136"/>
      </rPr>
      <t>至</t>
    </r>
    <phoneticPr fontId="44" type="noConversion"/>
  </si>
  <si>
    <r>
      <rPr>
        <sz val="12"/>
        <rFont val="新細明體"/>
        <family val="1"/>
        <charset val="136"/>
      </rPr>
      <t>至</t>
    </r>
    <phoneticPr fontId="44" type="noConversion"/>
  </si>
  <si>
    <r>
      <rPr>
        <sz val="12"/>
        <rFont val="新細明體"/>
        <family val="1"/>
        <charset val="136"/>
      </rPr>
      <t>至</t>
    </r>
    <phoneticPr fontId="44" type="noConversion"/>
  </si>
  <si>
    <r>
      <rPr>
        <sz val="12"/>
        <rFont val="新細明體"/>
        <family val="1"/>
        <charset val="136"/>
      </rPr>
      <t>歲</t>
    </r>
    <phoneticPr fontId="123" type="noConversion"/>
  </si>
  <si>
    <r>
      <rPr>
        <sz val="12"/>
        <rFont val="新細明體"/>
        <family val="1"/>
        <charset val="136"/>
      </rPr>
      <t>歲</t>
    </r>
    <phoneticPr fontId="123" type="noConversion"/>
  </si>
  <si>
    <r>
      <rPr>
        <sz val="12"/>
        <rFont val="新細明體"/>
        <family val="1"/>
        <charset val="136"/>
      </rPr>
      <t>未滿</t>
    </r>
    <phoneticPr fontId="44" type="noConversion"/>
  </si>
  <si>
    <r>
      <rPr>
        <sz val="12"/>
        <rFont val="新細明體"/>
        <family val="1"/>
        <charset val="136"/>
      </rPr>
      <t>未滿</t>
    </r>
    <phoneticPr fontId="44" type="noConversion"/>
  </si>
  <si>
    <r>
      <rPr>
        <sz val="12"/>
        <rFont val="新細明體"/>
        <family val="1"/>
        <charset val="136"/>
      </rPr>
      <t>未滿</t>
    </r>
    <phoneticPr fontId="44" type="noConversion"/>
  </si>
  <si>
    <r>
      <rPr>
        <sz val="12"/>
        <rFont val="新細明體"/>
        <family val="1"/>
        <charset val="136"/>
      </rPr>
      <t>男</t>
    </r>
    <phoneticPr fontId="44" type="noConversion"/>
  </si>
  <si>
    <r>
      <rPr>
        <sz val="12"/>
        <rFont val="新細明體"/>
        <family val="1"/>
        <charset val="136"/>
      </rPr>
      <t>計</t>
    </r>
    <phoneticPr fontId="44" type="noConversion"/>
  </si>
  <si>
    <r>
      <rPr>
        <sz val="12"/>
        <rFont val="新細明體"/>
        <family val="1"/>
        <charset val="136"/>
      </rPr>
      <t>男</t>
    </r>
    <phoneticPr fontId="44" type="noConversion"/>
  </si>
  <si>
    <r>
      <rPr>
        <sz val="12"/>
        <rFont val="新細明體"/>
        <family val="1"/>
        <charset val="136"/>
      </rPr>
      <t>女</t>
    </r>
    <phoneticPr fontId="44" type="noConversion"/>
  </si>
  <si>
    <r>
      <rPr>
        <sz val="12"/>
        <rFont val="新細明體"/>
        <family val="1"/>
        <charset val="136"/>
      </rPr>
      <t>計</t>
    </r>
    <phoneticPr fontId="44" type="noConversion"/>
  </si>
  <si>
    <r>
      <rPr>
        <sz val="12"/>
        <rFont val="新細明體"/>
        <family val="1"/>
        <charset val="136"/>
      </rPr>
      <t>女</t>
    </r>
    <phoneticPr fontId="44" type="noConversion"/>
  </si>
  <si>
    <r>
      <rPr>
        <sz val="12"/>
        <rFont val="新細明體"/>
        <family val="1"/>
        <charset val="136"/>
      </rPr>
      <t>計</t>
    </r>
    <phoneticPr fontId="44" type="noConversion"/>
  </si>
  <si>
    <r>
      <rPr>
        <sz val="12"/>
        <rFont val="新細明體"/>
        <family val="1"/>
        <charset val="136"/>
      </rPr>
      <t>男</t>
    </r>
    <phoneticPr fontId="44" type="noConversion"/>
  </si>
  <si>
    <r>
      <rPr>
        <sz val="12"/>
        <rFont val="新細明體"/>
        <family val="1"/>
        <charset val="136"/>
      </rPr>
      <t>女</t>
    </r>
    <phoneticPr fontId="44" type="noConversion"/>
  </si>
  <si>
    <r>
      <rPr>
        <sz val="12"/>
        <rFont val="新細明體"/>
        <family val="1"/>
        <charset val="136"/>
      </rPr>
      <t>計</t>
    </r>
    <phoneticPr fontId="44" type="noConversion"/>
  </si>
  <si>
    <r>
      <rPr>
        <sz val="12"/>
        <rFont val="新細明體"/>
        <family val="1"/>
        <charset val="136"/>
      </rPr>
      <t>女</t>
    </r>
    <phoneticPr fontId="44" type="noConversion"/>
  </si>
  <si>
    <t>-</t>
    <phoneticPr fontId="115" type="noConversion"/>
  </si>
  <si>
    <r>
      <rPr>
        <sz val="12"/>
        <rFont val="新細明體"/>
        <family val="1"/>
        <charset val="136"/>
      </rPr>
      <t>計</t>
    </r>
    <phoneticPr fontId="44" type="noConversion"/>
  </si>
  <si>
    <r>
      <rPr>
        <sz val="12"/>
        <rFont val="新細明體"/>
        <family val="1"/>
        <charset val="136"/>
      </rPr>
      <t>男</t>
    </r>
    <phoneticPr fontId="44" type="noConversion"/>
  </si>
  <si>
    <r>
      <rPr>
        <sz val="12"/>
        <rFont val="新細明體"/>
        <family val="1"/>
        <charset val="136"/>
      </rPr>
      <t>女</t>
    </r>
    <phoneticPr fontId="44" type="noConversion"/>
  </si>
  <si>
    <r>
      <rPr>
        <sz val="15"/>
        <rFont val="新細明體"/>
        <family val="1"/>
        <charset val="136"/>
      </rPr>
      <t>表</t>
    </r>
    <r>
      <rPr>
        <sz val="15"/>
        <rFont val="Times New Roman"/>
        <family val="1"/>
      </rPr>
      <t>2-4-5</t>
    </r>
    <r>
      <rPr>
        <sz val="15"/>
        <rFont val="新細明體"/>
        <family val="1"/>
        <charset val="136"/>
      </rPr>
      <t>　近</t>
    </r>
    <r>
      <rPr>
        <sz val="15"/>
        <rFont val="Times New Roman"/>
        <family val="1"/>
      </rPr>
      <t>5</t>
    </r>
    <r>
      <rPr>
        <sz val="15"/>
        <rFont val="新細明體"/>
        <family val="1"/>
        <charset val="136"/>
      </rPr>
      <t>年監獄新入監受刑人前十大罪名</t>
    </r>
    <phoneticPr fontId="44" type="noConversion"/>
  </si>
  <si>
    <r>
      <rPr>
        <sz val="12"/>
        <rFont val="新細明體"/>
        <family val="1"/>
        <charset val="136"/>
      </rPr>
      <t>名次</t>
    </r>
    <phoneticPr fontId="44" type="noConversion"/>
  </si>
  <si>
    <r>
      <t>104</t>
    </r>
    <r>
      <rPr>
        <sz val="12"/>
        <rFont val="新細明體"/>
        <family val="1"/>
        <charset val="136"/>
      </rPr>
      <t>年</t>
    </r>
    <phoneticPr fontId="115" type="noConversion"/>
  </si>
  <si>
    <r>
      <rPr>
        <sz val="12"/>
        <rFont val="新細明體"/>
        <family val="1"/>
        <charset val="136"/>
      </rPr>
      <t>罪名</t>
    </r>
    <phoneticPr fontId="44" type="noConversion"/>
  </si>
  <si>
    <r>
      <rPr>
        <sz val="12"/>
        <rFont val="新細明體"/>
        <family val="1"/>
        <charset val="136"/>
      </rPr>
      <t>人數</t>
    </r>
    <phoneticPr fontId="44" type="noConversion"/>
  </si>
  <si>
    <r>
      <rPr>
        <sz val="12"/>
        <rFont val="新細明體"/>
        <family val="1"/>
        <charset val="136"/>
      </rPr>
      <t>罪名</t>
    </r>
    <phoneticPr fontId="44" type="noConversion"/>
  </si>
  <si>
    <r>
      <rPr>
        <sz val="12"/>
        <rFont val="新細明體"/>
        <family val="1"/>
        <charset val="136"/>
      </rPr>
      <t>人數</t>
    </r>
    <phoneticPr fontId="44" type="noConversion"/>
  </si>
  <si>
    <r>
      <rPr>
        <sz val="12"/>
        <rFont val="新細明體"/>
        <family val="1"/>
        <charset val="136"/>
      </rPr>
      <t>罪名</t>
    </r>
    <phoneticPr fontId="44" type="noConversion"/>
  </si>
  <si>
    <r>
      <rPr>
        <sz val="12"/>
        <rFont val="新細明體"/>
        <family val="1"/>
        <charset val="136"/>
      </rPr>
      <t>罪名</t>
    </r>
    <phoneticPr fontId="44" type="noConversion"/>
  </si>
  <si>
    <r>
      <rPr>
        <sz val="12"/>
        <rFont val="新細明體"/>
        <family val="1"/>
        <charset val="136"/>
      </rPr>
      <t>計</t>
    </r>
    <phoneticPr fontId="44" type="noConversion"/>
  </si>
  <si>
    <r>
      <rPr>
        <sz val="11"/>
        <rFont val="新細明體"/>
        <family val="1"/>
        <charset val="136"/>
      </rPr>
      <t>公共危險罪</t>
    </r>
  </si>
  <si>
    <r>
      <rPr>
        <sz val="11"/>
        <rFont val="新細明體"/>
        <family val="1"/>
        <charset val="136"/>
      </rPr>
      <t>毒品危害
防制條例</t>
    </r>
  </si>
  <si>
    <r>
      <rPr>
        <sz val="11"/>
        <rFont val="新細明體"/>
        <family val="1"/>
        <charset val="136"/>
      </rPr>
      <t>竊盜罪</t>
    </r>
  </si>
  <si>
    <r>
      <rPr>
        <sz val="11"/>
        <rFont val="新細明體"/>
        <family val="1"/>
        <charset val="136"/>
      </rPr>
      <t>詐欺罪</t>
    </r>
  </si>
  <si>
    <r>
      <rPr>
        <sz val="11"/>
        <rFont val="新細明體"/>
        <family val="1"/>
        <charset val="136"/>
      </rPr>
      <t>傷害罪</t>
    </r>
  </si>
  <si>
    <r>
      <rPr>
        <sz val="11"/>
        <rFont val="新細明體"/>
        <family val="1"/>
        <charset val="136"/>
      </rPr>
      <t>妨害性
自主罪</t>
    </r>
  </si>
  <si>
    <r>
      <rPr>
        <sz val="11"/>
        <rFont val="新細明體"/>
        <family val="1"/>
        <charset val="136"/>
      </rPr>
      <t>槍砲彈藥刀械管制條例</t>
    </r>
  </si>
  <si>
    <r>
      <rPr>
        <sz val="11"/>
        <rFont val="新細明體"/>
        <family val="1"/>
        <charset val="136"/>
      </rPr>
      <t>偽造文書
印</t>
    </r>
    <r>
      <rPr>
        <sz val="11"/>
        <rFont val="Times New Roman"/>
        <family val="1"/>
      </rPr>
      <t xml:space="preserve"> </t>
    </r>
    <r>
      <rPr>
        <sz val="11"/>
        <rFont val="新細明體"/>
        <family val="1"/>
        <charset val="136"/>
      </rPr>
      <t>文</t>
    </r>
    <r>
      <rPr>
        <sz val="11"/>
        <rFont val="Times New Roman"/>
        <family val="1"/>
      </rPr>
      <t xml:space="preserve"> </t>
    </r>
    <r>
      <rPr>
        <sz val="11"/>
        <rFont val="新細明體"/>
        <family val="1"/>
        <charset val="136"/>
      </rPr>
      <t>罪</t>
    </r>
  </si>
  <si>
    <r>
      <rPr>
        <sz val="11"/>
        <rFont val="新細明體"/>
        <family val="1"/>
        <charset val="136"/>
      </rPr>
      <t>侵占罪</t>
    </r>
  </si>
  <si>
    <r>
      <rPr>
        <sz val="11"/>
        <rFont val="新細明體"/>
        <family val="1"/>
        <charset val="136"/>
      </rPr>
      <t>妨害自由罪</t>
    </r>
  </si>
  <si>
    <r>
      <rPr>
        <sz val="10"/>
        <rFont val="新細明體"/>
        <family val="1"/>
        <charset val="136"/>
      </rPr>
      <t>資料來源：法務部統計處</t>
    </r>
    <phoneticPr fontId="44" type="noConversion"/>
  </si>
  <si>
    <r>
      <rPr>
        <sz val="10"/>
        <rFont val="新細明體"/>
        <family val="1"/>
        <charset val="136"/>
      </rPr>
      <t>說　　明：</t>
    </r>
    <r>
      <rPr>
        <sz val="10"/>
        <rFont val="Times New Roman"/>
        <family val="1"/>
      </rPr>
      <t xml:space="preserve">1. </t>
    </r>
    <r>
      <rPr>
        <sz val="10"/>
        <rFont val="新細明體"/>
        <family val="1"/>
        <charset val="136"/>
      </rPr>
      <t>毒品危害防制條例含</t>
    </r>
    <r>
      <rPr>
        <sz val="10"/>
        <rFont val="Times New Roman"/>
        <family val="1"/>
      </rPr>
      <t>87</t>
    </r>
    <r>
      <rPr>
        <sz val="10"/>
        <rFont val="新細明體"/>
        <family val="1"/>
        <charset val="136"/>
      </rPr>
      <t>年</t>
    </r>
    <r>
      <rPr>
        <sz val="10"/>
        <rFont val="Times New Roman"/>
        <family val="1"/>
      </rPr>
      <t>5</t>
    </r>
    <r>
      <rPr>
        <sz val="10"/>
        <rFont val="新細明體"/>
        <family val="1"/>
        <charset val="136"/>
      </rPr>
      <t>月</t>
    </r>
    <r>
      <rPr>
        <sz val="10"/>
        <rFont val="Times New Roman"/>
        <family val="1"/>
      </rPr>
      <t>20</t>
    </r>
    <r>
      <rPr>
        <sz val="10"/>
        <rFont val="新細明體"/>
        <family val="1"/>
        <charset val="136"/>
      </rPr>
      <t>日修正施行前之肅清煙毒條例及麻醉藥品管理條例人數。</t>
    </r>
    <phoneticPr fontId="44" type="noConversion"/>
  </si>
  <si>
    <r>
      <rPr>
        <sz val="10"/>
        <rFont val="新細明體"/>
        <family val="1"/>
        <charset val="136"/>
      </rPr>
      <t>　　　　　</t>
    </r>
    <r>
      <rPr>
        <sz val="10"/>
        <rFont val="Times New Roman"/>
        <family val="1"/>
      </rPr>
      <t xml:space="preserve">2. </t>
    </r>
    <r>
      <rPr>
        <sz val="10"/>
        <rFont val="新細明體"/>
        <family val="1"/>
        <charset val="136"/>
      </rPr>
      <t>傷害罪項含重傷害。</t>
    </r>
    <phoneticPr fontId="44" type="noConversion"/>
  </si>
  <si>
    <r>
      <rPr>
        <sz val="15"/>
        <rFont val="細明體"/>
        <family val="3"/>
        <charset val="136"/>
      </rPr>
      <t>表</t>
    </r>
    <r>
      <rPr>
        <sz val="15"/>
        <rFont val="Times New Roman"/>
        <family val="1"/>
      </rPr>
      <t>2-4-6</t>
    </r>
    <r>
      <rPr>
        <sz val="15"/>
        <rFont val="細明體"/>
        <family val="3"/>
        <charset val="136"/>
      </rPr>
      <t>　近</t>
    </r>
    <r>
      <rPr>
        <sz val="15"/>
        <rFont val="Times New Roman"/>
        <family val="1"/>
      </rPr>
      <t>5</t>
    </r>
    <r>
      <rPr>
        <sz val="15"/>
        <rFont val="細明體"/>
        <family val="3"/>
        <charset val="136"/>
      </rPr>
      <t>年監獄新入監受刑人罪名</t>
    </r>
    <phoneticPr fontId="115" type="noConversion"/>
  </si>
  <si>
    <r>
      <rPr>
        <sz val="12"/>
        <rFont val="新細明體"/>
        <family val="1"/>
        <charset val="136"/>
      </rPr>
      <t>計</t>
    </r>
    <phoneticPr fontId="147" type="noConversion"/>
  </si>
  <si>
    <r>
      <rPr>
        <sz val="12"/>
        <rFont val="新細明體"/>
        <family val="1"/>
        <charset val="136"/>
      </rPr>
      <t>男</t>
    </r>
    <phoneticPr fontId="147" type="noConversion"/>
  </si>
  <si>
    <r>
      <rPr>
        <sz val="12"/>
        <rFont val="新細明體"/>
        <family val="1"/>
        <charset val="136"/>
      </rPr>
      <t>女</t>
    </r>
    <phoneticPr fontId="147" type="noConversion"/>
  </si>
  <si>
    <t>總計</t>
    <phoneticPr fontId="115" type="noConversion"/>
  </si>
  <si>
    <t>違反毒品危害防制條例</t>
    <phoneticPr fontId="44" type="noConversion"/>
  </si>
  <si>
    <t>施用</t>
    <phoneticPr fontId="44" type="noConversion"/>
  </si>
  <si>
    <t>暴力犯罪案件</t>
    <phoneticPr fontId="115" type="noConversion"/>
  </si>
  <si>
    <t>總計</t>
    <phoneticPr fontId="44" type="noConversion"/>
  </si>
  <si>
    <t>殺人罪(不含過失致死)</t>
  </si>
  <si>
    <t>重傷罪</t>
    <phoneticPr fontId="44" type="noConversion"/>
  </si>
  <si>
    <t>強制性交罪</t>
  </si>
  <si>
    <t>強盜及海盜罪</t>
    <phoneticPr fontId="44" type="noConversion"/>
  </si>
  <si>
    <t>搶奪罪</t>
  </si>
  <si>
    <t>恐嚇取財得利罪</t>
    <phoneticPr fontId="44" type="noConversion"/>
  </si>
  <si>
    <t>擄人勒贖罪</t>
  </si>
  <si>
    <t>懲治盜匪條例</t>
  </si>
  <si>
    <t>違反著作權法</t>
    <phoneticPr fontId="44" type="noConversion"/>
  </si>
  <si>
    <t>違反商標法</t>
    <phoneticPr fontId="44" type="noConversion"/>
  </si>
  <si>
    <t>公共危險罪</t>
  </si>
  <si>
    <t>不能安全駕駛罪</t>
  </si>
  <si>
    <t>偽造文書印文罪</t>
  </si>
  <si>
    <t>過失致死</t>
    <phoneticPr fontId="44" type="noConversion"/>
  </si>
  <si>
    <t>普通傷害罪</t>
    <phoneticPr fontId="44" type="noConversion"/>
  </si>
  <si>
    <t>竊盜罪</t>
  </si>
  <si>
    <t>詐欺罪</t>
  </si>
  <si>
    <t>妨害性自主罪(不含強制性交罪)</t>
    <phoneticPr fontId="44" type="noConversion"/>
  </si>
  <si>
    <t>違反槍砲彈藥刀械管制條例</t>
    <phoneticPr fontId="44" type="noConversion"/>
  </si>
  <si>
    <t>其他</t>
    <phoneticPr fontId="44" type="noConversion"/>
  </si>
  <si>
    <r>
      <rPr>
        <sz val="11"/>
        <rFont val="新細明體"/>
        <family val="1"/>
        <charset val="136"/>
      </rPr>
      <t>資料來源：法務部統計處</t>
    </r>
  </si>
  <si>
    <r>
      <rPr>
        <sz val="11"/>
        <rFont val="新細明體"/>
        <family val="1"/>
        <charset val="136"/>
      </rPr>
      <t>說　　明：</t>
    </r>
    <r>
      <rPr>
        <sz val="11"/>
        <rFont val="Times New Roman"/>
        <family val="1"/>
      </rPr>
      <t xml:space="preserve">1. </t>
    </r>
    <r>
      <rPr>
        <sz val="11"/>
        <rFont val="新細明體"/>
        <family val="1"/>
        <charset val="136"/>
      </rPr>
      <t>毒品危害防制條例含</t>
    </r>
    <r>
      <rPr>
        <sz val="11"/>
        <rFont val="Times New Roman"/>
        <family val="1"/>
      </rPr>
      <t>87</t>
    </r>
    <r>
      <rPr>
        <sz val="11"/>
        <rFont val="新細明體"/>
        <family val="1"/>
        <charset val="136"/>
      </rPr>
      <t>年</t>
    </r>
    <r>
      <rPr>
        <sz val="11"/>
        <rFont val="Times New Roman"/>
        <family val="1"/>
      </rPr>
      <t>5</t>
    </r>
    <r>
      <rPr>
        <sz val="11"/>
        <rFont val="新細明體"/>
        <family val="1"/>
        <charset val="136"/>
      </rPr>
      <t>月</t>
    </r>
    <r>
      <rPr>
        <sz val="11"/>
        <rFont val="Times New Roman"/>
        <family val="1"/>
      </rPr>
      <t>20</t>
    </r>
    <r>
      <rPr>
        <sz val="11"/>
        <rFont val="新細明體"/>
        <family val="1"/>
        <charset val="136"/>
      </rPr>
      <t>日修正施行前之肅清煙毒條例及麻醉藥品管理條例人數。</t>
    </r>
    <phoneticPr fontId="44" type="noConversion"/>
  </si>
  <si>
    <r>
      <rPr>
        <sz val="11"/>
        <rFont val="新細明體"/>
        <family val="1"/>
        <charset val="136"/>
      </rPr>
      <t>　　　　　</t>
    </r>
    <r>
      <rPr>
        <sz val="11"/>
        <rFont val="Times New Roman"/>
        <family val="1"/>
      </rPr>
      <t xml:space="preserve">2. </t>
    </r>
    <r>
      <rPr>
        <sz val="11"/>
        <rFont val="新細明體"/>
        <family val="1"/>
        <charset val="136"/>
      </rPr>
      <t>「強制性交罪」係指</t>
    </r>
    <r>
      <rPr>
        <sz val="11"/>
        <rFont val="Times New Roman"/>
        <family val="1"/>
      </rPr>
      <t>88</t>
    </r>
    <r>
      <rPr>
        <sz val="11"/>
        <rFont val="新細明體"/>
        <family val="1"/>
        <charset val="136"/>
      </rPr>
      <t>年</t>
    </r>
    <r>
      <rPr>
        <sz val="11"/>
        <rFont val="Times New Roman"/>
        <family val="1"/>
      </rPr>
      <t>4</t>
    </r>
    <r>
      <rPr>
        <sz val="11"/>
        <rFont val="新細明體"/>
        <family val="1"/>
        <charset val="136"/>
      </rPr>
      <t>月</t>
    </r>
    <r>
      <rPr>
        <sz val="11"/>
        <rFont val="Times New Roman"/>
        <family val="1"/>
      </rPr>
      <t>21</t>
    </r>
    <r>
      <rPr>
        <sz val="11"/>
        <rFont val="新細明體"/>
        <family val="1"/>
        <charset val="136"/>
      </rPr>
      <t>日修正刑法「妨害性自主罪章」之第</t>
    </r>
    <r>
      <rPr>
        <sz val="11"/>
        <rFont val="Times New Roman"/>
        <family val="1"/>
      </rPr>
      <t>221</t>
    </r>
    <r>
      <rPr>
        <sz val="11"/>
        <rFont val="新細明體"/>
        <family val="1"/>
        <charset val="136"/>
      </rPr>
      <t>條、第</t>
    </r>
    <r>
      <rPr>
        <sz val="11"/>
        <rFont val="Times New Roman"/>
        <family val="1"/>
      </rPr>
      <t>222</t>
    </r>
    <r>
      <rPr>
        <sz val="11"/>
        <rFont val="新細明體"/>
        <family val="1"/>
        <charset val="136"/>
      </rPr>
      <t>條、第</t>
    </r>
    <r>
      <rPr>
        <sz val="11"/>
        <rFont val="Times New Roman"/>
        <family val="1"/>
      </rPr>
      <t>225</t>
    </r>
    <r>
      <rPr>
        <sz val="11"/>
        <rFont val="新細明體"/>
        <family val="1"/>
        <charset val="136"/>
      </rPr>
      <t>條第</t>
    </r>
    <r>
      <rPr>
        <sz val="11"/>
        <rFont val="Times New Roman"/>
        <family val="1"/>
      </rPr>
      <t>1</t>
    </r>
    <r>
      <rPr>
        <sz val="11"/>
        <rFont val="新細明體"/>
        <family val="1"/>
        <charset val="136"/>
      </rPr>
      <t>項及第</t>
    </r>
    <r>
      <rPr>
        <sz val="11"/>
        <rFont val="Times New Roman"/>
        <family val="1"/>
      </rPr>
      <t>3</t>
    </r>
    <r>
      <rPr>
        <sz val="11"/>
        <rFont val="新細明體"/>
        <family val="1"/>
        <charset val="136"/>
      </rPr>
      <t>項、第</t>
    </r>
    <r>
      <rPr>
        <sz val="11"/>
        <rFont val="Times New Roman"/>
        <family val="1"/>
      </rPr>
      <t>226</t>
    </r>
    <r>
      <rPr>
        <sz val="11"/>
        <rFont val="新細明體"/>
        <family val="1"/>
        <charset val="136"/>
      </rPr>
      <t>條、第</t>
    </r>
    <r>
      <rPr>
        <sz val="11"/>
        <rFont val="Times New Roman"/>
        <family val="1"/>
      </rPr>
      <t>226</t>
    </r>
    <r>
      <rPr>
        <sz val="11"/>
        <rFont val="新細明體"/>
        <family val="1"/>
        <charset val="136"/>
      </rPr>
      <t>條之</t>
    </r>
    <r>
      <rPr>
        <sz val="11"/>
        <rFont val="Times New Roman"/>
        <family val="1"/>
      </rPr>
      <t>1</t>
    </r>
    <r>
      <rPr>
        <sz val="11"/>
        <rFont val="新細明體"/>
        <family val="1"/>
        <charset val="136"/>
      </rPr>
      <t>及
　　　　　　修正前「妨害風化罪章」之第</t>
    </r>
    <r>
      <rPr>
        <sz val="11"/>
        <rFont val="Times New Roman"/>
        <family val="1"/>
      </rPr>
      <t>221</t>
    </r>
    <r>
      <rPr>
        <sz val="11"/>
        <rFont val="新細明體"/>
        <family val="1"/>
        <charset val="136"/>
      </rPr>
      <t>條、第</t>
    </r>
    <r>
      <rPr>
        <sz val="11"/>
        <rFont val="Times New Roman"/>
        <family val="1"/>
      </rPr>
      <t>222</t>
    </r>
    <r>
      <rPr>
        <sz val="11"/>
        <rFont val="新細明體"/>
        <family val="1"/>
        <charset val="136"/>
      </rPr>
      <t>條、第</t>
    </r>
    <r>
      <rPr>
        <sz val="11"/>
        <rFont val="Times New Roman"/>
        <family val="1"/>
      </rPr>
      <t>223</t>
    </r>
    <r>
      <rPr>
        <sz val="11"/>
        <rFont val="新細明體"/>
        <family val="1"/>
        <charset val="136"/>
      </rPr>
      <t>條、第</t>
    </r>
    <r>
      <rPr>
        <sz val="11"/>
        <rFont val="Times New Roman"/>
        <family val="1"/>
      </rPr>
      <t>225</t>
    </r>
    <r>
      <rPr>
        <sz val="11"/>
        <rFont val="新細明體"/>
        <family val="1"/>
        <charset val="136"/>
      </rPr>
      <t>條第</t>
    </r>
    <r>
      <rPr>
        <sz val="11"/>
        <rFont val="Times New Roman"/>
        <family val="1"/>
      </rPr>
      <t>1</t>
    </r>
    <r>
      <rPr>
        <sz val="11"/>
        <rFont val="新細明體"/>
        <family val="1"/>
        <charset val="136"/>
      </rPr>
      <t>項及第</t>
    </r>
    <r>
      <rPr>
        <sz val="11"/>
        <rFont val="Times New Roman"/>
        <family val="1"/>
      </rPr>
      <t>3</t>
    </r>
    <r>
      <rPr>
        <sz val="11"/>
        <rFont val="新細明體"/>
        <family val="1"/>
        <charset val="136"/>
      </rPr>
      <t>項、第</t>
    </r>
    <r>
      <rPr>
        <sz val="11"/>
        <rFont val="Times New Roman"/>
        <family val="1"/>
      </rPr>
      <t>226</t>
    </r>
    <r>
      <rPr>
        <sz val="11"/>
        <rFont val="新細明體"/>
        <family val="1"/>
        <charset val="136"/>
      </rPr>
      <t>條。</t>
    </r>
    <phoneticPr fontId="44" type="noConversion"/>
  </si>
  <si>
    <r>
      <rPr>
        <sz val="11"/>
        <rFont val="新細明體"/>
        <family val="1"/>
        <charset val="136"/>
      </rPr>
      <t>　　　　　</t>
    </r>
    <r>
      <rPr>
        <sz val="11"/>
        <rFont val="Times New Roman"/>
        <family val="1"/>
      </rPr>
      <t xml:space="preserve">3. </t>
    </r>
    <r>
      <rPr>
        <sz val="11"/>
        <rFont val="新細明體"/>
        <family val="1"/>
        <charset val="136"/>
      </rPr>
      <t>海盜罪無收容人數。</t>
    </r>
    <phoneticPr fontId="44" type="noConversion"/>
  </si>
  <si>
    <r>
      <rPr>
        <sz val="11"/>
        <rFont val="新細明體"/>
        <family val="1"/>
        <charset val="136"/>
      </rPr>
      <t>　　　　　</t>
    </r>
    <r>
      <rPr>
        <sz val="11"/>
        <rFont val="Times New Roman"/>
        <family val="1"/>
      </rPr>
      <t xml:space="preserve">4. </t>
    </r>
    <r>
      <rPr>
        <sz val="11"/>
        <rFont val="新細明體"/>
        <family val="1"/>
        <charset val="136"/>
      </rPr>
      <t>懲治盜匪條例自</t>
    </r>
    <r>
      <rPr>
        <sz val="11"/>
        <rFont val="Times New Roman"/>
        <family val="1"/>
      </rPr>
      <t>91</t>
    </r>
    <r>
      <rPr>
        <sz val="11"/>
        <rFont val="新細明體"/>
        <family val="1"/>
        <charset val="136"/>
      </rPr>
      <t>年</t>
    </r>
    <r>
      <rPr>
        <sz val="11"/>
        <rFont val="Times New Roman"/>
        <family val="1"/>
      </rPr>
      <t>1</t>
    </r>
    <r>
      <rPr>
        <sz val="11"/>
        <rFont val="新細明體"/>
        <family val="1"/>
        <charset val="136"/>
      </rPr>
      <t>月廢止後，原適用該條例之犯罪行為，改引用刑法論罪處刑，如強盜罪、擄人勒贖罪等。</t>
    </r>
    <phoneticPr fontId="44" type="noConversion"/>
  </si>
  <si>
    <r>
      <rPr>
        <sz val="15"/>
        <rFont val="新細明體"/>
        <family val="1"/>
        <charset val="136"/>
      </rPr>
      <t>表</t>
    </r>
    <r>
      <rPr>
        <sz val="15"/>
        <rFont val="Times New Roman"/>
        <family val="1"/>
      </rPr>
      <t>2-4-7</t>
    </r>
    <r>
      <rPr>
        <sz val="15"/>
        <rFont val="新細明體"/>
        <family val="1"/>
        <charset val="136"/>
      </rPr>
      <t>　近</t>
    </r>
    <r>
      <rPr>
        <sz val="15"/>
        <rFont val="Times New Roman"/>
        <family val="1"/>
      </rPr>
      <t>10</t>
    </r>
    <r>
      <rPr>
        <sz val="15"/>
        <rFont val="新細明體"/>
        <family val="1"/>
        <charset val="136"/>
      </rPr>
      <t>年監獄新入監受刑人犯罪原因</t>
    </r>
    <phoneticPr fontId="44" type="noConversion"/>
  </si>
  <si>
    <r>
      <rPr>
        <sz val="12"/>
        <rFont val="新細明體"/>
        <family val="1"/>
        <charset val="136"/>
      </rPr>
      <t>總</t>
    </r>
    <r>
      <rPr>
        <sz val="12"/>
        <rFont val="Times New Roman"/>
        <family val="1"/>
      </rPr>
      <t xml:space="preserve">       </t>
    </r>
    <r>
      <rPr>
        <sz val="12"/>
        <rFont val="新細明體"/>
        <family val="1"/>
        <charset val="136"/>
      </rPr>
      <t>計</t>
    </r>
    <phoneticPr fontId="44" type="noConversion"/>
  </si>
  <si>
    <r>
      <rPr>
        <sz val="12"/>
        <rFont val="新細明體"/>
        <family val="1"/>
        <charset val="136"/>
      </rPr>
      <t>不良嗜好</t>
    </r>
    <phoneticPr fontId="44" type="noConversion"/>
  </si>
  <si>
    <r>
      <rPr>
        <sz val="12"/>
        <rFont val="新細明體"/>
        <family val="1"/>
        <charset val="136"/>
      </rPr>
      <t>觀念錯誤</t>
    </r>
    <phoneticPr fontId="44" type="noConversion"/>
  </si>
  <si>
    <r>
      <rPr>
        <sz val="12"/>
        <rFont val="新細明體"/>
        <family val="1"/>
        <charset val="136"/>
      </rPr>
      <t>投機圖利</t>
    </r>
    <phoneticPr fontId="44" type="noConversion"/>
  </si>
  <si>
    <r>
      <rPr>
        <sz val="12"/>
        <rFont val="新細明體"/>
        <family val="1"/>
        <charset val="136"/>
      </rPr>
      <t>犯罪習慣</t>
    </r>
    <phoneticPr fontId="44" type="noConversion"/>
  </si>
  <si>
    <r>
      <rPr>
        <sz val="12"/>
        <rFont val="新細明體"/>
        <family val="1"/>
        <charset val="136"/>
      </rPr>
      <t>性情暴戾</t>
    </r>
    <phoneticPr fontId="44" type="noConversion"/>
  </si>
  <si>
    <r>
      <rPr>
        <sz val="12"/>
        <rFont val="新細明體"/>
        <family val="1"/>
        <charset val="136"/>
      </rPr>
      <t>外界引誘</t>
    </r>
    <phoneticPr fontId="44" type="noConversion"/>
  </si>
  <si>
    <r>
      <rPr>
        <sz val="12"/>
        <rFont val="新細明體"/>
        <family val="1"/>
        <charset val="136"/>
      </rPr>
      <t>一時過失</t>
    </r>
    <phoneticPr fontId="44" type="noConversion"/>
  </si>
  <si>
    <r>
      <rPr>
        <sz val="12"/>
        <rFont val="新細明體"/>
        <family val="1"/>
        <charset val="136"/>
      </rPr>
      <t>情慾衝動</t>
    </r>
    <phoneticPr fontId="44" type="noConversion"/>
  </si>
  <si>
    <r>
      <rPr>
        <sz val="12"/>
        <rFont val="新細明體"/>
        <family val="1"/>
        <charset val="136"/>
      </rPr>
      <t>交友不慎</t>
    </r>
    <phoneticPr fontId="44" type="noConversion"/>
  </si>
  <si>
    <r>
      <rPr>
        <sz val="12"/>
        <rFont val="新細明體"/>
        <family val="1"/>
        <charset val="136"/>
      </rPr>
      <t>缺乏教育</t>
    </r>
    <phoneticPr fontId="44" type="noConversion"/>
  </si>
  <si>
    <r>
      <rPr>
        <sz val="12"/>
        <rFont val="新細明體"/>
        <family val="1"/>
        <charset val="136"/>
      </rPr>
      <t>生活煎迫</t>
    </r>
    <phoneticPr fontId="44" type="noConversion"/>
  </si>
  <si>
    <r>
      <rPr>
        <sz val="12"/>
        <rFont val="新細明體"/>
        <family val="1"/>
        <charset val="136"/>
      </rPr>
      <t>不良環境</t>
    </r>
    <phoneticPr fontId="44" type="noConversion"/>
  </si>
  <si>
    <r>
      <rPr>
        <sz val="12"/>
        <rFont val="新細明體"/>
        <family val="1"/>
        <charset val="136"/>
      </rPr>
      <t>心神失常</t>
    </r>
    <phoneticPr fontId="44" type="noConversion"/>
  </si>
  <si>
    <r>
      <rPr>
        <sz val="12"/>
        <rFont val="新細明體"/>
        <family val="1"/>
        <charset val="136"/>
      </rPr>
      <t>不滿現實</t>
    </r>
    <phoneticPr fontId="44" type="noConversion"/>
  </si>
  <si>
    <r>
      <rPr>
        <sz val="12"/>
        <rFont val="新細明體"/>
        <family val="1"/>
        <charset val="136"/>
      </rPr>
      <t>愛情糾紛</t>
    </r>
    <phoneticPr fontId="44" type="noConversion"/>
  </si>
  <si>
    <r>
      <rPr>
        <sz val="12"/>
        <rFont val="新細明體"/>
        <family val="1"/>
        <charset val="136"/>
      </rPr>
      <t>報仇雪恨</t>
    </r>
    <phoneticPr fontId="44" type="noConversion"/>
  </si>
  <si>
    <r>
      <rPr>
        <sz val="12"/>
        <rFont val="新細明體"/>
        <family val="1"/>
        <charset val="136"/>
      </rPr>
      <t>防衛過當</t>
    </r>
    <phoneticPr fontId="44" type="noConversion"/>
  </si>
  <si>
    <r>
      <rPr>
        <sz val="12"/>
        <rFont val="新細明體"/>
        <family val="1"/>
        <charset val="136"/>
      </rPr>
      <t>激於義憤</t>
    </r>
    <phoneticPr fontId="44" type="noConversion"/>
  </si>
  <si>
    <r>
      <rPr>
        <sz val="12"/>
        <rFont val="新細明體"/>
        <family val="1"/>
        <charset val="136"/>
      </rPr>
      <t>派系傾軋</t>
    </r>
    <phoneticPr fontId="44" type="noConversion"/>
  </si>
  <si>
    <r>
      <rPr>
        <sz val="12"/>
        <rFont val="新細明體"/>
        <family val="1"/>
        <charset val="136"/>
      </rPr>
      <t>其他</t>
    </r>
    <phoneticPr fontId="44" type="noConversion"/>
  </si>
  <si>
    <r>
      <rPr>
        <sz val="10"/>
        <rFont val="新細明體"/>
        <family val="1"/>
        <charset val="136"/>
      </rPr>
      <t>資料來源：法務部統計處</t>
    </r>
    <phoneticPr fontId="44" type="noConversion"/>
  </si>
  <si>
    <r>
      <rPr>
        <sz val="15"/>
        <rFont val="新細明體"/>
        <family val="1"/>
        <charset val="136"/>
      </rPr>
      <t>表</t>
    </r>
    <r>
      <rPr>
        <sz val="15"/>
        <rFont val="Times New Roman"/>
        <family val="1"/>
      </rPr>
      <t>2-4-8</t>
    </r>
    <r>
      <rPr>
        <sz val="15"/>
        <rFont val="新細明體"/>
        <family val="1"/>
        <charset val="136"/>
      </rPr>
      <t>　近</t>
    </r>
    <r>
      <rPr>
        <sz val="15"/>
        <rFont val="Times New Roman"/>
        <family val="1"/>
      </rPr>
      <t>5</t>
    </r>
    <r>
      <rPr>
        <sz val="15"/>
        <rFont val="新細明體"/>
        <family val="1"/>
        <charset val="136"/>
      </rPr>
      <t>年監獄新入監、在監受刑人刑名</t>
    </r>
    <phoneticPr fontId="44" type="noConversion"/>
  </si>
  <si>
    <r>
      <rPr>
        <sz val="10"/>
        <rFont val="新細明體"/>
        <family val="1"/>
        <charset val="136"/>
      </rPr>
      <t>單位：人</t>
    </r>
    <phoneticPr fontId="44" type="noConversion"/>
  </si>
  <si>
    <r>
      <rPr>
        <sz val="12"/>
        <rFont val="新細明體"/>
        <family val="1"/>
        <charset val="136"/>
      </rPr>
      <t>年</t>
    </r>
    <r>
      <rPr>
        <sz val="12"/>
        <rFont val="Times New Roman"/>
        <family val="1"/>
      </rPr>
      <t xml:space="preserve"> </t>
    </r>
    <r>
      <rPr>
        <sz val="12"/>
        <rFont val="新細明體"/>
        <family val="1"/>
        <charset val="136"/>
      </rPr>
      <t>別</t>
    </r>
    <phoneticPr fontId="44" type="noConversion"/>
  </si>
  <si>
    <r>
      <rPr>
        <sz val="12"/>
        <rFont val="新細明體"/>
        <family val="1"/>
        <charset val="136"/>
      </rPr>
      <t>新</t>
    </r>
    <r>
      <rPr>
        <sz val="12"/>
        <rFont val="Times New Roman"/>
        <family val="1"/>
      </rPr>
      <t xml:space="preserve">  </t>
    </r>
    <r>
      <rPr>
        <sz val="12"/>
        <rFont val="新細明體"/>
        <family val="1"/>
        <charset val="136"/>
      </rPr>
      <t>入</t>
    </r>
    <r>
      <rPr>
        <sz val="12"/>
        <rFont val="Times New Roman"/>
        <family val="1"/>
      </rPr>
      <t xml:space="preserve">  </t>
    </r>
    <r>
      <rPr>
        <sz val="12"/>
        <rFont val="新細明體"/>
        <family val="1"/>
        <charset val="136"/>
      </rPr>
      <t>監</t>
    </r>
    <r>
      <rPr>
        <sz val="12"/>
        <rFont val="Times New Roman"/>
        <family val="1"/>
      </rPr>
      <t xml:space="preserve">  </t>
    </r>
    <r>
      <rPr>
        <sz val="12"/>
        <rFont val="新細明體"/>
        <family val="1"/>
        <charset val="136"/>
      </rPr>
      <t>受</t>
    </r>
    <r>
      <rPr>
        <sz val="12"/>
        <rFont val="Times New Roman"/>
        <family val="1"/>
      </rPr>
      <t xml:space="preserve">  </t>
    </r>
    <r>
      <rPr>
        <sz val="12"/>
        <rFont val="新細明體"/>
        <family val="1"/>
        <charset val="136"/>
      </rPr>
      <t>刑</t>
    </r>
    <r>
      <rPr>
        <sz val="12"/>
        <rFont val="Times New Roman"/>
        <family val="1"/>
      </rPr>
      <t xml:space="preserve">  </t>
    </r>
    <r>
      <rPr>
        <sz val="12"/>
        <rFont val="新細明體"/>
        <family val="1"/>
        <charset val="136"/>
      </rPr>
      <t>人</t>
    </r>
    <r>
      <rPr>
        <sz val="12"/>
        <rFont val="Times New Roman"/>
        <family val="1"/>
      </rPr>
      <t xml:space="preserve">  </t>
    </r>
    <r>
      <rPr>
        <sz val="12"/>
        <rFont val="新細明體"/>
        <family val="1"/>
        <charset val="136"/>
      </rPr>
      <t>宣</t>
    </r>
    <r>
      <rPr>
        <sz val="12"/>
        <rFont val="Times New Roman"/>
        <family val="1"/>
      </rPr>
      <t xml:space="preserve">  </t>
    </r>
    <r>
      <rPr>
        <sz val="12"/>
        <rFont val="新細明體"/>
        <family val="1"/>
        <charset val="136"/>
      </rPr>
      <t>告</t>
    </r>
    <r>
      <rPr>
        <sz val="12"/>
        <rFont val="Times New Roman"/>
        <family val="1"/>
      </rPr>
      <t xml:space="preserve">  </t>
    </r>
    <r>
      <rPr>
        <sz val="12"/>
        <rFont val="新細明體"/>
        <family val="1"/>
        <charset val="136"/>
      </rPr>
      <t>刑</t>
    </r>
    <r>
      <rPr>
        <sz val="12"/>
        <rFont val="Times New Roman"/>
        <family val="1"/>
      </rPr>
      <t xml:space="preserve">  </t>
    </r>
    <r>
      <rPr>
        <sz val="12"/>
        <rFont val="新細明體"/>
        <family val="1"/>
        <charset val="136"/>
      </rPr>
      <t>刑</t>
    </r>
    <r>
      <rPr>
        <sz val="12"/>
        <rFont val="Times New Roman"/>
        <family val="1"/>
      </rPr>
      <t xml:space="preserve">  </t>
    </r>
    <r>
      <rPr>
        <sz val="12"/>
        <rFont val="新細明體"/>
        <family val="1"/>
        <charset val="136"/>
      </rPr>
      <t>名</t>
    </r>
    <phoneticPr fontId="44" type="noConversion"/>
  </si>
  <si>
    <r>
      <rPr>
        <sz val="12"/>
        <rFont val="新細明體"/>
        <family val="1"/>
        <charset val="136"/>
      </rPr>
      <t>死</t>
    </r>
    <phoneticPr fontId="44" type="noConversion"/>
  </si>
  <si>
    <r>
      <rPr>
        <sz val="12"/>
        <rFont val="新細明體"/>
        <family val="1"/>
        <charset val="136"/>
      </rPr>
      <t>無</t>
    </r>
    <phoneticPr fontId="44" type="noConversion"/>
  </si>
  <si>
    <r>
      <rPr>
        <sz val="12"/>
        <rFont val="新細明體"/>
        <family val="1"/>
        <charset val="136"/>
      </rPr>
      <t>有</t>
    </r>
    <phoneticPr fontId="44" type="noConversion"/>
  </si>
  <si>
    <r>
      <rPr>
        <sz val="12"/>
        <rFont val="新細明體"/>
        <family val="1"/>
        <charset val="136"/>
      </rPr>
      <t>期</t>
    </r>
    <phoneticPr fontId="44" type="noConversion"/>
  </si>
  <si>
    <r>
      <rPr>
        <sz val="12"/>
        <rFont val="新細明體"/>
        <family val="1"/>
        <charset val="136"/>
      </rPr>
      <t>徒</t>
    </r>
    <phoneticPr fontId="44" type="noConversion"/>
  </si>
  <si>
    <r>
      <rPr>
        <sz val="12"/>
        <rFont val="新細明體"/>
        <family val="1"/>
        <charset val="136"/>
      </rPr>
      <t>刑</t>
    </r>
    <phoneticPr fontId="44" type="noConversion"/>
  </si>
  <si>
    <r>
      <rPr>
        <sz val="12"/>
        <rFont val="新細明體"/>
        <family val="1"/>
        <charset val="136"/>
      </rPr>
      <t>拘</t>
    </r>
    <phoneticPr fontId="44" type="noConversion"/>
  </si>
  <si>
    <r>
      <rPr>
        <sz val="12"/>
        <rFont val="新細明體"/>
        <family val="1"/>
        <charset val="136"/>
      </rPr>
      <t>（易服勞役）
罰金</t>
    </r>
    <phoneticPr fontId="44" type="noConversion"/>
  </si>
  <si>
    <r>
      <rPr>
        <sz val="12"/>
        <rFont val="新細明體"/>
        <family val="1"/>
        <charset val="136"/>
      </rPr>
      <t>六月以下</t>
    </r>
    <phoneticPr fontId="44" type="noConversion"/>
  </si>
  <si>
    <r>
      <rPr>
        <sz val="12"/>
        <rFont val="新細明體"/>
        <family val="1"/>
        <charset val="136"/>
      </rPr>
      <t>一年未滿
逾六月</t>
    </r>
    <phoneticPr fontId="44" type="noConversion"/>
  </si>
  <si>
    <r>
      <rPr>
        <sz val="12"/>
        <rFont val="新細明體"/>
        <family val="1"/>
        <charset val="136"/>
      </rPr>
      <t>三年未滿
一年以上</t>
    </r>
    <phoneticPr fontId="44" type="noConversion"/>
  </si>
  <si>
    <r>
      <rPr>
        <sz val="12"/>
        <rFont val="新細明體"/>
        <family val="1"/>
        <charset val="136"/>
      </rPr>
      <t>五年未滿
三年以上</t>
    </r>
    <phoneticPr fontId="44" type="noConversion"/>
  </si>
  <si>
    <r>
      <rPr>
        <sz val="12"/>
        <rFont val="新細明體"/>
        <family val="1"/>
        <charset val="136"/>
      </rPr>
      <t>七年未滿
五年以上</t>
    </r>
    <phoneticPr fontId="44" type="noConversion"/>
  </si>
  <si>
    <r>
      <rPr>
        <sz val="12"/>
        <rFont val="新細明體"/>
        <family val="1"/>
        <charset val="136"/>
      </rPr>
      <t>十年未滿
七年以上</t>
    </r>
    <phoneticPr fontId="44" type="noConversion"/>
  </si>
  <si>
    <r>
      <rPr>
        <sz val="12"/>
        <rFont val="新細明體"/>
        <family val="1"/>
        <charset val="136"/>
      </rPr>
      <t>十五年以下
十年以上</t>
    </r>
    <phoneticPr fontId="44" type="noConversion"/>
  </si>
  <si>
    <r>
      <rPr>
        <sz val="12"/>
        <rFont val="新細明體"/>
        <family val="1"/>
        <charset val="136"/>
      </rPr>
      <t>逾十五年</t>
    </r>
    <phoneticPr fontId="44" type="noConversion"/>
  </si>
  <si>
    <r>
      <rPr>
        <sz val="12"/>
        <rFont val="新細明體"/>
        <family val="1"/>
        <charset val="136"/>
      </rPr>
      <t>役</t>
    </r>
    <phoneticPr fontId="44" type="noConversion"/>
  </si>
  <si>
    <t>82</t>
    <phoneticPr fontId="44" type="noConversion"/>
  </si>
  <si>
    <t>83</t>
    <phoneticPr fontId="44" type="noConversion"/>
  </si>
  <si>
    <t>84</t>
    <phoneticPr fontId="44" type="noConversion"/>
  </si>
  <si>
    <t>85</t>
    <phoneticPr fontId="44" type="noConversion"/>
  </si>
  <si>
    <t>86</t>
    <phoneticPr fontId="44" type="noConversion"/>
  </si>
  <si>
    <t>87</t>
    <phoneticPr fontId="44" type="noConversion"/>
  </si>
  <si>
    <t>88</t>
    <phoneticPr fontId="44" type="noConversion"/>
  </si>
  <si>
    <t>89</t>
    <phoneticPr fontId="44" type="noConversion"/>
  </si>
  <si>
    <t>90</t>
    <phoneticPr fontId="44" type="noConversion"/>
  </si>
  <si>
    <t>91</t>
    <phoneticPr fontId="44" type="noConversion"/>
  </si>
  <si>
    <t>92</t>
    <phoneticPr fontId="44" type="noConversion"/>
  </si>
  <si>
    <t>93</t>
    <phoneticPr fontId="44" type="noConversion"/>
  </si>
  <si>
    <t>94</t>
    <phoneticPr fontId="44" type="noConversion"/>
  </si>
  <si>
    <t>95</t>
    <phoneticPr fontId="44" type="noConversion"/>
  </si>
  <si>
    <t>-</t>
    <phoneticPr fontId="44" type="noConversion"/>
  </si>
  <si>
    <t>96</t>
    <phoneticPr fontId="44" type="noConversion"/>
  </si>
  <si>
    <t>97</t>
    <phoneticPr fontId="44" type="noConversion"/>
  </si>
  <si>
    <t>-</t>
    <phoneticPr fontId="44" type="noConversion"/>
  </si>
  <si>
    <t>98</t>
    <phoneticPr fontId="44" type="noConversion"/>
  </si>
  <si>
    <t>99</t>
    <phoneticPr fontId="44" type="noConversion"/>
  </si>
  <si>
    <t>100</t>
    <phoneticPr fontId="44" type="noConversion"/>
  </si>
  <si>
    <t>101</t>
    <phoneticPr fontId="44" type="noConversion"/>
  </si>
  <si>
    <t>104</t>
    <phoneticPr fontId="44" type="noConversion"/>
  </si>
  <si>
    <t>-</t>
    <phoneticPr fontId="44" type="noConversion"/>
  </si>
  <si>
    <t>-</t>
    <phoneticPr fontId="44" type="noConversion"/>
  </si>
  <si>
    <r>
      <rPr>
        <sz val="12"/>
        <rFont val="新細明體"/>
        <family val="1"/>
        <charset val="136"/>
      </rPr>
      <t>年</t>
    </r>
    <r>
      <rPr>
        <sz val="12"/>
        <rFont val="Times New Roman"/>
        <family val="1"/>
      </rPr>
      <t xml:space="preserve"> </t>
    </r>
    <r>
      <rPr>
        <sz val="12"/>
        <rFont val="新細明體"/>
        <family val="1"/>
        <charset val="136"/>
      </rPr>
      <t>別</t>
    </r>
    <phoneticPr fontId="44" type="noConversion"/>
  </si>
  <si>
    <r>
      <rPr>
        <sz val="12"/>
        <rFont val="新細明體"/>
        <family val="1"/>
        <charset val="136"/>
      </rPr>
      <t>在</t>
    </r>
    <r>
      <rPr>
        <sz val="12"/>
        <rFont val="Times New Roman"/>
        <family val="1"/>
      </rPr>
      <t xml:space="preserve">  </t>
    </r>
    <r>
      <rPr>
        <sz val="12"/>
        <rFont val="新細明體"/>
        <family val="1"/>
        <charset val="136"/>
      </rPr>
      <t>監</t>
    </r>
    <r>
      <rPr>
        <sz val="12"/>
        <rFont val="Times New Roman"/>
        <family val="1"/>
      </rPr>
      <t xml:space="preserve">  </t>
    </r>
    <r>
      <rPr>
        <sz val="12"/>
        <rFont val="新細明體"/>
        <family val="1"/>
        <charset val="136"/>
      </rPr>
      <t>受</t>
    </r>
    <r>
      <rPr>
        <sz val="12"/>
        <rFont val="Times New Roman"/>
        <family val="1"/>
      </rPr>
      <t xml:space="preserve">  </t>
    </r>
    <r>
      <rPr>
        <sz val="12"/>
        <rFont val="新細明體"/>
        <family val="1"/>
        <charset val="136"/>
      </rPr>
      <t>刑</t>
    </r>
    <r>
      <rPr>
        <sz val="12"/>
        <rFont val="Times New Roman"/>
        <family val="1"/>
      </rPr>
      <t xml:space="preserve">  </t>
    </r>
    <r>
      <rPr>
        <sz val="12"/>
        <rFont val="新細明體"/>
        <family val="1"/>
        <charset val="136"/>
      </rPr>
      <t>人</t>
    </r>
    <r>
      <rPr>
        <sz val="12"/>
        <rFont val="Times New Roman"/>
        <family val="1"/>
      </rPr>
      <t xml:space="preserve">  </t>
    </r>
    <r>
      <rPr>
        <sz val="12"/>
        <rFont val="新細明體"/>
        <family val="1"/>
        <charset val="136"/>
      </rPr>
      <t>應</t>
    </r>
    <r>
      <rPr>
        <sz val="12"/>
        <rFont val="Times New Roman"/>
        <family val="1"/>
      </rPr>
      <t xml:space="preserve">  </t>
    </r>
    <r>
      <rPr>
        <sz val="12"/>
        <rFont val="新細明體"/>
        <family val="1"/>
        <charset val="136"/>
      </rPr>
      <t>執</t>
    </r>
    <r>
      <rPr>
        <sz val="12"/>
        <rFont val="Times New Roman"/>
        <family val="1"/>
      </rPr>
      <t xml:space="preserve">  </t>
    </r>
    <r>
      <rPr>
        <sz val="12"/>
        <rFont val="新細明體"/>
        <family val="1"/>
        <charset val="136"/>
      </rPr>
      <t>行</t>
    </r>
    <r>
      <rPr>
        <sz val="12"/>
        <rFont val="Times New Roman"/>
        <family val="1"/>
      </rPr>
      <t xml:space="preserve">  </t>
    </r>
    <r>
      <rPr>
        <sz val="12"/>
        <rFont val="新細明體"/>
        <family val="1"/>
        <charset val="136"/>
      </rPr>
      <t>刑</t>
    </r>
    <r>
      <rPr>
        <sz val="12"/>
        <rFont val="Times New Roman"/>
        <family val="1"/>
      </rPr>
      <t xml:space="preserve">  </t>
    </r>
    <r>
      <rPr>
        <sz val="12"/>
        <rFont val="新細明體"/>
        <family val="1"/>
        <charset val="136"/>
      </rPr>
      <t>刑</t>
    </r>
    <r>
      <rPr>
        <sz val="12"/>
        <rFont val="Times New Roman"/>
        <family val="1"/>
      </rPr>
      <t xml:space="preserve">  </t>
    </r>
    <r>
      <rPr>
        <sz val="12"/>
        <rFont val="新細明體"/>
        <family val="1"/>
        <charset val="136"/>
      </rPr>
      <t>名</t>
    </r>
    <phoneticPr fontId="44" type="noConversion"/>
  </si>
  <si>
    <r>
      <rPr>
        <sz val="12"/>
        <rFont val="新細明體"/>
        <family val="1"/>
        <charset val="136"/>
      </rPr>
      <t>死</t>
    </r>
    <phoneticPr fontId="44" type="noConversion"/>
  </si>
  <si>
    <r>
      <rPr>
        <sz val="12"/>
        <rFont val="新細明體"/>
        <family val="1"/>
        <charset val="136"/>
      </rPr>
      <t>無</t>
    </r>
    <phoneticPr fontId="44" type="noConversion"/>
  </si>
  <si>
    <r>
      <rPr>
        <sz val="12"/>
        <rFont val="新細明體"/>
        <family val="1"/>
        <charset val="136"/>
      </rPr>
      <t>有</t>
    </r>
    <phoneticPr fontId="44" type="noConversion"/>
  </si>
  <si>
    <r>
      <rPr>
        <sz val="12"/>
        <rFont val="新細明體"/>
        <family val="1"/>
        <charset val="136"/>
      </rPr>
      <t>期</t>
    </r>
    <phoneticPr fontId="44" type="noConversion"/>
  </si>
  <si>
    <r>
      <rPr>
        <sz val="12"/>
        <rFont val="新細明體"/>
        <family val="1"/>
        <charset val="136"/>
      </rPr>
      <t>徒</t>
    </r>
    <phoneticPr fontId="44" type="noConversion"/>
  </si>
  <si>
    <r>
      <rPr>
        <sz val="12"/>
        <rFont val="新細明體"/>
        <family val="1"/>
        <charset val="136"/>
      </rPr>
      <t>刑</t>
    </r>
    <phoneticPr fontId="44" type="noConversion"/>
  </si>
  <si>
    <r>
      <rPr>
        <sz val="12"/>
        <rFont val="新細明體"/>
        <family val="1"/>
        <charset val="136"/>
      </rPr>
      <t>拘</t>
    </r>
    <phoneticPr fontId="44" type="noConversion"/>
  </si>
  <si>
    <r>
      <rPr>
        <sz val="12"/>
        <rFont val="新細明體"/>
        <family val="1"/>
        <charset val="136"/>
      </rPr>
      <t>（易服勞役）
罰金</t>
    </r>
    <phoneticPr fontId="44" type="noConversion"/>
  </si>
  <si>
    <r>
      <rPr>
        <sz val="12"/>
        <rFont val="新細明體"/>
        <family val="1"/>
        <charset val="136"/>
      </rPr>
      <t>六月以下</t>
    </r>
    <phoneticPr fontId="44" type="noConversion"/>
  </si>
  <si>
    <r>
      <rPr>
        <sz val="12"/>
        <rFont val="新細明體"/>
        <family val="1"/>
        <charset val="136"/>
      </rPr>
      <t>一年未滿
逾六月</t>
    </r>
    <phoneticPr fontId="44" type="noConversion"/>
  </si>
  <si>
    <r>
      <rPr>
        <sz val="12"/>
        <rFont val="新細明體"/>
        <family val="1"/>
        <charset val="136"/>
      </rPr>
      <t>三年未滿
一年以上</t>
    </r>
    <phoneticPr fontId="44" type="noConversion"/>
  </si>
  <si>
    <r>
      <rPr>
        <sz val="12"/>
        <rFont val="新細明體"/>
        <family val="1"/>
        <charset val="136"/>
      </rPr>
      <t>五年未滿
三年以上</t>
    </r>
    <phoneticPr fontId="44" type="noConversion"/>
  </si>
  <si>
    <r>
      <rPr>
        <sz val="12"/>
        <rFont val="新細明體"/>
        <family val="1"/>
        <charset val="136"/>
      </rPr>
      <t>七年未滿
五年以上</t>
    </r>
    <phoneticPr fontId="44" type="noConversion"/>
  </si>
  <si>
    <r>
      <rPr>
        <sz val="12"/>
        <rFont val="新細明體"/>
        <family val="1"/>
        <charset val="136"/>
      </rPr>
      <t>十年未滿
七年以上</t>
    </r>
    <phoneticPr fontId="44" type="noConversion"/>
  </si>
  <si>
    <r>
      <rPr>
        <sz val="12"/>
        <rFont val="新細明體"/>
        <family val="1"/>
        <charset val="136"/>
      </rPr>
      <t>十五年以下
十年以上</t>
    </r>
    <phoneticPr fontId="44" type="noConversion"/>
  </si>
  <si>
    <r>
      <rPr>
        <sz val="12"/>
        <rFont val="新細明體"/>
        <family val="1"/>
        <charset val="136"/>
      </rPr>
      <t>逾十五年</t>
    </r>
    <phoneticPr fontId="44" type="noConversion"/>
  </si>
  <si>
    <r>
      <rPr>
        <sz val="12"/>
        <rFont val="新細明體"/>
        <family val="1"/>
        <charset val="136"/>
      </rPr>
      <t>徒</t>
    </r>
    <phoneticPr fontId="44" type="noConversion"/>
  </si>
  <si>
    <r>
      <rPr>
        <sz val="12"/>
        <rFont val="新細明體"/>
        <family val="1"/>
        <charset val="136"/>
      </rPr>
      <t>役</t>
    </r>
    <phoneticPr fontId="44" type="noConversion"/>
  </si>
  <si>
    <t>82</t>
    <phoneticPr fontId="44" type="noConversion"/>
  </si>
  <si>
    <t>83</t>
    <phoneticPr fontId="44" type="noConversion"/>
  </si>
  <si>
    <t>84</t>
    <phoneticPr fontId="44" type="noConversion"/>
  </si>
  <si>
    <t>85</t>
    <phoneticPr fontId="44" type="noConversion"/>
  </si>
  <si>
    <t>86</t>
    <phoneticPr fontId="44" type="noConversion"/>
  </si>
  <si>
    <t>87</t>
    <phoneticPr fontId="44" type="noConversion"/>
  </si>
  <si>
    <t>88</t>
    <phoneticPr fontId="44" type="noConversion"/>
  </si>
  <si>
    <t>89</t>
    <phoneticPr fontId="44" type="noConversion"/>
  </si>
  <si>
    <t>90</t>
    <phoneticPr fontId="44" type="noConversion"/>
  </si>
  <si>
    <t>91</t>
    <phoneticPr fontId="44" type="noConversion"/>
  </si>
  <si>
    <t>92</t>
    <phoneticPr fontId="44" type="noConversion"/>
  </si>
  <si>
    <t>93</t>
    <phoneticPr fontId="44" type="noConversion"/>
  </si>
  <si>
    <t>94</t>
    <phoneticPr fontId="44" type="noConversion"/>
  </si>
  <si>
    <t>95</t>
    <phoneticPr fontId="44" type="noConversion"/>
  </si>
  <si>
    <t>96</t>
    <phoneticPr fontId="44" type="noConversion"/>
  </si>
  <si>
    <t>97</t>
    <phoneticPr fontId="44" type="noConversion"/>
  </si>
  <si>
    <t>-</t>
    <phoneticPr fontId="44" type="noConversion"/>
  </si>
  <si>
    <r>
      <rPr>
        <sz val="10"/>
        <rFont val="新細明體"/>
        <family val="1"/>
        <charset val="136"/>
      </rPr>
      <t>說　　明：</t>
    </r>
    <r>
      <rPr>
        <sz val="10"/>
        <rFont val="Times New Roman"/>
        <family val="1"/>
      </rPr>
      <t xml:space="preserve">1. </t>
    </r>
    <r>
      <rPr>
        <sz val="10"/>
        <rFont val="新細明體"/>
        <family val="1"/>
        <charset val="136"/>
      </rPr>
      <t>新入監受刑人宣告刑刑名以最重罪之宣告刑刑名統計。</t>
    </r>
    <phoneticPr fontId="44" type="noConversion"/>
  </si>
  <si>
    <r>
      <rPr>
        <sz val="10"/>
        <rFont val="新細明體"/>
        <family val="1"/>
        <charset val="136"/>
      </rPr>
      <t>　　　　　</t>
    </r>
    <r>
      <rPr>
        <sz val="10"/>
        <rFont val="Times New Roman"/>
        <family val="1"/>
      </rPr>
      <t xml:space="preserve">2. </t>
    </r>
    <r>
      <rPr>
        <sz val="10"/>
        <rFont val="新細明體"/>
        <family val="1"/>
        <charset val="136"/>
      </rPr>
      <t>在監受刑人應執行刑刑名係為罪犯觸犯數罪經法院分別判處先後確定，由法官裁判合併定應接受執行之刑期統計。</t>
    </r>
    <phoneticPr fontId="44" type="noConversion"/>
  </si>
  <si>
    <r>
      <rPr>
        <sz val="14"/>
        <rFont val="新細明體"/>
        <family val="1"/>
        <charset val="136"/>
      </rPr>
      <t>表</t>
    </r>
    <r>
      <rPr>
        <sz val="14"/>
        <rFont val="Times New Roman"/>
        <family val="1"/>
      </rPr>
      <t>2-4-9</t>
    </r>
    <r>
      <rPr>
        <sz val="14"/>
        <rFont val="新細明體"/>
        <family val="1"/>
        <charset val="136"/>
      </rPr>
      <t>　近</t>
    </r>
    <r>
      <rPr>
        <sz val="14"/>
        <rFont val="Times New Roman"/>
        <family val="1"/>
      </rPr>
      <t>10</t>
    </r>
    <r>
      <rPr>
        <sz val="14"/>
        <rFont val="新細明體"/>
        <family val="1"/>
        <charset val="136"/>
      </rPr>
      <t>年監獄辦理假釋情形</t>
    </r>
    <phoneticPr fontId="44" type="noConversion"/>
  </si>
  <si>
    <r>
      <rPr>
        <sz val="12"/>
        <rFont val="新細明體"/>
        <family val="1"/>
        <charset val="136"/>
      </rPr>
      <t>審查委員會人數
提報監獄假釋</t>
    </r>
    <phoneticPr fontId="44" type="noConversion"/>
  </si>
  <si>
    <r>
      <rPr>
        <sz val="12"/>
        <rFont val="新細明體"/>
        <family val="1"/>
        <charset val="136"/>
      </rPr>
      <t>假釋出獄人數</t>
    </r>
    <phoneticPr fontId="44" type="noConversion"/>
  </si>
  <si>
    <r>
      <rPr>
        <sz val="10"/>
        <rFont val="新細明體"/>
        <family val="1"/>
        <charset val="136"/>
      </rPr>
      <t>決議通過陳報人數
監獄假釋審查委員會</t>
    </r>
    <phoneticPr fontId="44" type="noConversion"/>
  </si>
  <si>
    <r>
      <rPr>
        <sz val="12"/>
        <rFont val="新細明體"/>
        <family val="1"/>
        <charset val="136"/>
      </rPr>
      <t>複審核准人數
法務部假釋</t>
    </r>
    <phoneticPr fontId="44" type="noConversion"/>
  </si>
  <si>
    <r>
      <rPr>
        <sz val="9.5"/>
        <rFont val="新細明體"/>
        <family val="1"/>
        <charset val="136"/>
      </rPr>
      <t>會初審核准比率
監獄假釋審查委員</t>
    </r>
    <phoneticPr fontId="44" type="noConversion"/>
  </si>
  <si>
    <r>
      <rPr>
        <sz val="12"/>
        <rFont val="新細明體"/>
        <family val="1"/>
        <charset val="136"/>
      </rPr>
      <t>複審核准比率
法務部假釋</t>
    </r>
    <phoneticPr fontId="44" type="noConversion"/>
  </si>
  <si>
    <r>
      <rPr>
        <sz val="10"/>
        <rFont val="新細明體"/>
        <family val="1"/>
        <charset val="136"/>
      </rPr>
      <t>假釋總核准比率</t>
    </r>
    <phoneticPr fontId="44" type="noConversion"/>
  </si>
  <si>
    <t>(2)/(1)×100</t>
    <phoneticPr fontId="44" type="noConversion"/>
  </si>
  <si>
    <t>(3)/(2)×100</t>
    <phoneticPr fontId="44" type="noConversion"/>
  </si>
  <si>
    <t>(3)/(1)×100</t>
    <phoneticPr fontId="44" type="noConversion"/>
  </si>
  <si>
    <r>
      <t>99</t>
    </r>
    <r>
      <rPr>
        <sz val="12"/>
        <rFont val="新細明體"/>
        <family val="1"/>
        <charset val="136"/>
      </rPr>
      <t>年</t>
    </r>
    <phoneticPr fontId="44" type="noConversion"/>
  </si>
  <si>
    <r>
      <rPr>
        <sz val="10"/>
        <rFont val="新細明體"/>
        <family val="1"/>
        <charset val="136"/>
      </rPr>
      <t>資料來源：矯正署</t>
    </r>
    <r>
      <rPr>
        <sz val="10"/>
        <rFont val="Times New Roman"/>
        <family val="1"/>
      </rPr>
      <t>(1)(2)(3)</t>
    </r>
    <r>
      <rPr>
        <sz val="10"/>
        <rFont val="新細明體"/>
        <family val="1"/>
        <charset val="136"/>
      </rPr>
      <t>、法務部統計處</t>
    </r>
    <r>
      <rPr>
        <sz val="10"/>
        <rFont val="Times New Roman"/>
        <family val="1"/>
      </rPr>
      <t>(4)</t>
    </r>
    <phoneticPr fontId="44" type="noConversion"/>
  </si>
  <si>
    <r>
      <rPr>
        <sz val="14"/>
        <rFont val="新細明體"/>
        <family val="1"/>
        <charset val="136"/>
      </rPr>
      <t>表</t>
    </r>
    <r>
      <rPr>
        <sz val="14"/>
        <rFont val="Times New Roman"/>
        <family val="1"/>
      </rPr>
      <t>2-4-10</t>
    </r>
    <r>
      <rPr>
        <sz val="14"/>
        <rFont val="新細明體"/>
        <family val="1"/>
        <charset val="136"/>
      </rPr>
      <t>　近</t>
    </r>
    <r>
      <rPr>
        <sz val="14"/>
        <rFont val="Times New Roman"/>
        <family val="1"/>
      </rPr>
      <t>10</t>
    </r>
    <r>
      <rPr>
        <sz val="14"/>
        <rFont val="新細明體"/>
        <family val="1"/>
        <charset val="136"/>
      </rPr>
      <t>年監獄假釋出獄受刑人因再犯或違反保護管束撤銷假釋情形</t>
    </r>
    <phoneticPr fontId="123" type="noConversion"/>
  </si>
  <si>
    <r>
      <rPr>
        <sz val="12"/>
        <rFont val="新細明體"/>
        <family val="1"/>
        <charset val="136"/>
      </rPr>
      <t>撤銷假釋人數</t>
    </r>
    <phoneticPr fontId="115" type="noConversion"/>
  </si>
  <si>
    <t>違反保護管束情節重大</t>
    <phoneticPr fontId="115" type="noConversion"/>
  </si>
  <si>
    <r>
      <rPr>
        <sz val="12"/>
        <rFont val="新細明體"/>
        <family val="1"/>
        <charset val="136"/>
      </rPr>
      <t>假釋中更犯罪</t>
    </r>
    <phoneticPr fontId="115" type="noConversion"/>
  </si>
  <si>
    <t>人</t>
    <phoneticPr fontId="115" type="noConversion"/>
  </si>
  <si>
    <t>%</t>
    <phoneticPr fontId="115" type="noConversion"/>
  </si>
  <si>
    <t>人</t>
    <phoneticPr fontId="115" type="noConversion"/>
  </si>
  <si>
    <r>
      <t>99年</t>
    </r>
    <r>
      <rPr>
        <sz val="12"/>
        <rFont val="新細明體"/>
        <family val="1"/>
        <charset val="136"/>
      </rPr>
      <t/>
    </r>
  </si>
  <si>
    <r>
      <t>102</t>
    </r>
    <r>
      <rPr>
        <sz val="12"/>
        <rFont val="新細明體"/>
        <family val="1"/>
        <charset val="136"/>
      </rPr>
      <t>年</t>
    </r>
    <phoneticPr fontId="123" type="noConversion"/>
  </si>
  <si>
    <r>
      <rPr>
        <sz val="10"/>
        <rFont val="新細明體"/>
        <family val="1"/>
        <charset val="136"/>
      </rPr>
      <t>資料提供：矯正署（比率為本書自行計算）</t>
    </r>
    <phoneticPr fontId="123" type="noConversion"/>
  </si>
  <si>
    <r>
      <rPr>
        <sz val="15"/>
        <rFont val="新細明體"/>
        <family val="1"/>
        <charset val="136"/>
      </rPr>
      <t>表</t>
    </r>
    <r>
      <rPr>
        <sz val="15"/>
        <rFont val="Times New Roman"/>
        <family val="1"/>
      </rPr>
      <t>2-4-11</t>
    </r>
    <r>
      <rPr>
        <sz val="15"/>
        <rFont val="新細明體"/>
        <family val="1"/>
        <charset val="136"/>
      </rPr>
      <t>　近</t>
    </r>
    <r>
      <rPr>
        <sz val="15"/>
        <rFont val="Times New Roman"/>
        <family val="1"/>
      </rPr>
      <t>5</t>
    </r>
    <r>
      <rPr>
        <sz val="15"/>
        <rFont val="新細明體"/>
        <family val="1"/>
        <charset val="136"/>
      </rPr>
      <t>年監獄受刑人實際出獄人數</t>
    </r>
    <phoneticPr fontId="44" type="noConversion"/>
  </si>
  <si>
    <r>
      <t>104</t>
    </r>
    <r>
      <rPr>
        <sz val="12"/>
        <rFont val="新細明體"/>
        <family val="1"/>
        <charset val="136"/>
      </rPr>
      <t>年</t>
    </r>
    <phoneticPr fontId="44" type="noConversion"/>
  </si>
  <si>
    <r>
      <rPr>
        <sz val="12"/>
        <rFont val="新細明體"/>
        <family val="1"/>
        <charset val="136"/>
      </rPr>
      <t>人</t>
    </r>
    <phoneticPr fontId="44" type="noConversion"/>
  </si>
  <si>
    <r>
      <rPr>
        <sz val="12"/>
        <rFont val="新細明體"/>
        <family val="1"/>
        <charset val="136"/>
      </rPr>
      <t>人</t>
    </r>
    <phoneticPr fontId="44" type="noConversion"/>
  </si>
  <si>
    <r>
      <rPr>
        <sz val="12"/>
        <rFont val="新細明體"/>
        <family val="1"/>
        <charset val="136"/>
      </rPr>
      <t>總計</t>
    </r>
    <phoneticPr fontId="44" type="noConversion"/>
  </si>
  <si>
    <r>
      <rPr>
        <sz val="12"/>
        <rFont val="新細明體"/>
        <family val="1"/>
        <charset val="136"/>
      </rPr>
      <t>死刑執行</t>
    </r>
    <phoneticPr fontId="44" type="noConversion"/>
  </si>
  <si>
    <t>-</t>
    <phoneticPr fontId="115" type="noConversion"/>
  </si>
  <si>
    <r>
      <rPr>
        <sz val="12"/>
        <rFont val="新細明體"/>
        <family val="1"/>
        <charset val="136"/>
      </rPr>
      <t>執行完畢
期滿出獄</t>
    </r>
    <phoneticPr fontId="44" type="noConversion"/>
  </si>
  <si>
    <r>
      <rPr>
        <sz val="12"/>
        <rFont val="新細明體"/>
        <family val="1"/>
        <charset val="136"/>
      </rPr>
      <t>假釋出獄</t>
    </r>
    <phoneticPr fontId="44" type="noConversion"/>
  </si>
  <si>
    <r>
      <rPr>
        <sz val="10"/>
        <rFont val="新細明體"/>
        <family val="1"/>
        <charset val="136"/>
      </rPr>
      <t>說　　明：期滿出獄含徒刑、拘役及罰金（易服勞役）執行完畢期滿出獄者。</t>
    </r>
    <phoneticPr fontId="44" type="noConversion"/>
  </si>
  <si>
    <r>
      <rPr>
        <sz val="15"/>
        <rFont val="新細明體"/>
        <family val="1"/>
        <charset val="136"/>
      </rPr>
      <t>表</t>
    </r>
    <r>
      <rPr>
        <sz val="15"/>
        <rFont val="Times New Roman"/>
        <family val="1"/>
      </rPr>
      <t>2-4-12</t>
    </r>
    <r>
      <rPr>
        <sz val="15"/>
        <rFont val="新細明體"/>
        <family val="1"/>
        <charset val="136"/>
      </rPr>
      <t>　近</t>
    </r>
    <r>
      <rPr>
        <sz val="15"/>
        <rFont val="Times New Roman"/>
        <family val="1"/>
      </rPr>
      <t>5</t>
    </r>
    <r>
      <rPr>
        <sz val="15"/>
        <rFont val="新細明體"/>
        <family val="1"/>
        <charset val="136"/>
      </rPr>
      <t>年受刑人出獄後再犯罪情形</t>
    </r>
    <phoneticPr fontId="123" type="noConversion"/>
  </si>
  <si>
    <r>
      <rPr>
        <sz val="12"/>
        <rFont val="新細明體"/>
        <family val="1"/>
        <charset val="136"/>
      </rPr>
      <t>截至</t>
    </r>
    <r>
      <rPr>
        <sz val="12"/>
        <rFont val="Times New Roman"/>
        <family val="1"/>
      </rPr>
      <t>108</t>
    </r>
    <r>
      <rPr>
        <sz val="12"/>
        <rFont val="新細明體"/>
        <family val="1"/>
        <charset val="136"/>
      </rPr>
      <t>年底止</t>
    </r>
    <phoneticPr fontId="115" type="noConversion"/>
  </si>
  <si>
    <r>
      <rPr>
        <sz val="12"/>
        <rFont val="新細明體"/>
        <family val="1"/>
        <charset val="136"/>
      </rPr>
      <t>單位：人、</t>
    </r>
    <r>
      <rPr>
        <sz val="12"/>
        <rFont val="Times New Roman"/>
        <family val="1"/>
      </rPr>
      <t xml:space="preserve">%  </t>
    </r>
    <phoneticPr fontId="44" type="noConversion"/>
  </si>
  <si>
    <r>
      <rPr>
        <sz val="12"/>
        <rFont val="新細明體"/>
        <family val="1"/>
        <charset val="136"/>
      </rPr>
      <t>出獄人數</t>
    </r>
  </si>
  <si>
    <r>
      <t xml:space="preserve">    </t>
    </r>
    <r>
      <rPr>
        <sz val="12"/>
        <rFont val="新細明體"/>
        <family val="1"/>
        <charset val="136"/>
      </rPr>
      <t>出獄後再犯人數及比率</t>
    </r>
    <r>
      <rPr>
        <sz val="12"/>
        <rFont val="Times New Roman"/>
        <family val="1"/>
      </rPr>
      <t>-</t>
    </r>
    <r>
      <rPr>
        <sz val="12"/>
        <rFont val="新細明體"/>
        <family val="1"/>
        <charset val="136"/>
      </rPr>
      <t>按再犯經過時間分</t>
    </r>
    <phoneticPr fontId="123" type="noConversion"/>
  </si>
  <si>
    <r>
      <rPr>
        <sz val="12"/>
        <rFont val="新細明體"/>
        <family val="1"/>
        <charset val="136"/>
      </rPr>
      <t>計</t>
    </r>
    <phoneticPr fontId="123" type="noConversion"/>
  </si>
  <si>
    <r>
      <rPr>
        <sz val="12"/>
        <rFont val="新細明體"/>
        <family val="1"/>
        <charset val="136"/>
      </rPr>
      <t>六月以下</t>
    </r>
    <phoneticPr fontId="123" type="noConversion"/>
  </si>
  <si>
    <r>
      <rPr>
        <sz val="12"/>
        <rFont val="新細明體"/>
        <family val="1"/>
        <charset val="136"/>
      </rPr>
      <t>一年未滿
逾六月</t>
    </r>
    <phoneticPr fontId="123" type="noConversion"/>
  </si>
  <si>
    <r>
      <rPr>
        <sz val="12"/>
        <rFont val="新細明體"/>
        <family val="1"/>
        <charset val="136"/>
      </rPr>
      <t>二年未滿
一年以上</t>
    </r>
    <phoneticPr fontId="123" type="noConversion"/>
  </si>
  <si>
    <r>
      <rPr>
        <sz val="12"/>
        <rFont val="新細明體"/>
        <family val="1"/>
        <charset val="136"/>
      </rPr>
      <t>三年未滿
二年以上</t>
    </r>
    <phoneticPr fontId="123" type="noConversion"/>
  </si>
  <si>
    <r>
      <rPr>
        <sz val="12"/>
        <rFont val="新細明體"/>
        <family val="1"/>
        <charset val="136"/>
      </rPr>
      <t>四年未滿
三年以上</t>
    </r>
    <phoneticPr fontId="123" type="noConversion"/>
  </si>
  <si>
    <r>
      <rPr>
        <sz val="12"/>
        <rFont val="新細明體"/>
        <family val="1"/>
        <charset val="136"/>
      </rPr>
      <t>四年以上</t>
    </r>
    <phoneticPr fontId="123" type="noConversion"/>
  </si>
  <si>
    <r>
      <t>104</t>
    </r>
    <r>
      <rPr>
        <sz val="12"/>
        <rFont val="新細明體"/>
        <family val="1"/>
        <charset val="136"/>
      </rPr>
      <t>年</t>
    </r>
    <phoneticPr fontId="123" type="noConversion"/>
  </si>
  <si>
    <t>18,219 (52.1%)</t>
    <phoneticPr fontId="115" type="noConversion"/>
  </si>
  <si>
    <t>4,598 (13.2%)</t>
    <phoneticPr fontId="115" type="noConversion"/>
  </si>
  <si>
    <t>4,188 (12.0%)</t>
    <phoneticPr fontId="115" type="noConversion"/>
  </si>
  <si>
    <t>5,135 (14.7%)</t>
    <phoneticPr fontId="115" type="noConversion"/>
  </si>
  <si>
    <t>2,758 (7.9%)</t>
    <phoneticPr fontId="115" type="noConversion"/>
  </si>
  <si>
    <t>1,318 (3.8%)</t>
    <phoneticPr fontId="115" type="noConversion"/>
  </si>
  <si>
    <t>222 (0.6%)</t>
    <phoneticPr fontId="115" type="noConversion"/>
  </si>
  <si>
    <r>
      <rPr>
        <sz val="12"/>
        <rFont val="新細明體"/>
        <family val="1"/>
        <charset val="136"/>
      </rPr>
      <t>執行完畢</t>
    </r>
    <phoneticPr fontId="44" type="noConversion"/>
  </si>
  <si>
    <t>13,192 (55.2%)</t>
    <phoneticPr fontId="115" type="noConversion"/>
  </si>
  <si>
    <t>3,576 (15.0%)</t>
    <phoneticPr fontId="115" type="noConversion"/>
  </si>
  <si>
    <t>2,983 (12.5%)</t>
    <phoneticPr fontId="115" type="noConversion"/>
  </si>
  <si>
    <t>3,574 (15.0%)</t>
    <phoneticPr fontId="115" type="noConversion"/>
  </si>
  <si>
    <t>1,924 (8.0%)</t>
    <phoneticPr fontId="115" type="noConversion"/>
  </si>
  <si>
    <t>967 (4.0%)</t>
    <phoneticPr fontId="115" type="noConversion"/>
  </si>
  <si>
    <t>168 (0.7%)</t>
    <phoneticPr fontId="115" type="noConversion"/>
  </si>
  <si>
    <r>
      <rPr>
        <sz val="12"/>
        <rFont val="新細明體"/>
        <family val="1"/>
        <charset val="136"/>
      </rPr>
      <t>假釋出獄</t>
    </r>
    <phoneticPr fontId="44" type="noConversion"/>
  </si>
  <si>
    <t>5,027 (45.5%)</t>
    <phoneticPr fontId="115" type="noConversion"/>
  </si>
  <si>
    <t>1,022 (9.2%)</t>
    <phoneticPr fontId="115" type="noConversion"/>
  </si>
  <si>
    <t>1,205 (10.9%)</t>
    <phoneticPr fontId="115" type="noConversion"/>
  </si>
  <si>
    <t>1,561 (14.1%)</t>
    <phoneticPr fontId="115" type="noConversion"/>
  </si>
  <si>
    <t>834 (7.5%)</t>
    <phoneticPr fontId="115" type="noConversion"/>
  </si>
  <si>
    <t>351 (3.2%)</t>
    <phoneticPr fontId="115" type="noConversion"/>
  </si>
  <si>
    <t>54 (0.5%)</t>
    <phoneticPr fontId="115" type="noConversion"/>
  </si>
  <si>
    <r>
      <t>105</t>
    </r>
    <r>
      <rPr>
        <sz val="12"/>
        <rFont val="新細明體"/>
        <family val="1"/>
        <charset val="136"/>
      </rPr>
      <t>年</t>
    </r>
    <phoneticPr fontId="123" type="noConversion"/>
  </si>
  <si>
    <t>16,984 (47.5%)</t>
    <phoneticPr fontId="115" type="noConversion"/>
  </si>
  <si>
    <t>5,082 (14.2%)</t>
    <phoneticPr fontId="115" type="noConversion"/>
  </si>
  <si>
    <t>4,355 (12.2%)</t>
    <phoneticPr fontId="115" type="noConversion"/>
  </si>
  <si>
    <t>5,085 (14.2%)</t>
    <phoneticPr fontId="115" type="noConversion"/>
  </si>
  <si>
    <t>2,179 (6.1%)</t>
    <phoneticPr fontId="115" type="noConversion"/>
  </si>
  <si>
    <t>283 (0.8%)</t>
    <phoneticPr fontId="115" type="noConversion"/>
  </si>
  <si>
    <r>
      <rPr>
        <sz val="12"/>
        <rFont val="新細明體"/>
        <family val="1"/>
        <charset val="136"/>
      </rPr>
      <t>執行完畢</t>
    </r>
    <phoneticPr fontId="44" type="noConversion"/>
  </si>
  <si>
    <t>12,381 (50.9%)</t>
    <phoneticPr fontId="115" type="noConversion"/>
  </si>
  <si>
    <t>4,036 (16.6%)</t>
    <phoneticPr fontId="115" type="noConversion"/>
  </si>
  <si>
    <t>3,096 (12.7%)</t>
    <phoneticPr fontId="115" type="noConversion"/>
  </si>
  <si>
    <t>3,532 (14.5%)</t>
    <phoneticPr fontId="115" type="noConversion"/>
  </si>
  <si>
    <t>1,499 (6.2%)</t>
    <phoneticPr fontId="115" type="noConversion"/>
  </si>
  <si>
    <t>218 (0.9%)</t>
    <phoneticPr fontId="115" type="noConversion"/>
  </si>
  <si>
    <r>
      <rPr>
        <sz val="12"/>
        <rFont val="新細明體"/>
        <family val="1"/>
        <charset val="136"/>
      </rPr>
      <t>假釋出獄</t>
    </r>
    <phoneticPr fontId="44" type="noConversion"/>
  </si>
  <si>
    <t>4,603 (40.3%)</t>
    <phoneticPr fontId="115" type="noConversion"/>
  </si>
  <si>
    <t>1,046 (9.2%)</t>
    <phoneticPr fontId="115" type="noConversion"/>
  </si>
  <si>
    <t>1,259 (11.0%)</t>
    <phoneticPr fontId="115" type="noConversion"/>
  </si>
  <si>
    <t>1,553 (13.6%)</t>
    <phoneticPr fontId="115" type="noConversion"/>
  </si>
  <si>
    <t>680 (6.0%)</t>
    <phoneticPr fontId="115" type="noConversion"/>
  </si>
  <si>
    <t>65 (0.6%)</t>
    <phoneticPr fontId="115" type="noConversion"/>
  </si>
  <si>
    <r>
      <t>106</t>
    </r>
    <r>
      <rPr>
        <sz val="12"/>
        <rFont val="新細明體"/>
        <family val="1"/>
        <charset val="136"/>
      </rPr>
      <t>年</t>
    </r>
    <phoneticPr fontId="123" type="noConversion"/>
  </si>
  <si>
    <t>14,095 (38.8%)</t>
    <phoneticPr fontId="115" type="noConversion"/>
  </si>
  <si>
    <t>5,367 (14.8%)</t>
    <phoneticPr fontId="115" type="noConversion"/>
  </si>
  <si>
    <t>4,367 (12.0%)</t>
    <phoneticPr fontId="115" type="noConversion"/>
  </si>
  <si>
    <t>3,938 (10.9%)</t>
    <phoneticPr fontId="115" type="noConversion"/>
  </si>
  <si>
    <t>423 (1.2%)</t>
    <phoneticPr fontId="115" type="noConversion"/>
  </si>
  <si>
    <t>10,410 (42.1%)</t>
    <phoneticPr fontId="115" type="noConversion"/>
  </si>
  <si>
    <t>4,285 (17.3%)</t>
    <phoneticPr fontId="115" type="noConversion"/>
  </si>
  <si>
    <t>3,076 (12.4%)</t>
    <phoneticPr fontId="115" type="noConversion"/>
  </si>
  <si>
    <t>2,750 (11.1%)</t>
    <phoneticPr fontId="115" type="noConversion"/>
  </si>
  <si>
    <t>299 (1.2%)</t>
    <phoneticPr fontId="115" type="noConversion"/>
  </si>
  <si>
    <r>
      <rPr>
        <sz val="12"/>
        <rFont val="新細明體"/>
        <family val="1"/>
        <charset val="136"/>
      </rPr>
      <t>假釋出獄</t>
    </r>
    <phoneticPr fontId="44" type="noConversion"/>
  </si>
  <si>
    <t>3,685 (31.9%)</t>
    <phoneticPr fontId="115" type="noConversion"/>
  </si>
  <si>
    <t>1,082 (9.4%)</t>
    <phoneticPr fontId="115" type="noConversion"/>
  </si>
  <si>
    <t>1,291 (11.2%)</t>
    <phoneticPr fontId="115" type="noConversion"/>
  </si>
  <si>
    <t>1,188 (10.3%)</t>
    <phoneticPr fontId="115" type="noConversion"/>
  </si>
  <si>
    <t>124 (1.1%)</t>
    <phoneticPr fontId="115" type="noConversion"/>
  </si>
  <si>
    <r>
      <t>107</t>
    </r>
    <r>
      <rPr>
        <sz val="12"/>
        <rFont val="新細明體"/>
        <family val="1"/>
        <charset val="136"/>
      </rPr>
      <t>年</t>
    </r>
    <phoneticPr fontId="123" type="noConversion"/>
  </si>
  <si>
    <t>8,592 (24.3%)</t>
    <phoneticPr fontId="115" type="noConversion"/>
  </si>
  <si>
    <t>4,805 (13.6%)</t>
    <phoneticPr fontId="115" type="noConversion"/>
  </si>
  <si>
    <t>2,911 (8.2%)</t>
    <phoneticPr fontId="115" type="noConversion"/>
  </si>
  <si>
    <t>876 (2.5%)</t>
    <phoneticPr fontId="115" type="noConversion"/>
  </si>
  <si>
    <r>
      <rPr>
        <sz val="12"/>
        <rFont val="新細明體"/>
        <family val="1"/>
        <charset val="136"/>
      </rPr>
      <t>執行完畢</t>
    </r>
    <phoneticPr fontId="44" type="noConversion"/>
  </si>
  <si>
    <t>6,540 (25.8%)</t>
    <phoneticPr fontId="115" type="noConversion"/>
  </si>
  <si>
    <t>3,839 (15.1%)</t>
    <phoneticPr fontId="115" type="noConversion"/>
  </si>
  <si>
    <t>2,069 (8.2%)</t>
    <phoneticPr fontId="115" type="noConversion"/>
  </si>
  <si>
    <t>632 (2.5%)</t>
    <phoneticPr fontId="115" type="noConversion"/>
  </si>
  <si>
    <r>
      <rPr>
        <sz val="12"/>
        <rFont val="新細明體"/>
        <family val="1"/>
        <charset val="136"/>
      </rPr>
      <t>假釋出獄</t>
    </r>
    <phoneticPr fontId="44" type="noConversion"/>
  </si>
  <si>
    <t>2,052 (20.4%)</t>
    <phoneticPr fontId="115" type="noConversion"/>
  </si>
  <si>
    <t>966 (9.6%)</t>
    <phoneticPr fontId="115" type="noConversion"/>
  </si>
  <si>
    <t>842 (8.4%)</t>
    <phoneticPr fontId="115" type="noConversion"/>
  </si>
  <si>
    <t>244 (2.4%)</t>
    <phoneticPr fontId="115" type="noConversion"/>
  </si>
  <si>
    <r>
      <t>108</t>
    </r>
    <r>
      <rPr>
        <sz val="12"/>
        <rFont val="新細明體"/>
        <family val="1"/>
        <charset val="136"/>
      </rPr>
      <t>年</t>
    </r>
    <phoneticPr fontId="123" type="noConversion"/>
  </si>
  <si>
    <t>1,275 (3.4%)</t>
    <phoneticPr fontId="115" type="noConversion"/>
  </si>
  <si>
    <t>1,189 (3.2%)</t>
    <phoneticPr fontId="115" type="noConversion"/>
  </si>
  <si>
    <t>86 (0.2%)</t>
    <phoneticPr fontId="115" type="noConversion"/>
  </si>
  <si>
    <r>
      <rPr>
        <sz val="12"/>
        <rFont val="新細明體"/>
        <family val="1"/>
        <charset val="136"/>
      </rPr>
      <t>執行完畢</t>
    </r>
    <phoneticPr fontId="44" type="noConversion"/>
  </si>
  <si>
    <t>1,057 (4.1%)</t>
    <phoneticPr fontId="115" type="noConversion"/>
  </si>
  <si>
    <t>994 (3.9%)</t>
    <phoneticPr fontId="115" type="noConversion"/>
  </si>
  <si>
    <t>63 (0.2%)</t>
    <phoneticPr fontId="115" type="noConversion"/>
  </si>
  <si>
    <t>218 (1.9%)</t>
    <phoneticPr fontId="115" type="noConversion"/>
  </si>
  <si>
    <t>195 (1.7%)</t>
    <phoneticPr fontId="115" type="noConversion"/>
  </si>
  <si>
    <t>23 (0.2%)</t>
    <phoneticPr fontId="115" type="noConversion"/>
  </si>
  <si>
    <r>
      <rPr>
        <sz val="10"/>
        <rFont val="新細明體"/>
        <family val="1"/>
        <charset val="136"/>
      </rPr>
      <t>資料來源：法務部統計處</t>
    </r>
    <phoneticPr fontId="115" type="noConversion"/>
  </si>
  <si>
    <r>
      <rPr>
        <sz val="10"/>
        <rFont val="新細明體"/>
        <family val="1"/>
        <charset val="136"/>
      </rPr>
      <t>說　　明：</t>
    </r>
    <r>
      <rPr>
        <sz val="10"/>
        <rFont val="Times New Roman"/>
        <family val="1"/>
      </rPr>
      <t>1.</t>
    </r>
    <r>
      <rPr>
        <sz val="10"/>
        <rFont val="新細明體"/>
        <family val="1"/>
        <charset val="136"/>
      </rPr>
      <t>本表再犯人數為受刑人出獄後再犯罪，至統計截止日止經檢察官偵查終結，被提起公訴、聲請簡易判決處刑、緩起訴處分、職權不起訴處分及移送觀察勒戒</t>
    </r>
    <phoneticPr fontId="123" type="noConversion"/>
  </si>
  <si>
    <r>
      <rPr>
        <sz val="10"/>
        <rFont val="新細明體"/>
        <family val="1"/>
        <charset val="136"/>
      </rPr>
      <t>　　　　　　或戒治等有犯罪嫌疑者。</t>
    </r>
    <phoneticPr fontId="123" type="noConversion"/>
  </si>
  <si>
    <r>
      <rPr>
        <sz val="10"/>
        <color rgb="FF000000"/>
        <rFont val="新細明體"/>
        <family val="1"/>
        <charset val="136"/>
      </rPr>
      <t>　　　　　</t>
    </r>
    <r>
      <rPr>
        <sz val="10"/>
        <color indexed="8"/>
        <rFont val="Times New Roman"/>
        <family val="1"/>
      </rPr>
      <t>2.</t>
    </r>
    <r>
      <rPr>
        <sz val="10"/>
        <color indexed="8"/>
        <rFont val="新細明體"/>
        <family val="1"/>
        <charset val="136"/>
      </rPr>
      <t>「</t>
    </r>
    <r>
      <rPr>
        <sz val="10"/>
        <rFont val="新細明體"/>
        <family val="1"/>
        <charset val="136"/>
      </rPr>
      <t>再犯經過時間」係指自出獄日至偵查案件新收分案日之時間。而再犯人數則僅限於統計截止日前已偵查終結者，爰各年再犯經過時間之最後一個區間組，</t>
    </r>
    <phoneticPr fontId="123" type="noConversion"/>
  </si>
  <si>
    <r>
      <rPr>
        <sz val="10"/>
        <rFont val="新細明體"/>
        <family val="1"/>
        <charset val="136"/>
      </rPr>
      <t>　　　　　　恐未能涵括該區間全部實際再犯人數。</t>
    </r>
    <phoneticPr fontId="123" type="noConversion"/>
  </si>
  <si>
    <r>
      <rPr>
        <sz val="10"/>
        <rFont val="新細明體"/>
        <family val="1"/>
        <charset val="136"/>
      </rPr>
      <t>　　　　　</t>
    </r>
    <r>
      <rPr>
        <sz val="10"/>
        <rFont val="Times New Roman"/>
        <family val="1"/>
      </rPr>
      <t>3.</t>
    </r>
    <r>
      <rPr>
        <sz val="10"/>
        <rFont val="新細明體"/>
        <family val="1"/>
        <charset val="136"/>
      </rPr>
      <t>本表假釋出獄再犯人數，包含假釋期間再犯及假釋期滿再犯。</t>
    </r>
    <phoneticPr fontId="123" type="noConversion"/>
  </si>
  <si>
    <t xml:space="preserve"> </t>
    <phoneticPr fontId="123" type="noConversion"/>
  </si>
  <si>
    <t xml:space="preserve"> </t>
    <phoneticPr fontId="123" type="noConversion"/>
  </si>
  <si>
    <r>
      <rPr>
        <sz val="15"/>
        <rFont val="新細明體"/>
        <family val="1"/>
        <charset val="136"/>
      </rPr>
      <t>表</t>
    </r>
    <r>
      <rPr>
        <sz val="15"/>
        <rFont val="Times New Roman"/>
        <family val="1"/>
      </rPr>
      <t xml:space="preserve"> 2-4-13</t>
    </r>
    <r>
      <rPr>
        <sz val="15"/>
        <rFont val="新細明體"/>
        <family val="1"/>
        <charset val="136"/>
      </rPr>
      <t>　近</t>
    </r>
    <r>
      <rPr>
        <sz val="15"/>
        <rFont val="Times New Roman"/>
        <family val="1"/>
      </rPr>
      <t>10</t>
    </r>
    <r>
      <rPr>
        <sz val="15"/>
        <rFont val="新細明體"/>
        <family val="1"/>
        <charset val="136"/>
      </rPr>
      <t>年新入所受觀察勒戒人數</t>
    </r>
    <phoneticPr fontId="72" type="noConversion"/>
  </si>
  <si>
    <r>
      <rPr>
        <sz val="12"/>
        <rFont val="新細明體"/>
        <family val="1"/>
        <charset val="136"/>
      </rPr>
      <t>總計</t>
    </r>
    <phoneticPr fontId="72" type="noConversion"/>
  </si>
  <si>
    <r>
      <rPr>
        <sz val="14"/>
        <rFont val="新細明體"/>
        <family val="1"/>
        <charset val="136"/>
      </rPr>
      <t>成年受觀察勒戒人</t>
    </r>
    <phoneticPr fontId="72" type="noConversion"/>
  </si>
  <si>
    <r>
      <rPr>
        <sz val="14"/>
        <rFont val="新細明體"/>
        <family val="1"/>
        <charset val="136"/>
      </rPr>
      <t>少年受觀察勒戒人</t>
    </r>
    <phoneticPr fontId="72" type="noConversion"/>
  </si>
  <si>
    <r>
      <rPr>
        <sz val="12"/>
        <rFont val="新細明體"/>
        <family val="1"/>
        <charset val="136"/>
      </rPr>
      <t>性</t>
    </r>
    <r>
      <rPr>
        <sz val="12"/>
        <rFont val="Times New Roman"/>
        <family val="1"/>
      </rPr>
      <t xml:space="preserve">                </t>
    </r>
    <r>
      <rPr>
        <sz val="12"/>
        <rFont val="新細明體"/>
        <family val="1"/>
        <charset val="136"/>
      </rPr>
      <t>別</t>
    </r>
    <phoneticPr fontId="72" type="noConversion"/>
  </si>
  <si>
    <r>
      <rPr>
        <sz val="12"/>
        <rFont val="新細明體"/>
        <family val="1"/>
        <charset val="136"/>
      </rPr>
      <t>按毒品級別分</t>
    </r>
    <phoneticPr fontId="72" type="noConversion"/>
  </si>
  <si>
    <r>
      <rPr>
        <sz val="12"/>
        <rFont val="新細明體"/>
        <family val="1"/>
        <charset val="136"/>
      </rPr>
      <t>計</t>
    </r>
    <phoneticPr fontId="72" type="noConversion"/>
  </si>
  <si>
    <r>
      <rPr>
        <sz val="12"/>
        <rFont val="新細明體"/>
        <family val="1"/>
        <charset val="136"/>
      </rPr>
      <t>按毒品級別分</t>
    </r>
    <phoneticPr fontId="72" type="noConversion"/>
  </si>
  <si>
    <r>
      <rPr>
        <sz val="12"/>
        <rFont val="新細明體"/>
        <family val="1"/>
        <charset val="136"/>
      </rPr>
      <t>男</t>
    </r>
    <phoneticPr fontId="72" type="noConversion"/>
  </si>
  <si>
    <r>
      <rPr>
        <sz val="12"/>
        <rFont val="新細明體"/>
        <family val="1"/>
        <charset val="136"/>
      </rPr>
      <t>女</t>
    </r>
    <phoneticPr fontId="72" type="noConversion"/>
  </si>
  <si>
    <r>
      <rPr>
        <sz val="12"/>
        <rFont val="新細明體"/>
        <family val="1"/>
        <charset val="136"/>
      </rPr>
      <t>男</t>
    </r>
    <phoneticPr fontId="72" type="noConversion"/>
  </si>
  <si>
    <r>
      <rPr>
        <sz val="12"/>
        <rFont val="新細明體"/>
        <family val="1"/>
        <charset val="136"/>
      </rPr>
      <t>第一級</t>
    </r>
    <phoneticPr fontId="72" type="noConversion"/>
  </si>
  <si>
    <r>
      <rPr>
        <sz val="12"/>
        <rFont val="新細明體"/>
        <family val="1"/>
        <charset val="136"/>
      </rPr>
      <t>第二級</t>
    </r>
    <phoneticPr fontId="72" type="noConversion"/>
  </si>
  <si>
    <r>
      <rPr>
        <sz val="12"/>
        <rFont val="新細明體"/>
        <family val="1"/>
        <charset val="136"/>
      </rPr>
      <t>人</t>
    </r>
    <phoneticPr fontId="72" type="noConversion"/>
  </si>
  <si>
    <r>
      <rPr>
        <sz val="12"/>
        <rFont val="新細明體"/>
        <family val="1"/>
        <charset val="136"/>
      </rPr>
      <t>人</t>
    </r>
    <phoneticPr fontId="72" type="noConversion"/>
  </si>
  <si>
    <t>%</t>
    <phoneticPr fontId="72" type="noConversion"/>
  </si>
  <si>
    <t>%</t>
    <phoneticPr fontId="72" type="noConversion"/>
  </si>
  <si>
    <r>
      <rPr>
        <sz val="12"/>
        <rFont val="新細明體"/>
        <family val="1"/>
        <charset val="136"/>
      </rPr>
      <t>人</t>
    </r>
    <phoneticPr fontId="72" type="noConversion"/>
  </si>
  <si>
    <r>
      <t>99</t>
    </r>
    <r>
      <rPr>
        <sz val="12"/>
        <rFont val="新細明體"/>
        <family val="1"/>
        <charset val="136"/>
      </rPr>
      <t>年</t>
    </r>
    <phoneticPr fontId="72" type="noConversion"/>
  </si>
  <si>
    <t>-</t>
    <phoneticPr fontId="115" type="noConversion"/>
  </si>
  <si>
    <t>-</t>
    <phoneticPr fontId="115" type="noConversion"/>
  </si>
  <si>
    <r>
      <rPr>
        <sz val="10"/>
        <rFont val="新細明體"/>
        <family val="1"/>
        <charset val="136"/>
      </rPr>
      <t>資料來源：法務部統計處</t>
    </r>
    <phoneticPr fontId="72" type="noConversion"/>
  </si>
  <si>
    <r>
      <rPr>
        <sz val="15"/>
        <rFont val="新細明體"/>
        <family val="1"/>
        <charset val="136"/>
      </rPr>
      <t>表</t>
    </r>
    <r>
      <rPr>
        <sz val="15"/>
        <rFont val="Times New Roman"/>
        <family val="1"/>
      </rPr>
      <t xml:space="preserve"> 2-4-14</t>
    </r>
    <r>
      <rPr>
        <sz val="15"/>
        <rFont val="新細明體"/>
        <family val="1"/>
        <charset val="136"/>
      </rPr>
      <t>　近</t>
    </r>
    <r>
      <rPr>
        <sz val="15"/>
        <rFont val="Times New Roman"/>
        <family val="1"/>
      </rPr>
      <t>10</t>
    </r>
    <r>
      <rPr>
        <sz val="15"/>
        <rFont val="新細明體"/>
        <family val="1"/>
        <charset val="136"/>
      </rPr>
      <t>年新入所受戒治人人數</t>
    </r>
    <phoneticPr fontId="44" type="noConversion"/>
  </si>
  <si>
    <r>
      <rPr>
        <sz val="11"/>
        <rFont val="新細明體"/>
        <family val="1"/>
        <charset val="136"/>
      </rPr>
      <t>單位：人</t>
    </r>
    <phoneticPr fontId="44" type="noConversion"/>
  </si>
  <si>
    <r>
      <rPr>
        <sz val="12"/>
        <rFont val="新細明體"/>
        <family val="1"/>
        <charset val="136"/>
      </rPr>
      <t>性別</t>
    </r>
    <phoneticPr fontId="72" type="noConversion"/>
  </si>
  <si>
    <r>
      <rPr>
        <sz val="12"/>
        <rFont val="新細明體"/>
        <family val="1"/>
        <charset val="136"/>
      </rPr>
      <t>施用毒品種類</t>
    </r>
    <phoneticPr fontId="72" type="noConversion"/>
  </si>
  <si>
    <r>
      <t>99</t>
    </r>
    <r>
      <rPr>
        <sz val="12"/>
        <rFont val="新細明體"/>
        <family val="1"/>
        <charset val="136"/>
      </rPr>
      <t>年</t>
    </r>
    <phoneticPr fontId="72" type="noConversion"/>
  </si>
  <si>
    <t>1,296 (88.16%)</t>
    <phoneticPr fontId="115" type="noConversion"/>
  </si>
  <si>
    <t>174 (11.84%)</t>
    <phoneticPr fontId="115" type="noConversion"/>
  </si>
  <si>
    <t>823 (55.99%)</t>
    <phoneticPr fontId="115" type="noConversion"/>
  </si>
  <si>
    <t>647 (44.01%)</t>
    <phoneticPr fontId="115" type="noConversion"/>
  </si>
  <si>
    <t>982 (89.76%)</t>
    <phoneticPr fontId="115" type="noConversion"/>
  </si>
  <si>
    <t>112 (10.24%)</t>
    <phoneticPr fontId="115" type="noConversion"/>
  </si>
  <si>
    <t>587 (53.66%)</t>
    <phoneticPr fontId="115" type="noConversion"/>
  </si>
  <si>
    <t>507 (46.34%)</t>
    <phoneticPr fontId="115" type="noConversion"/>
  </si>
  <si>
    <t>680 (84.89%)</t>
    <phoneticPr fontId="115" type="noConversion"/>
  </si>
  <si>
    <t>121 (15.11%)</t>
    <phoneticPr fontId="115" type="noConversion"/>
  </si>
  <si>
    <t>429 (53.56%)</t>
    <phoneticPr fontId="115" type="noConversion"/>
  </si>
  <si>
    <t>372 (46.44%)</t>
    <phoneticPr fontId="115" type="noConversion"/>
  </si>
  <si>
    <t>602 (89.19%)</t>
    <phoneticPr fontId="115" type="noConversion"/>
  </si>
  <si>
    <t>73 (10.81%)</t>
    <phoneticPr fontId="115" type="noConversion"/>
  </si>
  <si>
    <t>367 (54.37%)</t>
    <phoneticPr fontId="115" type="noConversion"/>
  </si>
  <si>
    <t>308 (45.63%)</t>
    <phoneticPr fontId="115" type="noConversion"/>
  </si>
  <si>
    <t>553 (88.76%)</t>
    <phoneticPr fontId="115" type="noConversion"/>
  </si>
  <si>
    <t>70 (11.24%)</t>
    <phoneticPr fontId="115" type="noConversion"/>
  </si>
  <si>
    <t>279 (44.78%)</t>
    <phoneticPr fontId="115" type="noConversion"/>
  </si>
  <si>
    <t>344 (55.22%)</t>
    <phoneticPr fontId="115" type="noConversion"/>
  </si>
  <si>
    <t>550 (85.94%)</t>
    <phoneticPr fontId="115" type="noConversion"/>
  </si>
  <si>
    <t>90 (14.06%)</t>
    <phoneticPr fontId="115" type="noConversion"/>
  </si>
  <si>
    <t>273 (42.66%)</t>
    <phoneticPr fontId="115" type="noConversion"/>
  </si>
  <si>
    <t>367 (57.34%)</t>
    <phoneticPr fontId="115" type="noConversion"/>
  </si>
  <si>
    <t>628 (88.45%)</t>
    <phoneticPr fontId="115" type="noConversion"/>
  </si>
  <si>
    <t>82 (11.55%)</t>
    <phoneticPr fontId="115" type="noConversion"/>
  </si>
  <si>
    <t>297 (41.83%)</t>
    <phoneticPr fontId="115" type="noConversion"/>
  </si>
  <si>
    <t>413 (58.17%)</t>
    <phoneticPr fontId="115" type="noConversion"/>
  </si>
  <si>
    <t>525 (84.68%)</t>
    <phoneticPr fontId="115" type="noConversion"/>
  </si>
  <si>
    <t>95 (15.32%)</t>
    <phoneticPr fontId="115" type="noConversion"/>
  </si>
  <si>
    <t>267 (43.06%)</t>
    <phoneticPr fontId="115" type="noConversion"/>
  </si>
  <si>
    <t>353 (56.94%)</t>
    <phoneticPr fontId="115" type="noConversion"/>
  </si>
  <si>
    <t>415 (86.28%)</t>
    <phoneticPr fontId="115" type="noConversion"/>
  </si>
  <si>
    <t>66 (13.72%)</t>
    <phoneticPr fontId="115" type="noConversion"/>
  </si>
  <si>
    <t>187 (38.88%)</t>
    <phoneticPr fontId="115" type="noConversion"/>
  </si>
  <si>
    <t>294 (61.12%)</t>
    <phoneticPr fontId="115" type="noConversion"/>
  </si>
  <si>
    <t>348 (87.66%)</t>
    <phoneticPr fontId="115" type="noConversion"/>
  </si>
  <si>
    <t>49 (12.34%)</t>
    <phoneticPr fontId="115" type="noConversion"/>
  </si>
  <si>
    <t>167 (42.07%)</t>
    <phoneticPr fontId="115" type="noConversion"/>
  </si>
  <si>
    <t>230 (57.93%)</t>
    <phoneticPr fontId="115" type="noConversion"/>
  </si>
  <si>
    <r>
      <rPr>
        <sz val="15"/>
        <rFont val="新細明體"/>
        <family val="1"/>
        <charset val="136"/>
      </rPr>
      <t>表</t>
    </r>
    <r>
      <rPr>
        <sz val="15"/>
        <rFont val="Times New Roman"/>
        <family val="1"/>
      </rPr>
      <t xml:space="preserve"> 2-4-15</t>
    </r>
    <r>
      <rPr>
        <sz val="15"/>
        <rFont val="新細明體"/>
        <family val="1"/>
        <charset val="136"/>
      </rPr>
      <t>　近</t>
    </r>
    <r>
      <rPr>
        <sz val="15"/>
        <rFont val="Times New Roman"/>
        <family val="1"/>
      </rPr>
      <t>5</t>
    </r>
    <r>
      <rPr>
        <sz val="15"/>
        <rFont val="新細明體"/>
        <family val="1"/>
        <charset val="136"/>
      </rPr>
      <t>年新入所強制工作受處分人罪名</t>
    </r>
    <phoneticPr fontId="72" type="noConversion"/>
  </si>
  <si>
    <r>
      <t>104</t>
    </r>
    <r>
      <rPr>
        <sz val="12"/>
        <rFont val="新細明體"/>
        <family val="1"/>
        <charset val="136"/>
      </rPr>
      <t>年</t>
    </r>
    <phoneticPr fontId="72" type="noConversion"/>
  </si>
  <si>
    <r>
      <rPr>
        <sz val="12"/>
        <rFont val="新細明體"/>
        <family val="1"/>
        <charset val="136"/>
      </rPr>
      <t>計</t>
    </r>
    <phoneticPr fontId="72" type="noConversion"/>
  </si>
  <si>
    <r>
      <rPr>
        <sz val="12"/>
        <rFont val="新細明體"/>
        <family val="1"/>
        <charset val="136"/>
      </rPr>
      <t>男</t>
    </r>
    <phoneticPr fontId="72" type="noConversion"/>
  </si>
  <si>
    <r>
      <rPr>
        <sz val="12"/>
        <rFont val="新細明體"/>
        <family val="1"/>
        <charset val="136"/>
      </rPr>
      <t>女</t>
    </r>
    <phoneticPr fontId="72" type="noConversion"/>
  </si>
  <si>
    <r>
      <rPr>
        <sz val="12"/>
        <rFont val="新細明體"/>
        <family val="1"/>
        <charset val="136"/>
      </rPr>
      <t>女</t>
    </r>
    <phoneticPr fontId="72" type="noConversion"/>
  </si>
  <si>
    <r>
      <rPr>
        <sz val="12"/>
        <rFont val="新細明體"/>
        <family val="1"/>
        <charset val="136"/>
      </rPr>
      <t>計</t>
    </r>
    <phoneticPr fontId="72" type="noConversion"/>
  </si>
  <si>
    <r>
      <rPr>
        <sz val="12"/>
        <rFont val="新細明體"/>
        <family val="1"/>
        <charset val="136"/>
      </rPr>
      <t>男</t>
    </r>
    <phoneticPr fontId="72" type="noConversion"/>
  </si>
  <si>
    <r>
      <rPr>
        <sz val="12"/>
        <rFont val="新細明體"/>
        <family val="1"/>
        <charset val="136"/>
      </rPr>
      <t>計</t>
    </r>
    <phoneticPr fontId="44" type="noConversion"/>
  </si>
  <si>
    <r>
      <rPr>
        <sz val="12"/>
        <rFont val="新細明體"/>
        <family val="1"/>
        <charset val="136"/>
      </rPr>
      <t>女</t>
    </r>
    <phoneticPr fontId="72" type="noConversion"/>
  </si>
  <si>
    <t>總計</t>
    <phoneticPr fontId="44" type="noConversion"/>
  </si>
  <si>
    <r>
      <t xml:space="preserve"> </t>
    </r>
    <r>
      <rPr>
        <sz val="12"/>
        <rFont val="新細明體"/>
        <family val="1"/>
        <charset val="136"/>
      </rPr>
      <t>人</t>
    </r>
    <phoneticPr fontId="44" type="noConversion"/>
  </si>
  <si>
    <t xml:space="preserve"> %</t>
    <phoneticPr fontId="72" type="noConversion"/>
  </si>
  <si>
    <r>
      <rPr>
        <sz val="12"/>
        <rFont val="新細明體"/>
        <family val="1"/>
        <charset val="136"/>
      </rPr>
      <t>竊盜罪</t>
    </r>
    <phoneticPr fontId="44" type="noConversion"/>
  </si>
  <si>
    <r>
      <t xml:space="preserve"> </t>
    </r>
    <r>
      <rPr>
        <sz val="12"/>
        <rFont val="新細明體"/>
        <family val="1"/>
        <charset val="136"/>
      </rPr>
      <t>人</t>
    </r>
    <phoneticPr fontId="44" type="noConversion"/>
  </si>
  <si>
    <t xml:space="preserve"> %</t>
    <phoneticPr fontId="72" type="noConversion"/>
  </si>
  <si>
    <r>
      <rPr>
        <sz val="12"/>
        <rFont val="新細明體"/>
        <family val="1"/>
        <charset val="136"/>
      </rPr>
      <t>強盜及海盜罪</t>
    </r>
    <phoneticPr fontId="44" type="noConversion"/>
  </si>
  <si>
    <r>
      <t xml:space="preserve"> </t>
    </r>
    <r>
      <rPr>
        <sz val="12"/>
        <rFont val="新細明體"/>
        <family val="1"/>
        <charset val="136"/>
      </rPr>
      <t>人</t>
    </r>
    <phoneticPr fontId="44" type="noConversion"/>
  </si>
  <si>
    <t>-</t>
    <phoneticPr fontId="115" type="noConversion"/>
  </si>
  <si>
    <r>
      <rPr>
        <sz val="12"/>
        <rFont val="新細明體"/>
        <family val="1"/>
        <charset val="136"/>
      </rPr>
      <t>搶奪罪</t>
    </r>
    <phoneticPr fontId="44" type="noConversion"/>
  </si>
  <si>
    <r>
      <rPr>
        <sz val="12"/>
        <rFont val="新細明體"/>
        <family val="1"/>
        <charset val="136"/>
      </rPr>
      <t>詐欺罪</t>
    </r>
    <phoneticPr fontId="44" type="noConversion"/>
  </si>
  <si>
    <t xml:space="preserve"> %</t>
    <phoneticPr fontId="72" type="noConversion"/>
  </si>
  <si>
    <r>
      <rPr>
        <sz val="12"/>
        <rFont val="新細明體"/>
        <family val="1"/>
        <charset val="136"/>
      </rPr>
      <t>恐嚇取財得利罪</t>
    </r>
    <phoneticPr fontId="44" type="noConversion"/>
  </si>
  <si>
    <t xml:space="preserve"> %</t>
    <phoneticPr fontId="72" type="noConversion"/>
  </si>
  <si>
    <r>
      <rPr>
        <sz val="12"/>
        <rFont val="新細明體"/>
        <family val="1"/>
        <charset val="136"/>
      </rPr>
      <t>贓物罪</t>
    </r>
    <phoneticPr fontId="44" type="noConversion"/>
  </si>
  <si>
    <t>-</t>
    <phoneticPr fontId="115" type="noConversion"/>
  </si>
  <si>
    <r>
      <rPr>
        <sz val="12"/>
        <rFont val="新細明體"/>
        <family val="1"/>
        <charset val="136"/>
      </rPr>
      <t>槍砲彈藥刀械管制條例</t>
    </r>
    <phoneticPr fontId="44" type="noConversion"/>
  </si>
  <si>
    <r>
      <t xml:space="preserve"> </t>
    </r>
    <r>
      <rPr>
        <sz val="12"/>
        <rFont val="新細明體"/>
        <family val="1"/>
        <charset val="136"/>
      </rPr>
      <t>人</t>
    </r>
    <phoneticPr fontId="44" type="noConversion"/>
  </si>
  <si>
    <t xml:space="preserve"> %</t>
    <phoneticPr fontId="72" type="noConversion"/>
  </si>
  <si>
    <r>
      <rPr>
        <sz val="12"/>
        <rFont val="新細明體"/>
        <family val="1"/>
        <charset val="136"/>
      </rPr>
      <t>脫逃罪</t>
    </r>
    <phoneticPr fontId="44" type="noConversion"/>
  </si>
  <si>
    <t xml:space="preserve"> %</t>
    <phoneticPr fontId="72" type="noConversion"/>
  </si>
  <si>
    <t>-</t>
    <phoneticPr fontId="115" type="noConversion"/>
  </si>
  <si>
    <t>-</t>
    <phoneticPr fontId="115" type="noConversion"/>
  </si>
  <si>
    <r>
      <rPr>
        <sz val="12"/>
        <rFont val="新細明體"/>
        <family val="1"/>
        <charset val="136"/>
      </rPr>
      <t>組織犯罪防制條例</t>
    </r>
    <phoneticPr fontId="44" type="noConversion"/>
  </si>
  <si>
    <t>-</t>
    <phoneticPr fontId="115" type="noConversion"/>
  </si>
  <si>
    <r>
      <rPr>
        <sz val="10"/>
        <rFont val="新細明體"/>
        <family val="1"/>
        <charset val="136"/>
      </rPr>
      <t>資料來源：法務部統計處</t>
    </r>
    <phoneticPr fontId="72" type="noConversion"/>
  </si>
  <si>
    <r>
      <rPr>
        <sz val="14"/>
        <rFont val="新細明體"/>
        <family val="1"/>
        <charset val="136"/>
      </rPr>
      <t>表</t>
    </r>
    <r>
      <rPr>
        <sz val="14"/>
        <rFont val="Times New Roman"/>
        <family val="1"/>
      </rPr>
      <t>2-4-16</t>
    </r>
    <r>
      <rPr>
        <sz val="14"/>
        <rFont val="新細明體"/>
        <family val="1"/>
        <charset val="136"/>
      </rPr>
      <t>　近</t>
    </r>
    <r>
      <rPr>
        <sz val="14"/>
        <rFont val="Times New Roman"/>
        <family val="1"/>
      </rPr>
      <t>10</t>
    </r>
    <r>
      <rPr>
        <sz val="14"/>
        <rFont val="新細明體"/>
        <family val="1"/>
        <charset val="136"/>
      </rPr>
      <t>年地方檢察署保護管束案件收結情形</t>
    </r>
    <phoneticPr fontId="135" type="noConversion"/>
  </si>
  <si>
    <r>
      <rPr>
        <sz val="10"/>
        <rFont val="新細明體"/>
        <family val="1"/>
        <charset val="136"/>
      </rPr>
      <t>單位：件</t>
    </r>
    <phoneticPr fontId="135" type="noConversion"/>
  </si>
  <si>
    <r>
      <rPr>
        <sz val="12"/>
        <rFont val="新細明體"/>
        <family val="1"/>
        <charset val="136"/>
      </rPr>
      <t>新收件數</t>
    </r>
  </si>
  <si>
    <r>
      <rPr>
        <sz val="12"/>
        <rFont val="新細明體"/>
        <family val="1"/>
        <charset val="136"/>
      </rPr>
      <t>終結件數</t>
    </r>
  </si>
  <si>
    <r>
      <rPr>
        <sz val="12"/>
        <rFont val="新細明體"/>
        <family val="1"/>
        <charset val="136"/>
      </rPr>
      <t>未結件數
年底</t>
    </r>
  </si>
  <si>
    <r>
      <rPr>
        <sz val="12"/>
        <rFont val="新細明體"/>
        <family val="1"/>
        <charset val="136"/>
      </rPr>
      <t>期滿</t>
    </r>
  </si>
  <si>
    <r>
      <rPr>
        <sz val="12"/>
        <rFont val="新細明體"/>
        <family val="1"/>
        <charset val="136"/>
      </rPr>
      <t>撤銷</t>
    </r>
  </si>
  <si>
    <r>
      <rPr>
        <sz val="12"/>
        <rFont val="新細明體"/>
        <family val="1"/>
        <charset val="136"/>
      </rPr>
      <t>護管束者
假釋付保</t>
    </r>
  </si>
  <si>
    <r>
      <rPr>
        <sz val="12"/>
        <rFont val="新細明體"/>
        <family val="1"/>
        <charset val="136"/>
      </rPr>
      <t>護管束者
緩刑付保</t>
    </r>
  </si>
  <si>
    <r>
      <t>99</t>
    </r>
    <r>
      <rPr>
        <sz val="12"/>
        <rFont val="新細明體"/>
        <family val="1"/>
        <charset val="136"/>
      </rPr>
      <t>年</t>
    </r>
    <phoneticPr fontId="135" type="noConversion"/>
  </si>
  <si>
    <t>資料來源：法務部統計處</t>
    <phoneticPr fontId="115" type="noConversion"/>
  </si>
  <si>
    <r>
      <rPr>
        <sz val="10"/>
        <rFont val="新細明體"/>
        <family val="1"/>
        <charset val="136"/>
      </rPr>
      <t>說</t>
    </r>
    <r>
      <rPr>
        <sz val="10"/>
        <rFont val="Times New Roman"/>
        <family val="1"/>
      </rPr>
      <t xml:space="preserve">        </t>
    </r>
    <r>
      <rPr>
        <sz val="10"/>
        <rFont val="新細明體"/>
        <family val="1"/>
        <charset val="136"/>
      </rPr>
      <t>明：</t>
    </r>
    <r>
      <rPr>
        <sz val="10"/>
        <rFont val="Times New Roman"/>
        <family val="1"/>
      </rPr>
      <t>105</t>
    </r>
    <r>
      <rPr>
        <sz val="10"/>
        <rFont val="新細明體"/>
        <family val="1"/>
        <charset val="136"/>
      </rPr>
      <t>年</t>
    </r>
    <r>
      <rPr>
        <sz val="10"/>
        <rFont val="Times New Roman"/>
        <family val="1"/>
      </rPr>
      <t>6</t>
    </r>
    <r>
      <rPr>
        <sz val="10"/>
        <rFont val="新細明體"/>
        <family val="1"/>
        <charset val="136"/>
      </rPr>
      <t>月起新增「期滿疑似再犯」之終結情形</t>
    </r>
    <r>
      <rPr>
        <sz val="10"/>
        <rFont val="Times New Roman"/>
        <family val="1"/>
      </rPr>
      <t>(</t>
    </r>
    <r>
      <rPr>
        <sz val="10"/>
        <rFont val="新細明體"/>
        <family val="1"/>
        <charset val="136"/>
      </rPr>
      <t>由原撤銷項下分出</t>
    </r>
    <r>
      <rPr>
        <sz val="10"/>
        <rFont val="Times New Roman"/>
        <family val="1"/>
      </rPr>
      <t>)</t>
    </r>
    <r>
      <rPr>
        <sz val="10"/>
        <rFont val="新細明體"/>
        <family val="1"/>
        <charset val="136"/>
      </rPr>
      <t>，</t>
    </r>
    <r>
      <rPr>
        <sz val="10"/>
        <rFont val="Times New Roman"/>
        <family val="1"/>
      </rPr>
      <t>105</t>
    </r>
    <r>
      <rPr>
        <sz val="10"/>
        <rFont val="新細明體"/>
        <family val="1"/>
        <charset val="136"/>
      </rPr>
      <t>年撤銷件數降為</t>
    </r>
    <r>
      <rPr>
        <sz val="10"/>
        <rFont val="Times New Roman"/>
        <family val="1"/>
      </rPr>
      <t>2,319</t>
    </r>
    <r>
      <rPr>
        <sz val="10"/>
        <rFont val="新細明體"/>
        <family val="1"/>
        <charset val="136"/>
      </rPr>
      <t>件，</t>
    </r>
    <r>
      <rPr>
        <sz val="10"/>
        <rFont val="Times New Roman"/>
        <family val="1"/>
      </rPr>
      <t>106</t>
    </r>
    <r>
      <rPr>
        <sz val="10"/>
        <rFont val="新細明體"/>
        <family val="1"/>
        <charset val="136"/>
      </rPr>
      <t>、</t>
    </r>
    <r>
      <rPr>
        <sz val="10"/>
        <rFont val="Times New Roman"/>
        <family val="1"/>
      </rPr>
      <t>107</t>
    </r>
    <r>
      <rPr>
        <sz val="10"/>
        <rFont val="新細明體"/>
        <family val="1"/>
        <charset val="136"/>
      </rPr>
      <t>及</t>
    </r>
    <r>
      <rPr>
        <sz val="10"/>
        <rFont val="Times New Roman"/>
        <family val="1"/>
      </rPr>
      <t>108</t>
    </r>
    <r>
      <rPr>
        <sz val="10"/>
        <rFont val="新細明體"/>
        <family val="1"/>
        <charset val="136"/>
      </rPr>
      <t>年續降為</t>
    </r>
    <r>
      <rPr>
        <sz val="10"/>
        <rFont val="Times New Roman"/>
        <family val="1"/>
      </rPr>
      <t>2,090</t>
    </r>
    <r>
      <rPr>
        <sz val="10"/>
        <rFont val="新細明體"/>
        <family val="1"/>
        <charset val="136"/>
      </rPr>
      <t>、</t>
    </r>
    <r>
      <rPr>
        <sz val="10"/>
        <rFont val="Times New Roman"/>
        <family val="1"/>
      </rPr>
      <t>2,001</t>
    </r>
    <r>
      <rPr>
        <sz val="10"/>
        <rFont val="新細明體"/>
        <family val="1"/>
        <charset val="136"/>
      </rPr>
      <t>及</t>
    </r>
    <r>
      <rPr>
        <sz val="10"/>
        <rFont val="Times New Roman"/>
        <family val="1"/>
      </rPr>
      <t>1,828</t>
    </r>
    <r>
      <rPr>
        <sz val="10"/>
        <rFont val="新細明體"/>
        <family val="1"/>
        <charset val="136"/>
      </rPr>
      <t>件。</t>
    </r>
    <phoneticPr fontId="135" type="noConversion"/>
  </si>
  <si>
    <r>
      <rPr>
        <sz val="14"/>
        <rFont val="新細明體"/>
        <family val="1"/>
        <charset val="136"/>
      </rPr>
      <t>表</t>
    </r>
    <r>
      <rPr>
        <sz val="14"/>
        <rFont val="Times New Roman"/>
        <family val="1"/>
      </rPr>
      <t>2-4-17</t>
    </r>
    <r>
      <rPr>
        <sz val="14"/>
        <rFont val="新細明體"/>
        <family val="1"/>
        <charset val="136"/>
      </rPr>
      <t>　近</t>
    </r>
    <r>
      <rPr>
        <sz val="14"/>
        <rFont val="Times New Roman"/>
        <family val="1"/>
      </rPr>
      <t>10</t>
    </r>
    <r>
      <rPr>
        <sz val="14"/>
        <rFont val="新細明體"/>
        <family val="1"/>
        <charset val="136"/>
      </rPr>
      <t>年地方檢察署保護管束案件執行與輔導情形</t>
    </r>
    <phoneticPr fontId="44" type="noConversion"/>
  </si>
  <si>
    <r>
      <rPr>
        <sz val="10"/>
        <rFont val="新細明體"/>
        <family val="1"/>
        <charset val="136"/>
      </rPr>
      <t>單位：人次</t>
    </r>
    <phoneticPr fontId="7" type="noConversion"/>
  </si>
  <si>
    <r>
      <rPr>
        <sz val="12"/>
        <rFont val="新細明體"/>
        <family val="1"/>
        <charset val="136"/>
      </rPr>
      <t>保護管束執行人次</t>
    </r>
    <phoneticPr fontId="7" type="noConversion"/>
  </si>
  <si>
    <r>
      <rPr>
        <sz val="12"/>
        <rFont val="新細明體"/>
        <family val="1"/>
        <charset val="136"/>
      </rPr>
      <t>保護管束輔導人次</t>
    </r>
    <phoneticPr fontId="7" type="noConversion"/>
  </si>
  <si>
    <r>
      <rPr>
        <sz val="12"/>
        <rFont val="新細明體"/>
        <family val="1"/>
        <charset val="136"/>
      </rPr>
      <t>約談</t>
    </r>
    <phoneticPr fontId="7" type="noConversion"/>
  </si>
  <si>
    <r>
      <rPr>
        <sz val="12"/>
        <rFont val="新細明體"/>
        <family val="1"/>
        <charset val="136"/>
      </rPr>
      <t>訪視</t>
    </r>
    <phoneticPr fontId="7" type="noConversion"/>
  </si>
  <si>
    <r>
      <rPr>
        <sz val="12"/>
        <rFont val="新細明體"/>
        <family val="1"/>
        <charset val="136"/>
      </rPr>
      <t>書面報告</t>
    </r>
    <phoneticPr fontId="7" type="noConversion"/>
  </si>
  <si>
    <r>
      <rPr>
        <sz val="12"/>
        <rFont val="新細明體"/>
        <family val="1"/>
        <charset val="136"/>
      </rPr>
      <t>就業</t>
    </r>
    <phoneticPr fontId="7" type="noConversion"/>
  </si>
  <si>
    <r>
      <rPr>
        <sz val="12"/>
        <rFont val="新細明體"/>
        <family val="1"/>
        <charset val="136"/>
      </rPr>
      <t>就學</t>
    </r>
    <phoneticPr fontId="7" type="noConversion"/>
  </si>
  <si>
    <r>
      <rPr>
        <sz val="12"/>
        <rFont val="新細明體"/>
        <family val="1"/>
        <charset val="136"/>
      </rPr>
      <t>就醫</t>
    </r>
    <phoneticPr fontId="7" type="noConversion"/>
  </si>
  <si>
    <r>
      <rPr>
        <sz val="12"/>
        <rFont val="新細明體"/>
        <family val="1"/>
        <charset val="136"/>
      </rPr>
      <t>就養</t>
    </r>
    <phoneticPr fontId="7" type="noConversion"/>
  </si>
  <si>
    <r>
      <t>99</t>
    </r>
    <r>
      <rPr>
        <sz val="12"/>
        <rFont val="新細明體"/>
        <family val="1"/>
        <charset val="136"/>
      </rPr>
      <t>年</t>
    </r>
    <phoneticPr fontId="115" type="noConversion"/>
  </si>
  <si>
    <r>
      <rPr>
        <sz val="10"/>
        <rFont val="新細明體"/>
        <family val="1"/>
        <charset val="136"/>
      </rPr>
      <t xml:space="preserve">結構比
</t>
    </r>
    <r>
      <rPr>
        <sz val="10"/>
        <rFont val="Times New Roman"/>
        <family val="1"/>
      </rPr>
      <t>(%)</t>
    </r>
  </si>
  <si>
    <r>
      <rPr>
        <sz val="10"/>
        <rFont val="新細明體"/>
        <family val="1"/>
        <charset val="136"/>
      </rPr>
      <t>說　　明：</t>
    </r>
    <r>
      <rPr>
        <sz val="10"/>
        <rFont val="Times New Roman"/>
        <family val="1"/>
      </rPr>
      <t>1.</t>
    </r>
    <r>
      <rPr>
        <sz val="10"/>
        <rFont val="新細明體"/>
        <family val="1"/>
        <charset val="136"/>
      </rPr>
      <t>保護管束執行項目包含個案一般監督、驗尿監督、警局複數監督、社區治療監督及其他特別監督。</t>
    </r>
    <phoneticPr fontId="115" type="noConversion"/>
  </si>
  <si>
    <r>
      <rPr>
        <sz val="10"/>
        <rFont val="新細明體"/>
        <family val="1"/>
        <charset val="136"/>
      </rPr>
      <t>　　　　　</t>
    </r>
    <r>
      <rPr>
        <sz val="10"/>
        <rFont val="Times New Roman"/>
        <family val="1"/>
      </rPr>
      <t>2.</t>
    </r>
    <r>
      <rPr>
        <sz val="10"/>
        <rFont val="新細明體"/>
        <family val="1"/>
        <charset val="136"/>
      </rPr>
      <t>本表之保護管束案件執行與輔導含榮譽觀護人協助部分。</t>
    </r>
    <phoneticPr fontId="115" type="noConversion"/>
  </si>
  <si>
    <r>
      <rPr>
        <sz val="15"/>
        <rFont val="新細明體"/>
        <family val="1"/>
        <charset val="136"/>
      </rPr>
      <t>表</t>
    </r>
    <r>
      <rPr>
        <sz val="15"/>
        <rFont val="Times New Roman"/>
        <family val="1"/>
      </rPr>
      <t>2-4-18</t>
    </r>
    <r>
      <rPr>
        <sz val="15"/>
        <rFont val="新細明體"/>
        <family val="1"/>
        <charset val="136"/>
      </rPr>
      <t>　近</t>
    </r>
    <r>
      <rPr>
        <sz val="15"/>
        <rFont val="Times New Roman"/>
        <family val="1"/>
      </rPr>
      <t>10</t>
    </r>
    <r>
      <rPr>
        <sz val="15"/>
        <rFont val="新細明體"/>
        <family val="1"/>
        <charset val="136"/>
      </rPr>
      <t>年地方檢察署附條件緩刑之社區處遇案件收結情形</t>
    </r>
    <phoneticPr fontId="115" type="noConversion"/>
  </si>
  <si>
    <r>
      <rPr>
        <sz val="11"/>
        <rFont val="新細明體"/>
        <family val="1"/>
        <charset val="136"/>
      </rPr>
      <t>新收案件</t>
    </r>
    <phoneticPr fontId="115" type="noConversion"/>
  </si>
  <si>
    <r>
      <rPr>
        <sz val="11"/>
        <rFont val="新細明體"/>
        <family val="1"/>
        <charset val="136"/>
      </rPr>
      <t>終結案件</t>
    </r>
    <phoneticPr fontId="115" type="noConversion"/>
  </si>
  <si>
    <r>
      <rPr>
        <sz val="11"/>
        <rFont val="新細明體"/>
        <family val="1"/>
        <charset val="136"/>
      </rPr>
      <t>總計</t>
    </r>
    <phoneticPr fontId="115" type="noConversion"/>
  </si>
  <si>
    <r>
      <rPr>
        <sz val="11"/>
        <rFont val="新細明體"/>
        <family val="1"/>
        <charset val="136"/>
      </rPr>
      <t>處分
緩刑義務勞務</t>
    </r>
    <phoneticPr fontId="115" type="noConversion"/>
  </si>
  <si>
    <r>
      <rPr>
        <sz val="11"/>
        <rFont val="新細明體"/>
        <family val="1"/>
        <charset val="136"/>
      </rPr>
      <t>戒癮治療</t>
    </r>
    <phoneticPr fontId="115" type="noConversion"/>
  </si>
  <si>
    <r>
      <rPr>
        <sz val="11"/>
        <rFont val="新細明體"/>
        <family val="1"/>
        <charset val="136"/>
      </rPr>
      <t>處分
緩刑必要命令</t>
    </r>
    <phoneticPr fontId="115" type="noConversion"/>
  </si>
  <si>
    <r>
      <rPr>
        <sz val="11"/>
        <rFont val="新細明體"/>
        <family val="1"/>
        <charset val="136"/>
      </rPr>
      <t>總計</t>
    </r>
    <phoneticPr fontId="115" type="noConversion"/>
  </si>
  <si>
    <r>
      <rPr>
        <sz val="11"/>
        <rFont val="新細明體"/>
        <family val="1"/>
        <charset val="136"/>
      </rPr>
      <t>處分
緩刑義務勞務</t>
    </r>
    <phoneticPr fontId="115" type="noConversion"/>
  </si>
  <si>
    <r>
      <t>99</t>
    </r>
    <r>
      <rPr>
        <sz val="12"/>
        <rFont val="新細明體"/>
        <family val="1"/>
        <charset val="136"/>
      </rPr>
      <t>年</t>
    </r>
    <phoneticPr fontId="135" type="noConversion"/>
  </si>
  <si>
    <r>
      <rPr>
        <sz val="10"/>
        <rFont val="新細明體"/>
        <family val="1"/>
        <charset val="136"/>
      </rPr>
      <t>資料來源：法務部統計處</t>
    </r>
    <phoneticPr fontId="44" type="noConversion"/>
  </si>
  <si>
    <r>
      <rPr>
        <sz val="10"/>
        <rFont val="新細明體"/>
        <family val="1"/>
        <charset val="136"/>
      </rPr>
      <t>說　　明：本表所謂義務勞務處分，係依刑法第</t>
    </r>
    <r>
      <rPr>
        <sz val="10"/>
        <rFont val="Times New Roman"/>
        <family val="1"/>
      </rPr>
      <t>74</t>
    </r>
    <r>
      <rPr>
        <sz val="10"/>
        <rFont val="新細明體"/>
        <family val="1"/>
        <charset val="136"/>
      </rPr>
      <t>條第</t>
    </r>
    <r>
      <rPr>
        <sz val="10"/>
        <rFont val="Times New Roman"/>
        <family val="1"/>
      </rPr>
      <t>2</t>
    </r>
    <r>
      <rPr>
        <sz val="10"/>
        <rFont val="新細明體"/>
        <family val="1"/>
        <charset val="136"/>
      </rPr>
      <t>項第</t>
    </r>
    <r>
      <rPr>
        <sz val="10"/>
        <rFont val="Times New Roman"/>
        <family val="1"/>
      </rPr>
      <t>5</t>
    </r>
    <r>
      <rPr>
        <sz val="10"/>
        <rFont val="新細明體"/>
        <family val="1"/>
        <charset val="136"/>
      </rPr>
      <t>款規定；所謂戒癮治療，係依同項第</t>
    </r>
    <r>
      <rPr>
        <sz val="10"/>
        <rFont val="Times New Roman"/>
        <family val="1"/>
      </rPr>
      <t>6</t>
    </r>
    <r>
      <rPr>
        <sz val="10"/>
        <rFont val="新細明體"/>
        <family val="1"/>
        <charset val="136"/>
      </rPr>
      <t>款規定；
　　　　　所謂必要命令處分，係依同項第</t>
    </r>
    <r>
      <rPr>
        <sz val="10"/>
        <rFont val="Times New Roman"/>
        <family val="1"/>
      </rPr>
      <t>7</t>
    </r>
    <r>
      <rPr>
        <sz val="10"/>
        <rFont val="新細明體"/>
        <family val="1"/>
        <charset val="136"/>
      </rPr>
      <t>款、第</t>
    </r>
    <r>
      <rPr>
        <sz val="10"/>
        <rFont val="Times New Roman"/>
        <family val="1"/>
      </rPr>
      <t>8</t>
    </r>
    <r>
      <rPr>
        <sz val="10"/>
        <rFont val="新細明體"/>
        <family val="1"/>
        <charset val="136"/>
      </rPr>
      <t>款規定。</t>
    </r>
    <phoneticPr fontId="115" type="noConversion"/>
  </si>
  <si>
    <r>
      <rPr>
        <sz val="14"/>
        <rFont val="新細明體"/>
        <family val="1"/>
        <charset val="136"/>
      </rPr>
      <t>表</t>
    </r>
    <r>
      <rPr>
        <sz val="14"/>
        <rFont val="Times New Roman"/>
        <family val="1"/>
      </rPr>
      <t>2-4-19</t>
    </r>
    <r>
      <rPr>
        <sz val="14"/>
        <rFont val="新細明體"/>
        <family val="1"/>
        <charset val="136"/>
      </rPr>
      <t>　近</t>
    </r>
    <r>
      <rPr>
        <sz val="14"/>
        <rFont val="Times New Roman"/>
        <family val="1"/>
      </rPr>
      <t>10</t>
    </r>
    <r>
      <rPr>
        <sz val="14"/>
        <rFont val="新細明體"/>
        <family val="1"/>
        <charset val="136"/>
      </rPr>
      <t>年地方檢察署緩起訴社區處遇案件收結情形</t>
    </r>
    <phoneticPr fontId="44" type="noConversion"/>
  </si>
  <si>
    <r>
      <rPr>
        <sz val="10"/>
        <rFont val="新細明體"/>
        <family val="1"/>
        <charset val="136"/>
      </rPr>
      <t>單位：件、人次、小時</t>
    </r>
    <phoneticPr fontId="44" type="noConversion"/>
  </si>
  <si>
    <r>
      <rPr>
        <sz val="11"/>
        <rFont val="新細明體"/>
        <family val="1"/>
        <charset val="136"/>
      </rPr>
      <t>新收件數</t>
    </r>
  </si>
  <si>
    <r>
      <rPr>
        <sz val="11"/>
        <rFont val="新細明體"/>
        <family val="1"/>
        <charset val="136"/>
      </rPr>
      <t>終結件數</t>
    </r>
  </si>
  <si>
    <r>
      <rPr>
        <sz val="11"/>
        <rFont val="新細明體"/>
        <family val="1"/>
        <charset val="136"/>
      </rPr>
      <t>未結件數
年底</t>
    </r>
    <phoneticPr fontId="44" type="noConversion"/>
  </si>
  <si>
    <r>
      <rPr>
        <sz val="11"/>
        <rFont val="新細明體"/>
        <family val="1"/>
        <charset val="136"/>
      </rPr>
      <t>辦理情形</t>
    </r>
    <phoneticPr fontId="115" type="noConversion"/>
  </si>
  <si>
    <r>
      <rPr>
        <sz val="11"/>
        <rFont val="新細明體"/>
        <family val="1"/>
        <charset val="136"/>
      </rPr>
      <t>總計</t>
    </r>
  </si>
  <si>
    <r>
      <rPr>
        <sz val="11"/>
        <rFont val="新細明體"/>
        <family val="1"/>
        <charset val="136"/>
      </rPr>
      <t>義務勞務處分
緩起訴</t>
    </r>
  </si>
  <si>
    <r>
      <rPr>
        <sz val="11"/>
        <rFont val="新細明體"/>
        <family val="1"/>
        <charset val="136"/>
      </rPr>
      <t>戒癮治療</t>
    </r>
    <phoneticPr fontId="44" type="noConversion"/>
  </si>
  <si>
    <r>
      <rPr>
        <sz val="11"/>
        <rFont val="新細明體"/>
        <family val="1"/>
        <charset val="136"/>
      </rPr>
      <t>必要命令處分
緩起訴</t>
    </r>
  </si>
  <si>
    <r>
      <rPr>
        <sz val="11"/>
        <rFont val="新細明體"/>
        <family val="1"/>
        <charset val="136"/>
      </rPr>
      <t>履行完成</t>
    </r>
    <phoneticPr fontId="44" type="noConversion"/>
  </si>
  <si>
    <r>
      <rPr>
        <sz val="11"/>
        <rFont val="新細明體"/>
        <family val="1"/>
        <charset val="136"/>
      </rPr>
      <t>履行未完成</t>
    </r>
  </si>
  <si>
    <r>
      <rPr>
        <sz val="11"/>
        <rFont val="新細明體"/>
        <family val="1"/>
        <charset val="136"/>
      </rPr>
      <t>社會資源
協調聯繫</t>
    </r>
  </si>
  <si>
    <r>
      <rPr>
        <sz val="11"/>
        <rFont val="新細明體"/>
        <family val="1"/>
        <charset val="136"/>
      </rPr>
      <t>執行機關（構）
訪視義務勞務</t>
    </r>
  </si>
  <si>
    <r>
      <rPr>
        <sz val="11"/>
        <rFont val="新細明體"/>
        <family val="1"/>
        <charset val="136"/>
      </rPr>
      <t xml:space="preserve">義務勞務執行情形
</t>
    </r>
    <r>
      <rPr>
        <sz val="11"/>
        <rFont val="Times New Roman"/>
        <family val="1"/>
      </rPr>
      <t>(</t>
    </r>
    <r>
      <rPr>
        <sz val="11"/>
        <rFont val="新細明體"/>
        <family val="1"/>
        <charset val="136"/>
      </rPr>
      <t>終結案件</t>
    </r>
    <r>
      <rPr>
        <sz val="11"/>
        <rFont val="Times New Roman"/>
        <family val="1"/>
      </rPr>
      <t>)</t>
    </r>
  </si>
  <si>
    <r>
      <rPr>
        <sz val="11"/>
        <rFont val="新細明體"/>
        <family val="1"/>
        <charset val="136"/>
      </rPr>
      <t>勞務時數
應履行義務</t>
    </r>
  </si>
  <si>
    <r>
      <rPr>
        <sz val="11"/>
        <rFont val="新細明體"/>
        <family val="1"/>
        <charset val="136"/>
      </rPr>
      <t>勞務時數
實際履行義務</t>
    </r>
  </si>
  <si>
    <r>
      <rPr>
        <sz val="11"/>
        <rFont val="新細明體"/>
        <family val="1"/>
        <charset val="136"/>
      </rPr>
      <t>件</t>
    </r>
  </si>
  <si>
    <r>
      <rPr>
        <sz val="11"/>
        <rFont val="新細明體"/>
        <family val="1"/>
        <charset val="136"/>
      </rPr>
      <t>人次</t>
    </r>
  </si>
  <si>
    <r>
      <rPr>
        <sz val="11"/>
        <rFont val="新細明體"/>
        <family val="1"/>
        <charset val="136"/>
      </rPr>
      <t>小時</t>
    </r>
  </si>
  <si>
    <r>
      <rPr>
        <sz val="10"/>
        <rFont val="新細明體"/>
        <family val="1"/>
        <charset val="136"/>
      </rPr>
      <t>說　　明：本表所謂義務勞務處分，係依刑事訴訟法第</t>
    </r>
    <r>
      <rPr>
        <sz val="10"/>
        <rFont val="Times New Roman"/>
        <family val="1"/>
      </rPr>
      <t>253</t>
    </r>
    <r>
      <rPr>
        <sz val="10"/>
        <rFont val="新細明體"/>
        <family val="1"/>
        <charset val="136"/>
      </rPr>
      <t>條之</t>
    </r>
    <r>
      <rPr>
        <sz val="10"/>
        <rFont val="Times New Roman"/>
        <family val="1"/>
      </rPr>
      <t>2</t>
    </r>
    <r>
      <rPr>
        <sz val="10"/>
        <rFont val="新細明體"/>
        <family val="1"/>
        <charset val="136"/>
      </rPr>
      <t>第</t>
    </r>
    <r>
      <rPr>
        <sz val="10"/>
        <rFont val="Times New Roman"/>
        <family val="1"/>
      </rPr>
      <t>1</t>
    </r>
    <r>
      <rPr>
        <sz val="10"/>
        <rFont val="新細明體"/>
        <family val="1"/>
        <charset val="136"/>
      </rPr>
      <t>項第</t>
    </r>
    <r>
      <rPr>
        <sz val="10"/>
        <rFont val="Times New Roman"/>
        <family val="1"/>
      </rPr>
      <t>5</t>
    </r>
    <r>
      <rPr>
        <sz val="10"/>
        <rFont val="新細明體"/>
        <family val="1"/>
        <charset val="136"/>
      </rPr>
      <t>款規定；所謂戒癮治療，係依同項第</t>
    </r>
    <r>
      <rPr>
        <sz val="10"/>
        <rFont val="Times New Roman"/>
        <family val="1"/>
      </rPr>
      <t>6</t>
    </r>
    <r>
      <rPr>
        <sz val="10"/>
        <rFont val="新細明體"/>
        <family val="1"/>
        <charset val="136"/>
      </rPr>
      <t>款規定；所謂必要命令處分，係依同項第</t>
    </r>
    <r>
      <rPr>
        <sz val="10"/>
        <rFont val="Times New Roman"/>
        <family val="1"/>
      </rPr>
      <t>7</t>
    </r>
    <r>
      <rPr>
        <sz val="10"/>
        <rFont val="新細明體"/>
        <family val="1"/>
        <charset val="136"/>
      </rPr>
      <t>款、第</t>
    </r>
    <r>
      <rPr>
        <sz val="10"/>
        <rFont val="Times New Roman"/>
        <family val="1"/>
      </rPr>
      <t>8</t>
    </r>
    <r>
      <rPr>
        <sz val="10"/>
        <rFont val="新細明體"/>
        <family val="1"/>
        <charset val="136"/>
      </rPr>
      <t>款規定。</t>
    </r>
    <phoneticPr fontId="115" type="noConversion"/>
  </si>
  <si>
    <r>
      <rPr>
        <sz val="14"/>
        <rFont val="新細明體"/>
        <family val="1"/>
        <charset val="136"/>
      </rPr>
      <t>表</t>
    </r>
    <r>
      <rPr>
        <sz val="14"/>
        <rFont val="Times New Roman"/>
        <family val="1"/>
      </rPr>
      <t>2-4-20</t>
    </r>
    <r>
      <rPr>
        <sz val="14"/>
        <rFont val="新細明體"/>
        <family val="1"/>
        <charset val="136"/>
      </rPr>
      <t>　近</t>
    </r>
    <r>
      <rPr>
        <sz val="14"/>
        <rFont val="Times New Roman"/>
        <family val="1"/>
      </rPr>
      <t>10</t>
    </r>
    <r>
      <rPr>
        <sz val="14"/>
        <rFont val="新細明體"/>
        <family val="1"/>
        <charset val="136"/>
      </rPr>
      <t>年地方檢察署緩起訴必要命令及戒癮治療處分案件執行情形</t>
    </r>
    <phoneticPr fontId="44" type="noConversion"/>
  </si>
  <si>
    <r>
      <rPr>
        <sz val="10"/>
        <rFont val="新細明體"/>
        <family val="1"/>
        <charset val="136"/>
      </rPr>
      <t>單位：人、人次</t>
    </r>
    <phoneticPr fontId="44" type="noConversion"/>
  </si>
  <si>
    <r>
      <rPr>
        <sz val="11"/>
        <rFont val="新細明體"/>
        <family val="1"/>
        <charset val="136"/>
      </rPr>
      <t>預防命令終結人數
法治教育及其他
檢察官命被告執行</t>
    </r>
    <phoneticPr fontId="115" type="noConversion"/>
  </si>
  <si>
    <r>
      <rPr>
        <sz val="11"/>
        <rFont val="新細明體"/>
        <family val="1"/>
        <charset val="136"/>
      </rPr>
      <t>其他預防命令人次
法治教育及
被告完成</t>
    </r>
    <phoneticPr fontId="115" type="noConversion"/>
  </si>
  <si>
    <r>
      <rPr>
        <sz val="11"/>
        <rFont val="新細明體"/>
        <family val="1"/>
        <charset val="136"/>
      </rPr>
      <t>終結人數
執行戒癮治療
檢察官命被告</t>
    </r>
    <phoneticPr fontId="115" type="noConversion"/>
  </si>
  <si>
    <r>
      <rPr>
        <sz val="11"/>
        <rFont val="新細明體"/>
        <family val="1"/>
        <charset val="136"/>
      </rPr>
      <t>完成戒癮治療人次
被告實際履行</t>
    </r>
    <phoneticPr fontId="115" type="noConversion"/>
  </si>
  <si>
    <r>
      <rPr>
        <sz val="11"/>
        <rFont val="新細明體"/>
        <family val="1"/>
        <charset val="136"/>
      </rPr>
      <t>執行採驗尿液人次
檢察官命被告</t>
    </r>
    <phoneticPr fontId="115" type="noConversion"/>
  </si>
  <si>
    <r>
      <rPr>
        <sz val="11"/>
        <rFont val="新細明體"/>
        <family val="1"/>
        <charset val="136"/>
      </rPr>
      <t>完成採驗尿液人次
被告實際</t>
    </r>
    <phoneticPr fontId="115" type="noConversion"/>
  </si>
  <si>
    <r>
      <rPr>
        <sz val="11"/>
        <rFont val="新細明體"/>
        <family val="1"/>
        <charset val="136"/>
      </rPr>
      <t>人</t>
    </r>
    <phoneticPr fontId="115" type="noConversion"/>
  </si>
  <si>
    <r>
      <rPr>
        <sz val="11"/>
        <rFont val="新細明體"/>
        <family val="1"/>
        <charset val="136"/>
      </rPr>
      <t>人次</t>
    </r>
    <phoneticPr fontId="115" type="noConversion"/>
  </si>
  <si>
    <r>
      <rPr>
        <sz val="11"/>
        <rFont val="新細明體"/>
        <family val="1"/>
        <charset val="136"/>
      </rPr>
      <t>人次</t>
    </r>
    <phoneticPr fontId="115" type="noConversion"/>
  </si>
  <si>
    <r>
      <rPr>
        <sz val="11"/>
        <rFont val="新細明體"/>
        <family val="1"/>
        <charset val="136"/>
      </rPr>
      <t>人次</t>
    </r>
    <phoneticPr fontId="115" type="noConversion"/>
  </si>
  <si>
    <r>
      <t>99</t>
    </r>
    <r>
      <rPr>
        <sz val="12"/>
        <rFont val="新細明體"/>
        <family val="1"/>
        <charset val="136"/>
      </rPr>
      <t>年</t>
    </r>
    <phoneticPr fontId="135" type="noConversion"/>
  </si>
  <si>
    <r>
      <rPr>
        <sz val="14"/>
        <rFont val="新細明體"/>
        <family val="1"/>
        <charset val="136"/>
      </rPr>
      <t>表</t>
    </r>
    <r>
      <rPr>
        <sz val="14"/>
        <rFont val="Times New Roman"/>
        <family val="1"/>
      </rPr>
      <t>2-4-21</t>
    </r>
    <r>
      <rPr>
        <sz val="14"/>
        <rFont val="新細明體"/>
        <family val="1"/>
        <charset val="136"/>
      </rPr>
      <t>　近</t>
    </r>
    <r>
      <rPr>
        <sz val="14"/>
        <rFont val="Times New Roman"/>
        <family val="1"/>
      </rPr>
      <t>10</t>
    </r>
    <r>
      <rPr>
        <sz val="14"/>
        <rFont val="新細明體"/>
        <family val="1"/>
        <charset val="136"/>
      </rPr>
      <t>年地方檢察署觀護易服社會勞動案件辦理情形</t>
    </r>
    <phoneticPr fontId="44" type="noConversion"/>
  </si>
  <si>
    <r>
      <rPr>
        <sz val="12"/>
        <rFont val="新細明體"/>
        <family val="1"/>
        <charset val="136"/>
      </rPr>
      <t>徒刑</t>
    </r>
  </si>
  <si>
    <r>
      <rPr>
        <sz val="12"/>
        <rFont val="新細明體"/>
        <family val="1"/>
        <charset val="136"/>
      </rPr>
      <t>拘役</t>
    </r>
  </si>
  <si>
    <r>
      <rPr>
        <sz val="12"/>
        <rFont val="新細明體"/>
        <family val="1"/>
        <charset val="136"/>
      </rPr>
      <t>罰金</t>
    </r>
  </si>
  <si>
    <r>
      <rPr>
        <sz val="12"/>
        <rFont val="新細明體"/>
        <family val="1"/>
        <charset val="136"/>
      </rPr>
      <t>履行完成</t>
    </r>
  </si>
  <si>
    <r>
      <rPr>
        <sz val="12"/>
        <rFont val="新細明體"/>
        <family val="1"/>
        <charset val="136"/>
      </rPr>
      <t>履行未完成</t>
    </r>
  </si>
  <si>
    <r>
      <rPr>
        <sz val="11"/>
        <rFont val="新細明體"/>
        <family val="1"/>
        <charset val="136"/>
      </rPr>
      <t xml:space="preserve">命社會勞動人
提供勞動服務
</t>
    </r>
    <r>
      <rPr>
        <sz val="11"/>
        <rFont val="Times New Roman"/>
        <family val="1"/>
      </rPr>
      <t>(</t>
    </r>
    <r>
      <rPr>
        <sz val="11"/>
        <rFont val="新細明體"/>
        <family val="1"/>
        <charset val="136"/>
      </rPr>
      <t>終結案件</t>
    </r>
    <r>
      <rPr>
        <sz val="11"/>
        <rFont val="Times New Roman"/>
        <family val="1"/>
      </rPr>
      <t>)</t>
    </r>
  </si>
  <si>
    <r>
      <rPr>
        <sz val="11"/>
        <rFont val="新細明體"/>
        <family val="1"/>
        <charset val="136"/>
      </rPr>
      <t>提供勞動時數
社會勞動人應</t>
    </r>
    <phoneticPr fontId="115" type="noConversion"/>
  </si>
  <si>
    <r>
      <rPr>
        <sz val="11"/>
        <rFont val="新細明體"/>
        <family val="1"/>
        <charset val="136"/>
      </rPr>
      <t>提供勞動時數
社會勞動人實際</t>
    </r>
  </si>
  <si>
    <r>
      <rPr>
        <sz val="12"/>
        <rFont val="新細明體"/>
        <family val="1"/>
        <charset val="136"/>
      </rPr>
      <t>件</t>
    </r>
    <r>
      <rPr>
        <sz val="12"/>
        <rFont val="Times New Roman"/>
        <family val="1"/>
      </rPr>
      <t xml:space="preserve"> </t>
    </r>
  </si>
  <si>
    <r>
      <rPr>
        <sz val="12"/>
        <rFont val="新細明體"/>
        <family val="1"/>
        <charset val="136"/>
      </rPr>
      <t>人次</t>
    </r>
  </si>
  <si>
    <r>
      <rPr>
        <sz val="12"/>
        <rFont val="新細明體"/>
        <family val="1"/>
        <charset val="136"/>
      </rPr>
      <t>小時</t>
    </r>
  </si>
  <si>
    <r>
      <t>99</t>
    </r>
    <r>
      <rPr>
        <sz val="12"/>
        <rFont val="新細明體"/>
        <family val="1"/>
        <charset val="136"/>
      </rPr>
      <t>年</t>
    </r>
    <phoneticPr fontId="44" type="noConversion"/>
  </si>
  <si>
    <t>說　　明：1.98年9月1日開始實施易服社會勞動制度。 
　　　　　2.本表各項類別，係依研究需求汲取，非代表各項目之所有類別。</t>
    <phoneticPr fontId="44" type="noConversion"/>
  </si>
  <si>
    <r>
      <rPr>
        <sz val="15"/>
        <rFont val="新細明體"/>
        <family val="1"/>
        <charset val="136"/>
      </rPr>
      <t>表</t>
    </r>
    <r>
      <rPr>
        <sz val="15"/>
        <rFont val="Times New Roman"/>
        <family val="1"/>
      </rPr>
      <t>2-4-22</t>
    </r>
    <r>
      <rPr>
        <sz val="15"/>
        <rFont val="新細明體"/>
        <family val="1"/>
        <charset val="136"/>
      </rPr>
      <t>　近</t>
    </r>
    <r>
      <rPr>
        <sz val="15"/>
        <rFont val="Times New Roman"/>
        <family val="1"/>
      </rPr>
      <t>10</t>
    </r>
    <r>
      <rPr>
        <sz val="15"/>
        <rFont val="新細明體"/>
        <family val="1"/>
        <charset val="136"/>
      </rPr>
      <t>年更生保護情形</t>
    </r>
    <phoneticPr fontId="44" type="noConversion"/>
  </si>
  <si>
    <r>
      <rPr>
        <sz val="12"/>
        <rFont val="新細明體"/>
        <family val="1"/>
        <charset val="136"/>
      </rPr>
      <t>新收案件來源</t>
    </r>
    <phoneticPr fontId="8" type="noConversion"/>
  </si>
  <si>
    <r>
      <rPr>
        <sz val="12"/>
        <rFont val="新細明體"/>
        <family val="1"/>
        <charset val="136"/>
      </rPr>
      <t>更生保護執行情形</t>
    </r>
    <phoneticPr fontId="8" type="noConversion"/>
  </si>
  <si>
    <r>
      <rPr>
        <sz val="12"/>
        <rFont val="新細明體"/>
        <family val="1"/>
        <charset val="136"/>
      </rPr>
      <t>總計</t>
    </r>
    <phoneticPr fontId="7" type="noConversion"/>
  </si>
  <si>
    <r>
      <rPr>
        <sz val="12"/>
        <rFont val="新細明體"/>
        <family val="1"/>
        <charset val="136"/>
      </rPr>
      <t>自請保護</t>
    </r>
    <phoneticPr fontId="7" type="noConversion"/>
  </si>
  <si>
    <r>
      <rPr>
        <sz val="12"/>
        <rFont val="新細明體"/>
        <family val="1"/>
        <charset val="136"/>
      </rPr>
      <t>通知保護</t>
    </r>
    <phoneticPr fontId="7" type="noConversion"/>
  </si>
  <si>
    <r>
      <rPr>
        <sz val="12"/>
        <rFont val="新細明體"/>
        <family val="1"/>
        <charset val="136"/>
      </rPr>
      <t>總計</t>
    </r>
    <phoneticPr fontId="7" type="noConversion"/>
  </si>
  <si>
    <r>
      <rPr>
        <sz val="12"/>
        <rFont val="新細明體"/>
        <family val="1"/>
        <charset val="136"/>
      </rPr>
      <t>直接保護</t>
    </r>
    <phoneticPr fontId="7" type="noConversion"/>
  </si>
  <si>
    <r>
      <rPr>
        <sz val="12"/>
        <rFont val="新細明體"/>
        <family val="1"/>
        <charset val="136"/>
      </rPr>
      <t>間接保護</t>
    </r>
    <phoneticPr fontId="7" type="noConversion"/>
  </si>
  <si>
    <r>
      <rPr>
        <sz val="12"/>
        <rFont val="新細明體"/>
        <family val="1"/>
        <charset val="136"/>
      </rPr>
      <t>暫時保護</t>
    </r>
    <phoneticPr fontId="8" type="noConversion"/>
  </si>
  <si>
    <r>
      <rPr>
        <sz val="12"/>
        <rFont val="新細明體"/>
        <family val="1"/>
        <charset val="136"/>
      </rPr>
      <t>安置生產
參加</t>
    </r>
    <phoneticPr fontId="7" type="noConversion"/>
  </si>
  <si>
    <r>
      <rPr>
        <sz val="12"/>
        <rFont val="新細明體"/>
        <family val="1"/>
        <charset val="136"/>
      </rPr>
      <t>技能訓練</t>
    </r>
    <phoneticPr fontId="7" type="noConversion"/>
  </si>
  <si>
    <r>
      <rPr>
        <sz val="12"/>
        <rFont val="新細明體"/>
        <family val="1"/>
        <charset val="136"/>
      </rPr>
      <t>輔導就業</t>
    </r>
    <phoneticPr fontId="7" type="noConversion"/>
  </si>
  <si>
    <r>
      <rPr>
        <sz val="12"/>
        <rFont val="新細明體"/>
        <family val="1"/>
        <charset val="136"/>
      </rPr>
      <t>受保護者
訪視</t>
    </r>
    <phoneticPr fontId="7" type="noConversion"/>
  </si>
  <si>
    <r>
      <rPr>
        <sz val="12"/>
        <rFont val="新細明體"/>
        <family val="1"/>
        <charset val="136"/>
      </rPr>
      <t>人</t>
    </r>
    <phoneticPr fontId="44" type="noConversion"/>
  </si>
  <si>
    <r>
      <rPr>
        <sz val="12"/>
        <rFont val="新細明體"/>
        <family val="1"/>
        <charset val="136"/>
      </rPr>
      <t>人次</t>
    </r>
    <phoneticPr fontId="44" type="noConversion"/>
  </si>
  <si>
    <r>
      <rPr>
        <sz val="12"/>
        <rFont val="新細明體"/>
        <family val="1"/>
        <charset val="136"/>
      </rPr>
      <t>人次</t>
    </r>
    <phoneticPr fontId="44" type="noConversion"/>
  </si>
  <si>
    <r>
      <rPr>
        <sz val="12"/>
        <rFont val="新細明體"/>
        <family val="1"/>
        <charset val="136"/>
      </rPr>
      <t>人次</t>
    </r>
    <phoneticPr fontId="44" type="noConversion"/>
  </si>
  <si>
    <r>
      <rPr>
        <sz val="12"/>
        <rFont val="新細明體"/>
        <family val="1"/>
        <charset val="136"/>
      </rPr>
      <t>人次</t>
    </r>
    <phoneticPr fontId="44" type="noConversion"/>
  </si>
  <si>
    <r>
      <rPr>
        <sz val="12"/>
        <rFont val="新細明體"/>
        <family val="1"/>
        <charset val="136"/>
      </rPr>
      <t>人次</t>
    </r>
    <phoneticPr fontId="44" type="noConversion"/>
  </si>
  <si>
    <r>
      <t>99</t>
    </r>
    <r>
      <rPr>
        <sz val="12"/>
        <rFont val="新細明體"/>
        <family val="1"/>
        <charset val="136"/>
      </rPr>
      <t>年</t>
    </r>
    <phoneticPr fontId="44" type="noConversion"/>
  </si>
  <si>
    <r>
      <rPr>
        <sz val="10"/>
        <rFont val="新細明體"/>
        <family val="1"/>
        <charset val="136"/>
      </rPr>
      <t>資料提供：法務部統計處</t>
    </r>
    <phoneticPr fontId="44" type="noConversion"/>
  </si>
  <si>
    <r>
      <rPr>
        <sz val="15"/>
        <color theme="1"/>
        <rFont val="新細明體"/>
        <family val="1"/>
        <charset val="136"/>
      </rPr>
      <t>表</t>
    </r>
    <r>
      <rPr>
        <sz val="15"/>
        <color theme="1"/>
        <rFont val="Times New Roman"/>
        <family val="1"/>
      </rPr>
      <t>2-5-1</t>
    </r>
    <r>
      <rPr>
        <sz val="15"/>
        <color theme="1"/>
        <rFont val="新細明體"/>
        <family val="1"/>
        <charset val="136"/>
      </rPr>
      <t>　近</t>
    </r>
    <r>
      <rPr>
        <sz val="15"/>
        <color theme="1"/>
        <rFont val="Times New Roman"/>
        <family val="1"/>
      </rPr>
      <t>10</t>
    </r>
    <r>
      <rPr>
        <sz val="15"/>
        <color theme="1"/>
        <rFont val="新細明體"/>
        <family val="1"/>
        <charset val="136"/>
      </rPr>
      <t>年地方檢察署執行涉外案件裁判確定人數</t>
    </r>
    <phoneticPr fontId="44" type="noConversion"/>
  </si>
  <si>
    <r>
      <t>全般</t>
    </r>
    <r>
      <rPr>
        <sz val="12"/>
        <rFont val="新細明體"/>
        <family val="1"/>
        <charset val="136"/>
      </rPr>
      <t>刑案人數</t>
    </r>
    <phoneticPr fontId="44" type="noConversion"/>
  </si>
  <si>
    <r>
      <rPr>
        <sz val="12"/>
        <rFont val="新細明體"/>
        <family val="1"/>
        <charset val="136"/>
      </rPr>
      <t>涉外案件</t>
    </r>
    <phoneticPr fontId="44" type="noConversion"/>
  </si>
  <si>
    <r>
      <rPr>
        <sz val="12"/>
        <rFont val="新細明體"/>
        <family val="1"/>
        <charset val="136"/>
      </rPr>
      <t>有罪人數</t>
    </r>
    <phoneticPr fontId="44" type="noConversion"/>
  </si>
  <si>
    <r>
      <rPr>
        <sz val="12"/>
        <rFont val="新細明體"/>
        <family val="1"/>
        <charset val="136"/>
      </rPr>
      <t>總計</t>
    </r>
    <phoneticPr fontId="44" type="noConversion"/>
  </si>
  <si>
    <r>
      <rPr>
        <sz val="12"/>
        <rFont val="新細明體"/>
        <family val="1"/>
        <charset val="136"/>
      </rPr>
      <t>女</t>
    </r>
    <phoneticPr fontId="44" type="noConversion"/>
  </si>
  <si>
    <r>
      <rPr>
        <sz val="12"/>
        <rFont val="新細明體"/>
        <family val="1"/>
        <charset val="136"/>
      </rPr>
      <t>法人</t>
    </r>
    <phoneticPr fontId="44" type="noConversion"/>
  </si>
  <si>
    <r>
      <rPr>
        <sz val="12"/>
        <rFont val="新細明體"/>
        <family val="1"/>
        <charset val="136"/>
      </rPr>
      <t>計</t>
    </r>
    <phoneticPr fontId="44" type="noConversion"/>
  </si>
  <si>
    <r>
      <rPr>
        <sz val="12"/>
        <rFont val="新細明體"/>
        <family val="1"/>
        <charset val="136"/>
      </rPr>
      <t>男</t>
    </r>
    <phoneticPr fontId="44" type="noConversion"/>
  </si>
  <si>
    <r>
      <rPr>
        <sz val="12"/>
        <rFont val="新細明體"/>
        <family val="1"/>
        <charset val="136"/>
      </rPr>
      <t>女</t>
    </r>
    <phoneticPr fontId="44" type="noConversion"/>
  </si>
  <si>
    <r>
      <rPr>
        <sz val="12"/>
        <rFont val="新細明體"/>
        <family val="1"/>
        <charset val="136"/>
      </rPr>
      <t>法人</t>
    </r>
    <phoneticPr fontId="44" type="noConversion"/>
  </si>
  <si>
    <r>
      <rPr>
        <sz val="12"/>
        <rFont val="新細明體"/>
        <family val="1"/>
        <charset val="136"/>
      </rPr>
      <t>小計</t>
    </r>
    <phoneticPr fontId="44" type="noConversion"/>
  </si>
  <si>
    <r>
      <t>99</t>
    </r>
    <r>
      <rPr>
        <sz val="12"/>
        <rFont val="新細明體"/>
        <family val="1"/>
        <charset val="136"/>
      </rPr>
      <t>年</t>
    </r>
    <phoneticPr fontId="44" type="noConversion"/>
  </si>
  <si>
    <t>資料來源：法務部統計處
說　　明：涉外案件係指，刑事案件中，有被告或被害人非我國籍人士，或行為（預備、實施或結果）之任一部分非在我國境內者。</t>
    <phoneticPr fontId="115" type="noConversion"/>
  </si>
  <si>
    <r>
      <rPr>
        <sz val="15"/>
        <rFont val="新細明體"/>
        <family val="1"/>
        <charset val="136"/>
      </rPr>
      <t>表</t>
    </r>
    <r>
      <rPr>
        <sz val="15"/>
        <rFont val="Times New Roman"/>
        <family val="1"/>
      </rPr>
      <t>2-5-2</t>
    </r>
    <r>
      <rPr>
        <sz val="15"/>
        <rFont val="新細明體"/>
        <family val="1"/>
        <charset val="136"/>
      </rPr>
      <t>　近</t>
    </r>
    <r>
      <rPr>
        <sz val="15"/>
        <rFont val="Times New Roman"/>
        <family val="1"/>
      </rPr>
      <t>10</t>
    </r>
    <r>
      <rPr>
        <sz val="15"/>
        <rFont val="新細明體"/>
        <family val="1"/>
        <charset val="136"/>
      </rPr>
      <t>年地方檢察署執行涉外案件裁判確定有罪人數</t>
    </r>
    <phoneticPr fontId="44" type="noConversion"/>
  </si>
  <si>
    <r>
      <rPr>
        <sz val="11"/>
        <rFont val="新細明體"/>
        <family val="1"/>
        <charset val="136"/>
      </rPr>
      <t>單位：人</t>
    </r>
    <phoneticPr fontId="44" type="noConversion"/>
  </si>
  <si>
    <r>
      <rPr>
        <sz val="12"/>
        <rFont val="新細明體"/>
        <family val="1"/>
        <charset val="136"/>
      </rPr>
      <t>總計</t>
    </r>
    <phoneticPr fontId="44" type="noConversion"/>
  </si>
  <si>
    <r>
      <rPr>
        <sz val="12"/>
        <rFont val="新細明體"/>
        <family val="1"/>
        <charset val="136"/>
      </rPr>
      <t>本國</t>
    </r>
    <phoneticPr fontId="44" type="noConversion"/>
  </si>
  <si>
    <r>
      <rPr>
        <sz val="12"/>
        <rFont val="新細明體"/>
        <family val="1"/>
        <charset val="136"/>
      </rPr>
      <t>非本國</t>
    </r>
    <phoneticPr fontId="44" type="noConversion"/>
  </si>
  <si>
    <t>中國大陸</t>
    <phoneticPr fontId="44" type="noConversion"/>
  </si>
  <si>
    <r>
      <rPr>
        <sz val="12"/>
        <rFont val="新細明體"/>
        <family val="1"/>
        <charset val="136"/>
      </rPr>
      <t>泰國</t>
    </r>
    <phoneticPr fontId="44" type="noConversion"/>
  </si>
  <si>
    <r>
      <rPr>
        <sz val="12"/>
        <rFont val="新細明體"/>
        <family val="1"/>
        <charset val="136"/>
      </rPr>
      <t>印尼</t>
    </r>
    <phoneticPr fontId="44" type="noConversion"/>
  </si>
  <si>
    <r>
      <rPr>
        <sz val="12"/>
        <rFont val="新細明體"/>
        <family val="1"/>
        <charset val="136"/>
      </rPr>
      <t>越南</t>
    </r>
    <phoneticPr fontId="44" type="noConversion"/>
  </si>
  <si>
    <r>
      <rPr>
        <sz val="12"/>
        <rFont val="新細明體"/>
        <family val="1"/>
        <charset val="136"/>
      </rPr>
      <t>著作權法及商標法</t>
    </r>
  </si>
  <si>
    <r>
      <rPr>
        <sz val="12"/>
        <rFont val="新細明體"/>
        <family val="1"/>
        <charset val="136"/>
      </rPr>
      <t>詐欺背信及重利罪</t>
    </r>
  </si>
  <si>
    <r>
      <rPr>
        <sz val="12"/>
        <rFont val="新細明體"/>
        <family val="1"/>
        <charset val="136"/>
      </rPr>
      <t>妨害風化罪</t>
    </r>
  </si>
  <si>
    <r>
      <rPr>
        <sz val="12"/>
        <rFont val="新細明體"/>
        <family val="1"/>
        <charset val="136"/>
      </rPr>
      <t>侵占罪</t>
    </r>
    <phoneticPr fontId="44" type="noConversion"/>
  </si>
  <si>
    <r>
      <rPr>
        <sz val="12"/>
        <rFont val="新細明體"/>
        <family val="1"/>
        <charset val="136"/>
      </rPr>
      <t>臺灣地區與大陸地區人民關係條例</t>
    </r>
    <phoneticPr fontId="44" type="noConversion"/>
  </si>
  <si>
    <r>
      <rPr>
        <sz val="12"/>
        <rFont val="新細明體"/>
        <family val="1"/>
        <charset val="136"/>
      </rPr>
      <t>其他</t>
    </r>
    <phoneticPr fontId="115" type="noConversion"/>
  </si>
  <si>
    <r>
      <rPr>
        <sz val="10"/>
        <rFont val="新細明體"/>
        <family val="1"/>
        <charset val="136"/>
      </rPr>
      <t>說　　明：</t>
    </r>
    <r>
      <rPr>
        <sz val="10"/>
        <rFont val="Times New Roman"/>
        <family val="1"/>
      </rPr>
      <t xml:space="preserve">1. </t>
    </r>
    <r>
      <rPr>
        <sz val="10"/>
        <rFont val="新細明體"/>
        <family val="1"/>
        <charset val="136"/>
      </rPr>
      <t>本表不含法人。</t>
    </r>
    <phoneticPr fontId="44" type="noConversion"/>
  </si>
  <si>
    <r>
      <rPr>
        <sz val="10"/>
        <rFont val="新細明體"/>
        <family val="1"/>
        <charset val="136"/>
      </rPr>
      <t>　　　　　</t>
    </r>
    <r>
      <rPr>
        <sz val="10"/>
        <rFont val="Times New Roman"/>
        <family val="1"/>
      </rPr>
      <t xml:space="preserve">2. </t>
    </r>
    <r>
      <rPr>
        <sz val="10"/>
        <rFont val="新細明體"/>
        <family val="1"/>
        <charset val="136"/>
      </rPr>
      <t>本表統計期間為</t>
    </r>
    <r>
      <rPr>
        <sz val="10"/>
        <rFont val="Times New Roman"/>
        <family val="1"/>
      </rPr>
      <t>99</t>
    </r>
    <r>
      <rPr>
        <sz val="10"/>
        <rFont val="新細明體"/>
        <family val="1"/>
        <charset val="136"/>
      </rPr>
      <t>年至</t>
    </r>
    <r>
      <rPr>
        <sz val="10"/>
        <rFont val="Times New Roman"/>
        <family val="1"/>
      </rPr>
      <t>108</t>
    </r>
    <r>
      <rPr>
        <sz val="10"/>
        <rFont val="新細明體"/>
        <family val="1"/>
        <charset val="136"/>
      </rPr>
      <t>年。</t>
    </r>
    <phoneticPr fontId="115" type="noConversion"/>
  </si>
  <si>
    <r>
      <rPr>
        <sz val="15"/>
        <color theme="1"/>
        <rFont val="新細明體"/>
        <family val="1"/>
        <charset val="136"/>
      </rPr>
      <t>表</t>
    </r>
    <r>
      <rPr>
        <sz val="15"/>
        <color theme="1"/>
        <rFont val="Times New Roman"/>
        <family val="1"/>
      </rPr>
      <t xml:space="preserve">3-1-1 </t>
    </r>
    <r>
      <rPr>
        <sz val="15"/>
        <color theme="1"/>
        <rFont val="新細明體"/>
        <family val="1"/>
        <charset val="136"/>
      </rPr>
      <t>　近</t>
    </r>
    <r>
      <rPr>
        <sz val="15"/>
        <color theme="1"/>
        <rFont val="Times New Roman"/>
        <family val="1"/>
      </rPr>
      <t>10</t>
    </r>
    <r>
      <rPr>
        <sz val="15"/>
        <color theme="1"/>
        <rFont val="新細明體"/>
        <family val="1"/>
        <charset val="136"/>
      </rPr>
      <t>年少年犯罪人口率統計</t>
    </r>
    <phoneticPr fontId="72" type="noConversion"/>
  </si>
  <si>
    <r>
      <rPr>
        <sz val="10"/>
        <color theme="1"/>
        <rFont val="新細明體"/>
        <family val="1"/>
        <charset val="136"/>
      </rPr>
      <t>單位：人、人</t>
    </r>
    <r>
      <rPr>
        <sz val="10"/>
        <color theme="1"/>
        <rFont val="Times New Roman"/>
        <family val="1"/>
      </rPr>
      <t>/</t>
    </r>
    <r>
      <rPr>
        <sz val="10"/>
        <color theme="1"/>
        <rFont val="新細明體"/>
        <family val="1"/>
        <charset val="136"/>
      </rPr>
      <t>十萬人</t>
    </r>
    <phoneticPr fontId="72" type="noConversion"/>
  </si>
  <si>
    <r>
      <rPr>
        <sz val="12"/>
        <color theme="1"/>
        <rFont val="新細明體"/>
        <family val="1"/>
        <charset val="136"/>
      </rPr>
      <t>年別</t>
    </r>
    <phoneticPr fontId="72" type="noConversion"/>
  </si>
  <si>
    <r>
      <rPr>
        <sz val="12"/>
        <color theme="1"/>
        <rFont val="新細明體"/>
        <family val="1"/>
        <charset val="136"/>
      </rPr>
      <t>少</t>
    </r>
    <r>
      <rPr>
        <sz val="12"/>
        <color theme="1"/>
        <rFont val="Times New Roman"/>
        <family val="1"/>
      </rPr>
      <t xml:space="preserve">    </t>
    </r>
    <r>
      <rPr>
        <sz val="12"/>
        <color theme="1"/>
        <rFont val="新細明體"/>
        <family val="1"/>
        <charset val="136"/>
      </rPr>
      <t>年</t>
    </r>
    <r>
      <rPr>
        <sz val="12"/>
        <color theme="1"/>
        <rFont val="Times New Roman"/>
        <family val="1"/>
      </rPr>
      <t xml:space="preserve">    </t>
    </r>
    <r>
      <rPr>
        <sz val="12"/>
        <color theme="1"/>
        <rFont val="新細明體"/>
        <family val="1"/>
        <charset val="136"/>
      </rPr>
      <t>犯　罪</t>
    </r>
    <phoneticPr fontId="72" type="noConversion"/>
  </si>
  <si>
    <r>
      <rPr>
        <sz val="12"/>
        <color theme="1"/>
        <rFont val="新細明體"/>
        <family val="1"/>
        <charset val="136"/>
      </rPr>
      <t>成</t>
    </r>
    <r>
      <rPr>
        <sz val="12"/>
        <color theme="1"/>
        <rFont val="Times New Roman"/>
        <family val="1"/>
      </rPr>
      <t xml:space="preserve">    </t>
    </r>
    <r>
      <rPr>
        <sz val="12"/>
        <color theme="1"/>
        <rFont val="新細明體"/>
        <family val="1"/>
        <charset val="136"/>
      </rPr>
      <t>年</t>
    </r>
    <r>
      <rPr>
        <sz val="12"/>
        <color theme="1"/>
        <rFont val="Times New Roman"/>
        <family val="1"/>
      </rPr>
      <t xml:space="preserve">    </t>
    </r>
    <r>
      <rPr>
        <sz val="12"/>
        <color theme="1"/>
        <rFont val="新細明體"/>
        <family val="1"/>
        <charset val="136"/>
      </rPr>
      <t>犯　罪</t>
    </r>
    <phoneticPr fontId="72" type="noConversion"/>
  </si>
  <si>
    <r>
      <rPr>
        <sz val="10"/>
        <color theme="1"/>
        <rFont val="新細明體"/>
        <family val="1"/>
        <charset val="136"/>
      </rPr>
      <t>期中人口數</t>
    </r>
    <phoneticPr fontId="72" type="noConversion"/>
  </si>
  <si>
    <r>
      <rPr>
        <sz val="10"/>
        <color theme="1"/>
        <rFont val="新細明體"/>
        <family val="1"/>
        <charset val="136"/>
      </rPr>
      <t>犯罪嫌疑人數</t>
    </r>
    <r>
      <rPr>
        <sz val="10"/>
        <color theme="1"/>
        <rFont val="Times New Roman"/>
        <family val="1"/>
      </rPr>
      <t xml:space="preserve">  </t>
    </r>
    <phoneticPr fontId="72" type="noConversion"/>
  </si>
  <si>
    <r>
      <rPr>
        <sz val="10"/>
        <color theme="1"/>
        <rFont val="新細明體"/>
        <family val="1"/>
        <charset val="136"/>
      </rPr>
      <t>犯罪人口率</t>
    </r>
    <phoneticPr fontId="72" type="noConversion"/>
  </si>
  <si>
    <r>
      <rPr>
        <sz val="10"/>
        <color theme="1"/>
        <rFont val="新細明體"/>
        <family val="1"/>
        <charset val="136"/>
      </rPr>
      <t>犯罪嫌疑人數</t>
    </r>
    <phoneticPr fontId="72" type="noConversion"/>
  </si>
  <si>
    <r>
      <t>94</t>
    </r>
    <r>
      <rPr>
        <sz val="12"/>
        <color theme="1"/>
        <rFont val="新細明體"/>
        <family val="1"/>
        <charset val="136"/>
      </rPr>
      <t>年</t>
    </r>
    <r>
      <rPr>
        <sz val="12"/>
        <rFont val="細明體"/>
        <family val="3"/>
        <charset val="136"/>
      </rPr>
      <t/>
    </r>
  </si>
  <si>
    <r>
      <t>95</t>
    </r>
    <r>
      <rPr>
        <sz val="12"/>
        <color theme="1"/>
        <rFont val="新細明體"/>
        <family val="1"/>
        <charset val="136"/>
      </rPr>
      <t>年</t>
    </r>
    <r>
      <rPr>
        <sz val="12"/>
        <rFont val="細明體"/>
        <family val="3"/>
        <charset val="136"/>
      </rPr>
      <t/>
    </r>
  </si>
  <si>
    <r>
      <t>99</t>
    </r>
    <r>
      <rPr>
        <sz val="12"/>
        <color theme="1"/>
        <rFont val="新細明體"/>
        <family val="1"/>
        <charset val="136"/>
      </rPr>
      <t>年</t>
    </r>
    <r>
      <rPr>
        <sz val="12"/>
        <rFont val="細明體"/>
        <family val="3"/>
        <charset val="136"/>
      </rPr>
      <t/>
    </r>
  </si>
  <si>
    <r>
      <t>100</t>
    </r>
    <r>
      <rPr>
        <sz val="12"/>
        <color theme="1"/>
        <rFont val="新細明體"/>
        <family val="1"/>
        <charset val="136"/>
      </rPr>
      <t>年</t>
    </r>
    <r>
      <rPr>
        <sz val="12"/>
        <rFont val="細明體"/>
        <family val="3"/>
        <charset val="136"/>
      </rPr>
      <t/>
    </r>
  </si>
  <si>
    <r>
      <t>101</t>
    </r>
    <r>
      <rPr>
        <sz val="12"/>
        <color theme="1"/>
        <rFont val="新細明體"/>
        <family val="1"/>
        <charset val="136"/>
      </rPr>
      <t>年</t>
    </r>
    <r>
      <rPr>
        <sz val="12"/>
        <rFont val="細明體"/>
        <family val="3"/>
        <charset val="136"/>
      </rPr>
      <t/>
    </r>
  </si>
  <si>
    <r>
      <t>102</t>
    </r>
    <r>
      <rPr>
        <sz val="12"/>
        <color theme="1"/>
        <rFont val="新細明體"/>
        <family val="1"/>
        <charset val="136"/>
      </rPr>
      <t>年</t>
    </r>
    <r>
      <rPr>
        <sz val="12"/>
        <rFont val="細明體"/>
        <family val="3"/>
        <charset val="136"/>
      </rPr>
      <t/>
    </r>
  </si>
  <si>
    <r>
      <t>103</t>
    </r>
    <r>
      <rPr>
        <sz val="12"/>
        <color theme="1"/>
        <rFont val="新細明體"/>
        <family val="1"/>
        <charset val="136"/>
      </rPr>
      <t>年</t>
    </r>
    <phoneticPr fontId="72" type="noConversion"/>
  </si>
  <si>
    <r>
      <t>104</t>
    </r>
    <r>
      <rPr>
        <sz val="12"/>
        <color theme="1"/>
        <rFont val="新細明體"/>
        <family val="1"/>
        <charset val="136"/>
      </rPr>
      <t>年</t>
    </r>
    <phoneticPr fontId="72" type="noConversion"/>
  </si>
  <si>
    <r>
      <t>105</t>
    </r>
    <r>
      <rPr>
        <sz val="12"/>
        <color theme="1"/>
        <rFont val="新細明體"/>
        <family val="1"/>
        <charset val="136"/>
      </rPr>
      <t>年</t>
    </r>
    <r>
      <rPr>
        <sz val="12"/>
        <rFont val="DFKai-SB"/>
        <family val="4"/>
        <charset val="136"/>
      </rPr>
      <t/>
    </r>
  </si>
  <si>
    <r>
      <t>106</t>
    </r>
    <r>
      <rPr>
        <sz val="12"/>
        <color theme="1"/>
        <rFont val="新細明體"/>
        <family val="1"/>
        <charset val="136"/>
      </rPr>
      <t>年</t>
    </r>
    <r>
      <rPr>
        <sz val="12"/>
        <rFont val="DFKai-SB"/>
        <family val="4"/>
        <charset val="136"/>
      </rPr>
      <t/>
    </r>
  </si>
  <si>
    <r>
      <t>107</t>
    </r>
    <r>
      <rPr>
        <sz val="12"/>
        <color theme="1"/>
        <rFont val="新細明體"/>
        <family val="1"/>
        <charset val="136"/>
      </rPr>
      <t>年</t>
    </r>
    <r>
      <rPr>
        <sz val="12"/>
        <rFont val="DFKai-SB"/>
        <family val="4"/>
        <charset val="136"/>
      </rPr>
      <t/>
    </r>
    <phoneticPr fontId="72" type="noConversion"/>
  </si>
  <si>
    <r>
      <t>108</t>
    </r>
    <r>
      <rPr>
        <sz val="12"/>
        <color theme="1"/>
        <rFont val="新細明體"/>
        <family val="1"/>
        <charset val="136"/>
      </rPr>
      <t>年</t>
    </r>
    <phoneticPr fontId="72" type="noConversion"/>
  </si>
  <si>
    <r>
      <rPr>
        <sz val="10"/>
        <color theme="1"/>
        <rFont val="新細明體"/>
        <family val="1"/>
        <charset val="136"/>
      </rPr>
      <t>資料來源：</t>
    </r>
    <phoneticPr fontId="72" type="noConversion"/>
  </si>
  <si>
    <t>警政署刑事警察局、內政部歷年全國人口統計資料。</t>
    <phoneticPr fontId="72" type="noConversion"/>
  </si>
  <si>
    <r>
      <rPr>
        <sz val="10"/>
        <color theme="1"/>
        <rFont val="新細明體"/>
        <family val="1"/>
        <charset val="136"/>
      </rPr>
      <t>說</t>
    </r>
    <r>
      <rPr>
        <sz val="10"/>
        <color theme="1"/>
        <rFont val="Times New Roman"/>
        <family val="1"/>
      </rPr>
      <t xml:space="preserve">        </t>
    </r>
    <r>
      <rPr>
        <sz val="10"/>
        <color theme="1"/>
        <rFont val="新細明體"/>
        <family val="1"/>
        <charset val="136"/>
      </rPr>
      <t>明：</t>
    </r>
    <r>
      <rPr>
        <sz val="10"/>
        <rFont val="Times New Roman"/>
        <family val="1"/>
      </rPr>
      <t/>
    </r>
    <phoneticPr fontId="72" type="noConversion"/>
  </si>
  <si>
    <r>
      <rPr>
        <sz val="10"/>
        <color theme="1"/>
        <rFont val="新細明體"/>
        <family val="1"/>
        <charset val="136"/>
      </rPr>
      <t>少年指</t>
    </r>
    <r>
      <rPr>
        <sz val="10"/>
        <color theme="1"/>
        <rFont val="Times New Roman"/>
        <family val="1"/>
      </rPr>
      <t>12</t>
    </r>
    <r>
      <rPr>
        <sz val="10"/>
        <color theme="1"/>
        <rFont val="新細明體"/>
        <family val="1"/>
        <charset val="136"/>
      </rPr>
      <t>歲以上</t>
    </r>
    <r>
      <rPr>
        <sz val="10"/>
        <color theme="1"/>
        <rFont val="Times New Roman"/>
        <family val="1"/>
      </rPr>
      <t>18</t>
    </r>
    <r>
      <rPr>
        <sz val="10"/>
        <color theme="1"/>
        <rFont val="新細明體"/>
        <family val="1"/>
        <charset val="136"/>
      </rPr>
      <t>歲未滿之年齡層。</t>
    </r>
    <phoneticPr fontId="72" type="noConversion"/>
  </si>
  <si>
    <r>
      <rPr>
        <sz val="15"/>
        <rFont val="新細明體"/>
        <family val="1"/>
        <charset val="136"/>
      </rPr>
      <t>表</t>
    </r>
    <r>
      <rPr>
        <sz val="15"/>
        <rFont val="Times New Roman"/>
        <family val="1"/>
      </rPr>
      <t>3-1-2</t>
    </r>
    <r>
      <rPr>
        <sz val="15"/>
        <rFont val="新細明體"/>
        <family val="1"/>
        <charset val="136"/>
      </rPr>
      <t>　近</t>
    </r>
    <r>
      <rPr>
        <sz val="15"/>
        <rFont val="Times New Roman"/>
        <family val="1"/>
      </rPr>
      <t>10</t>
    </r>
    <r>
      <rPr>
        <sz val="15"/>
        <rFont val="新細明體"/>
        <family val="1"/>
        <charset val="136"/>
      </rPr>
      <t>年少年主要犯罪類型統計</t>
    </r>
    <phoneticPr fontId="72" type="noConversion"/>
  </si>
  <si>
    <r>
      <t>99</t>
    </r>
    <r>
      <rPr>
        <sz val="12"/>
        <color theme="1"/>
        <rFont val="新細明體"/>
        <family val="2"/>
        <scheme val="minor"/>
      </rPr>
      <t>年</t>
    </r>
    <phoneticPr fontId="72" type="noConversion"/>
  </si>
  <si>
    <r>
      <rPr>
        <sz val="12"/>
        <color theme="1"/>
        <rFont val="新細明體"/>
        <family val="2"/>
        <scheme val="minor"/>
      </rPr>
      <t>年</t>
    </r>
    <phoneticPr fontId="72" type="noConversion"/>
  </si>
  <si>
    <r>
      <t>100</t>
    </r>
    <r>
      <rPr>
        <sz val="12"/>
        <color theme="1"/>
        <rFont val="新細明體"/>
        <family val="2"/>
        <scheme val="minor"/>
      </rPr>
      <t>年</t>
    </r>
    <phoneticPr fontId="44" type="noConversion"/>
  </si>
  <si>
    <r>
      <rPr>
        <sz val="12"/>
        <color theme="1"/>
        <rFont val="新細明體"/>
        <family val="2"/>
        <scheme val="minor"/>
      </rPr>
      <t>年</t>
    </r>
    <phoneticPr fontId="72" type="noConversion"/>
  </si>
  <si>
    <r>
      <t>101</t>
    </r>
    <r>
      <rPr>
        <sz val="12"/>
        <color theme="1"/>
        <rFont val="新細明體"/>
        <family val="2"/>
        <scheme val="minor"/>
      </rPr>
      <t>年</t>
    </r>
    <phoneticPr fontId="44" type="noConversion"/>
  </si>
  <si>
    <r>
      <t>102</t>
    </r>
    <r>
      <rPr>
        <sz val="12"/>
        <color theme="1"/>
        <rFont val="新細明體"/>
        <family val="2"/>
        <scheme val="minor"/>
      </rPr>
      <t>年</t>
    </r>
    <phoneticPr fontId="44" type="noConversion"/>
  </si>
  <si>
    <r>
      <t>103</t>
    </r>
    <r>
      <rPr>
        <sz val="12"/>
        <color theme="1"/>
        <rFont val="新細明體"/>
        <family val="2"/>
        <scheme val="minor"/>
      </rPr>
      <t>年</t>
    </r>
    <phoneticPr fontId="44" type="noConversion"/>
  </si>
  <si>
    <r>
      <t>104</t>
    </r>
    <r>
      <rPr>
        <sz val="12"/>
        <color theme="1"/>
        <rFont val="新細明體"/>
        <family val="2"/>
        <scheme val="minor"/>
      </rPr>
      <t>年</t>
    </r>
    <phoneticPr fontId="44" type="noConversion"/>
  </si>
  <si>
    <r>
      <t>105</t>
    </r>
    <r>
      <rPr>
        <sz val="12"/>
        <color theme="1"/>
        <rFont val="新細明體"/>
        <family val="2"/>
        <scheme val="minor"/>
      </rPr>
      <t>年</t>
    </r>
    <phoneticPr fontId="44" type="noConversion"/>
  </si>
  <si>
    <r>
      <t>106</t>
    </r>
    <r>
      <rPr>
        <sz val="12"/>
        <color theme="1"/>
        <rFont val="新細明體"/>
        <family val="2"/>
        <scheme val="minor"/>
      </rPr>
      <t>年</t>
    </r>
    <phoneticPr fontId="44" type="noConversion"/>
  </si>
  <si>
    <r>
      <t>107</t>
    </r>
    <r>
      <rPr>
        <sz val="12"/>
        <color theme="1"/>
        <rFont val="新細明體"/>
        <family val="2"/>
        <scheme val="minor"/>
      </rPr>
      <t>年</t>
    </r>
    <phoneticPr fontId="44" type="noConversion"/>
  </si>
  <si>
    <r>
      <t>108</t>
    </r>
    <r>
      <rPr>
        <sz val="12"/>
        <color theme="1"/>
        <rFont val="新細明體"/>
        <family val="2"/>
        <scheme val="minor"/>
      </rPr>
      <t>年</t>
    </r>
    <phoneticPr fontId="44" type="noConversion"/>
  </si>
  <si>
    <r>
      <rPr>
        <sz val="10"/>
        <rFont val="新細明體"/>
        <family val="1"/>
        <charset val="136"/>
      </rPr>
      <t>人</t>
    </r>
    <phoneticPr fontId="72" type="noConversion"/>
  </si>
  <si>
    <t>%</t>
    <phoneticPr fontId="72" type="noConversion"/>
  </si>
  <si>
    <t>%</t>
    <phoneticPr fontId="72" type="noConversion"/>
  </si>
  <si>
    <r>
      <rPr>
        <sz val="10"/>
        <rFont val="新細明體"/>
        <family val="1"/>
        <charset val="136"/>
      </rPr>
      <t>人</t>
    </r>
    <phoneticPr fontId="72" type="noConversion"/>
  </si>
  <si>
    <t>%</t>
    <phoneticPr fontId="72" type="noConversion"/>
  </si>
  <si>
    <t>%</t>
    <phoneticPr fontId="72" type="noConversion"/>
  </si>
  <si>
    <t>%</t>
    <phoneticPr fontId="72" type="noConversion"/>
  </si>
  <si>
    <r>
      <rPr>
        <sz val="10"/>
        <rFont val="新細明體"/>
        <family val="1"/>
        <charset val="136"/>
      </rPr>
      <t>人</t>
    </r>
    <phoneticPr fontId="72" type="noConversion"/>
  </si>
  <si>
    <r>
      <rPr>
        <sz val="12"/>
        <color theme="1"/>
        <rFont val="新細明體"/>
        <family val="2"/>
        <scheme val="minor"/>
      </rPr>
      <t>總計</t>
    </r>
    <phoneticPr fontId="72" type="noConversion"/>
  </si>
  <si>
    <r>
      <rPr>
        <sz val="12"/>
        <color theme="1"/>
        <rFont val="新細明體"/>
        <family val="2"/>
        <scheme val="minor"/>
      </rPr>
      <t>竊盜罪</t>
    </r>
    <phoneticPr fontId="72" type="noConversion"/>
  </si>
  <si>
    <r>
      <rPr>
        <sz val="12"/>
        <color theme="1"/>
        <rFont val="新細明體"/>
        <family val="2"/>
        <scheme val="minor"/>
      </rPr>
      <t>詐欺背信</t>
    </r>
    <phoneticPr fontId="72" type="noConversion"/>
  </si>
  <si>
    <r>
      <rPr>
        <sz val="12"/>
        <color theme="1"/>
        <rFont val="新細明體"/>
        <family val="2"/>
        <scheme val="minor"/>
      </rPr>
      <t>傷害</t>
    </r>
    <phoneticPr fontId="72" type="noConversion"/>
  </si>
  <si>
    <r>
      <rPr>
        <sz val="12"/>
        <color theme="1"/>
        <rFont val="新細明體"/>
        <family val="2"/>
        <scheme val="minor"/>
      </rPr>
      <t>毒品危害防制條例</t>
    </r>
    <phoneticPr fontId="72" type="noConversion"/>
  </si>
  <si>
    <r>
      <rPr>
        <sz val="12"/>
        <color theme="1"/>
        <rFont val="新細明體"/>
        <family val="2"/>
        <scheme val="minor"/>
      </rPr>
      <t>妨害性自主</t>
    </r>
    <phoneticPr fontId="72" type="noConversion"/>
  </si>
  <si>
    <r>
      <rPr>
        <sz val="12"/>
        <color theme="1"/>
        <rFont val="新細明體"/>
        <family val="2"/>
        <scheme val="minor"/>
      </rPr>
      <t>公共危險</t>
    </r>
    <phoneticPr fontId="72" type="noConversion"/>
  </si>
  <si>
    <r>
      <rPr>
        <sz val="12"/>
        <color theme="1"/>
        <rFont val="新細明體"/>
        <family val="2"/>
        <scheme val="minor"/>
      </rPr>
      <t>妨害自由</t>
    </r>
    <phoneticPr fontId="72" type="noConversion"/>
  </si>
  <si>
    <r>
      <rPr>
        <sz val="12"/>
        <color theme="1"/>
        <rFont val="新細明體"/>
        <family val="2"/>
        <scheme val="minor"/>
      </rPr>
      <t>駕駛過失</t>
    </r>
    <phoneticPr fontId="72" type="noConversion"/>
  </si>
  <si>
    <r>
      <rPr>
        <sz val="12"/>
        <color theme="1"/>
        <rFont val="新細明體"/>
        <family val="2"/>
        <scheme val="minor"/>
      </rPr>
      <t>毀棄損害</t>
    </r>
    <phoneticPr fontId="72" type="noConversion"/>
  </si>
  <si>
    <r>
      <rPr>
        <sz val="12"/>
        <color theme="1"/>
        <rFont val="新細明體"/>
        <family val="2"/>
        <scheme val="minor"/>
      </rPr>
      <t>妨害名譽</t>
    </r>
    <phoneticPr fontId="72" type="noConversion"/>
  </si>
  <si>
    <r>
      <rPr>
        <sz val="12"/>
        <color theme="1"/>
        <rFont val="新細明體"/>
        <family val="2"/>
        <scheme val="minor"/>
      </rPr>
      <t>妨害秩序</t>
    </r>
    <phoneticPr fontId="72" type="noConversion"/>
  </si>
  <si>
    <r>
      <rPr>
        <sz val="12"/>
        <color theme="1"/>
        <rFont val="新細明體"/>
        <family val="2"/>
        <scheme val="minor"/>
      </rPr>
      <t>侵占</t>
    </r>
    <phoneticPr fontId="72" type="noConversion"/>
  </si>
  <si>
    <r>
      <rPr>
        <sz val="12"/>
        <color theme="1"/>
        <rFont val="新細明體"/>
        <family val="2"/>
        <scheme val="minor"/>
      </rPr>
      <t>恐嚇取財</t>
    </r>
    <phoneticPr fontId="72" type="noConversion"/>
  </si>
  <si>
    <r>
      <rPr>
        <sz val="12"/>
        <color theme="1"/>
        <rFont val="新細明體"/>
        <family val="2"/>
        <scheme val="minor"/>
      </rPr>
      <t>賭博</t>
    </r>
    <phoneticPr fontId="72" type="noConversion"/>
  </si>
  <si>
    <r>
      <rPr>
        <sz val="12"/>
        <color theme="1"/>
        <rFont val="新細明體"/>
        <family val="2"/>
        <scheme val="minor"/>
      </rPr>
      <t>偽造文書印文</t>
    </r>
    <phoneticPr fontId="72" type="noConversion"/>
  </si>
  <si>
    <r>
      <rPr>
        <sz val="12"/>
        <color theme="1"/>
        <rFont val="新細明體"/>
        <family val="2"/>
        <scheme val="minor"/>
      </rPr>
      <t>故意殺人</t>
    </r>
    <phoneticPr fontId="72" type="noConversion"/>
  </si>
  <si>
    <r>
      <rPr>
        <sz val="12"/>
        <color theme="1"/>
        <rFont val="新細明體"/>
        <family val="2"/>
        <scheme val="minor"/>
      </rPr>
      <t>槍砲彈藥刀械管制條例</t>
    </r>
    <phoneticPr fontId="72" type="noConversion"/>
  </si>
  <si>
    <r>
      <rPr>
        <sz val="12"/>
        <color theme="1"/>
        <rFont val="新細明體"/>
        <family val="2"/>
        <scheme val="minor"/>
      </rPr>
      <t>妨害電腦使用</t>
    </r>
    <phoneticPr fontId="72" type="noConversion"/>
  </si>
  <si>
    <r>
      <rPr>
        <sz val="12"/>
        <color theme="1"/>
        <rFont val="新細明體"/>
        <family val="2"/>
        <scheme val="minor"/>
      </rPr>
      <t>妨害婚姻及家庭</t>
    </r>
    <phoneticPr fontId="72" type="noConversion"/>
  </si>
  <si>
    <r>
      <rPr>
        <sz val="12"/>
        <color theme="1"/>
        <rFont val="新細明體"/>
        <family val="2"/>
        <scheme val="minor"/>
      </rPr>
      <t>妨害公務</t>
    </r>
    <phoneticPr fontId="72" type="noConversion"/>
  </si>
  <si>
    <r>
      <rPr>
        <sz val="12"/>
        <color theme="1"/>
        <rFont val="新細明體"/>
        <family val="2"/>
        <scheme val="minor"/>
      </rPr>
      <t>重利</t>
    </r>
    <phoneticPr fontId="72" type="noConversion"/>
  </si>
  <si>
    <r>
      <rPr>
        <sz val="12"/>
        <color theme="1"/>
        <rFont val="新細明體"/>
        <family val="2"/>
        <scheme val="minor"/>
      </rPr>
      <t>妨害秘密</t>
    </r>
    <phoneticPr fontId="72" type="noConversion"/>
  </si>
  <si>
    <r>
      <rPr>
        <sz val="12"/>
        <color theme="1"/>
        <rFont val="新細明體"/>
        <family val="2"/>
        <scheme val="minor"/>
      </rPr>
      <t>強盜</t>
    </r>
    <phoneticPr fontId="72" type="noConversion"/>
  </si>
  <si>
    <r>
      <rPr>
        <sz val="12"/>
        <color theme="1"/>
        <rFont val="新細明體"/>
        <family val="2"/>
        <scheme val="minor"/>
      </rPr>
      <t>違反商標法</t>
    </r>
    <phoneticPr fontId="72" type="noConversion"/>
  </si>
  <si>
    <r>
      <rPr>
        <sz val="12"/>
        <color theme="1"/>
        <rFont val="新細明體"/>
        <family val="2"/>
        <scheme val="minor"/>
      </rPr>
      <t>著作權法</t>
    </r>
    <phoneticPr fontId="72" type="noConversion"/>
  </si>
  <si>
    <r>
      <rPr>
        <sz val="12"/>
        <color theme="1"/>
        <rFont val="新細明體"/>
        <family val="2"/>
        <scheme val="minor"/>
      </rPr>
      <t>誣告</t>
    </r>
    <phoneticPr fontId="72" type="noConversion"/>
  </si>
  <si>
    <r>
      <rPr>
        <sz val="12"/>
        <color theme="1"/>
        <rFont val="新細明體"/>
        <family val="2"/>
        <scheme val="minor"/>
      </rPr>
      <t>贓物</t>
    </r>
    <phoneticPr fontId="72" type="noConversion"/>
  </si>
  <si>
    <r>
      <rPr>
        <sz val="12"/>
        <color theme="1"/>
        <rFont val="新細明體"/>
        <family val="2"/>
        <scheme val="minor"/>
      </rPr>
      <t>搶奪</t>
    </r>
    <phoneticPr fontId="72" type="noConversion"/>
  </si>
  <si>
    <r>
      <rPr>
        <sz val="12"/>
        <color theme="1"/>
        <rFont val="新細明體"/>
        <family val="2"/>
        <scheme val="minor"/>
      </rPr>
      <t>妨害風化</t>
    </r>
    <phoneticPr fontId="72" type="noConversion"/>
  </si>
  <si>
    <r>
      <rPr>
        <sz val="12"/>
        <color theme="1"/>
        <rFont val="新細明體"/>
        <family val="2"/>
        <scheme val="minor"/>
      </rPr>
      <t>擄人勒贖</t>
    </r>
    <phoneticPr fontId="72" type="noConversion"/>
  </si>
  <si>
    <r>
      <rPr>
        <sz val="12"/>
        <color theme="1"/>
        <rFont val="新細明體"/>
        <family val="2"/>
        <scheme val="minor"/>
      </rPr>
      <t>遺棄</t>
    </r>
    <r>
      <rPr>
        <sz val="12"/>
        <rFont val="Times New Roman"/>
        <family val="1"/>
      </rPr>
      <t xml:space="preserve"> </t>
    </r>
    <phoneticPr fontId="72" type="noConversion"/>
  </si>
  <si>
    <r>
      <rPr>
        <sz val="12"/>
        <color theme="1"/>
        <rFont val="新細明體"/>
        <family val="2"/>
        <scheme val="minor"/>
      </rPr>
      <t>選罷法</t>
    </r>
    <phoneticPr fontId="72" type="noConversion"/>
  </si>
  <si>
    <r>
      <rPr>
        <sz val="12"/>
        <color theme="1"/>
        <rFont val="新細明體"/>
        <family val="2"/>
        <scheme val="minor"/>
      </rPr>
      <t>偽造貨幣</t>
    </r>
    <phoneticPr fontId="72" type="noConversion"/>
  </si>
  <si>
    <t>-</t>
    <phoneticPr fontId="44" type="noConversion"/>
  </si>
  <si>
    <r>
      <rPr>
        <sz val="12"/>
        <color theme="1"/>
        <rFont val="新細明體"/>
        <family val="2"/>
        <scheme val="minor"/>
      </rPr>
      <t>森林法</t>
    </r>
    <phoneticPr fontId="72" type="noConversion"/>
  </si>
  <si>
    <r>
      <rPr>
        <sz val="12"/>
        <color theme="1"/>
        <rFont val="新細明體"/>
        <family val="2"/>
        <scheme val="minor"/>
      </rPr>
      <t>湮滅證據</t>
    </r>
    <phoneticPr fontId="72" type="noConversion"/>
  </si>
  <si>
    <r>
      <rPr>
        <sz val="12"/>
        <color theme="1"/>
        <rFont val="新細明體"/>
        <family val="2"/>
        <scheme val="minor"/>
      </rPr>
      <t>竊佔</t>
    </r>
    <phoneticPr fontId="72" type="noConversion"/>
  </si>
  <si>
    <r>
      <rPr>
        <sz val="12"/>
        <color theme="1"/>
        <rFont val="新細明體"/>
        <family val="2"/>
        <scheme val="minor"/>
      </rPr>
      <t>藥事法</t>
    </r>
    <phoneticPr fontId="72" type="noConversion"/>
  </si>
  <si>
    <r>
      <rPr>
        <sz val="12"/>
        <color theme="1"/>
        <rFont val="新細明體"/>
        <family val="2"/>
        <scheme val="minor"/>
      </rPr>
      <t>過失致死</t>
    </r>
    <phoneticPr fontId="72" type="noConversion"/>
  </si>
  <si>
    <r>
      <rPr>
        <sz val="12"/>
        <color theme="1"/>
        <rFont val="新細明體"/>
        <family val="2"/>
        <scheme val="minor"/>
      </rPr>
      <t>偽造有價證券</t>
    </r>
    <phoneticPr fontId="72" type="noConversion"/>
  </si>
  <si>
    <r>
      <rPr>
        <sz val="12"/>
        <color theme="1"/>
        <rFont val="新細明體"/>
        <family val="2"/>
        <scheme val="minor"/>
      </rPr>
      <t>藏匿頂替</t>
    </r>
    <phoneticPr fontId="72" type="noConversion"/>
  </si>
  <si>
    <r>
      <rPr>
        <sz val="12"/>
        <color theme="1"/>
        <rFont val="新細明體"/>
        <family val="2"/>
        <scheme val="minor"/>
      </rPr>
      <t>脫逃</t>
    </r>
    <phoneticPr fontId="72" type="noConversion"/>
  </si>
  <si>
    <r>
      <rPr>
        <sz val="12"/>
        <color theme="1"/>
        <rFont val="新細明體"/>
        <family val="2"/>
        <scheme val="minor"/>
      </rPr>
      <t>其他</t>
    </r>
    <phoneticPr fontId="72" type="noConversion"/>
  </si>
  <si>
    <r>
      <rPr>
        <sz val="12"/>
        <color theme="1"/>
        <rFont val="新細明體"/>
        <family val="2"/>
        <scheme val="minor"/>
      </rPr>
      <t>資料來源：警政署刑事警察局、內政部統計年報</t>
    </r>
    <phoneticPr fontId="72" type="noConversion"/>
  </si>
  <si>
    <r>
      <rPr>
        <sz val="12"/>
        <color theme="1"/>
        <rFont val="新細明體"/>
        <family val="2"/>
        <scheme val="minor"/>
      </rPr>
      <t>說　　明：少年指</t>
    </r>
    <r>
      <rPr>
        <sz val="12"/>
        <rFont val="Times New Roman"/>
        <family val="1"/>
      </rPr>
      <t>12</t>
    </r>
    <r>
      <rPr>
        <sz val="12"/>
        <color theme="1"/>
        <rFont val="新細明體"/>
        <family val="2"/>
        <scheme val="minor"/>
      </rPr>
      <t>歲以上</t>
    </r>
    <r>
      <rPr>
        <sz val="12"/>
        <rFont val="Times New Roman"/>
        <family val="1"/>
      </rPr>
      <t>18</t>
    </r>
    <r>
      <rPr>
        <sz val="12"/>
        <color theme="1"/>
        <rFont val="新細明體"/>
        <family val="2"/>
        <scheme val="minor"/>
      </rPr>
      <t>歲未滿之年齡層。</t>
    </r>
    <phoneticPr fontId="72" type="noConversion"/>
  </si>
  <si>
    <r>
      <rPr>
        <sz val="15"/>
        <rFont val="新細明體"/>
        <family val="1"/>
        <charset val="136"/>
      </rPr>
      <t>表</t>
    </r>
    <r>
      <rPr>
        <sz val="15"/>
        <rFont val="Times New Roman"/>
        <family val="1"/>
      </rPr>
      <t>3-2-1    108</t>
    </r>
    <r>
      <rPr>
        <sz val="15"/>
        <rFont val="新細明體"/>
        <family val="1"/>
        <charset val="136"/>
      </rPr>
      <t>年少年事件調查收結情形統計</t>
    </r>
    <phoneticPr fontId="72" type="noConversion"/>
  </si>
  <si>
    <r>
      <rPr>
        <sz val="12"/>
        <color theme="1"/>
        <rFont val="新細明體"/>
        <family val="2"/>
        <scheme val="minor"/>
      </rPr>
      <t>行</t>
    </r>
    <r>
      <rPr>
        <sz val="12"/>
        <rFont val="Times New Roman"/>
        <family val="1"/>
      </rPr>
      <t xml:space="preserve">    </t>
    </r>
    <r>
      <rPr>
        <sz val="12"/>
        <color theme="1"/>
        <rFont val="新細明體"/>
        <family val="2"/>
        <scheme val="minor"/>
      </rPr>
      <t>為</t>
    </r>
    <r>
      <rPr>
        <sz val="12"/>
        <rFont val="Times New Roman"/>
        <family val="1"/>
      </rPr>
      <t xml:space="preserve">    </t>
    </r>
    <r>
      <rPr>
        <sz val="12"/>
        <color theme="1"/>
        <rFont val="新細明體"/>
        <family val="2"/>
        <scheme val="minor"/>
      </rPr>
      <t>別</t>
    </r>
    <phoneticPr fontId="72" type="noConversion"/>
  </si>
  <si>
    <r>
      <rPr>
        <sz val="12"/>
        <color theme="1"/>
        <rFont val="新細明體"/>
        <family val="2"/>
        <scheme val="minor"/>
      </rPr>
      <t>總</t>
    </r>
    <r>
      <rPr>
        <sz val="12"/>
        <rFont val="Times New Roman"/>
        <family val="1"/>
      </rPr>
      <t xml:space="preserve">   </t>
    </r>
    <r>
      <rPr>
        <sz val="12"/>
        <color theme="1"/>
        <rFont val="新細明體"/>
        <family val="2"/>
        <scheme val="minor"/>
      </rPr>
      <t>計</t>
    </r>
    <phoneticPr fontId="72" type="noConversion"/>
  </si>
  <si>
    <r>
      <rPr>
        <sz val="12"/>
        <color theme="1"/>
        <rFont val="新細明體"/>
        <family val="2"/>
        <scheme val="minor"/>
      </rPr>
      <t>少年觸犯刑罰法令事件</t>
    </r>
    <phoneticPr fontId="72" type="noConversion"/>
  </si>
  <si>
    <r>
      <rPr>
        <sz val="12"/>
        <color theme="1"/>
        <rFont val="新細明體"/>
        <family val="2"/>
        <scheme val="minor"/>
      </rPr>
      <t>少年虞犯行為事件</t>
    </r>
    <phoneticPr fontId="72" type="noConversion"/>
  </si>
  <si>
    <r>
      <rPr>
        <sz val="12"/>
        <color theme="1"/>
        <rFont val="新細明體"/>
        <family val="2"/>
        <scheme val="minor"/>
      </rPr>
      <t>少年曝險行為事件</t>
    </r>
    <phoneticPr fontId="72" type="noConversion"/>
  </si>
  <si>
    <r>
      <rPr>
        <sz val="12"/>
        <color theme="1"/>
        <rFont val="新細明體"/>
        <family val="2"/>
        <scheme val="minor"/>
      </rPr>
      <t>受理件數</t>
    </r>
    <phoneticPr fontId="72" type="noConversion"/>
  </si>
  <si>
    <r>
      <t xml:space="preserve">                  </t>
    </r>
    <r>
      <rPr>
        <sz val="12"/>
        <color theme="1"/>
        <rFont val="新細明體"/>
        <family val="2"/>
        <scheme val="minor"/>
      </rPr>
      <t>總</t>
    </r>
    <r>
      <rPr>
        <sz val="12"/>
        <rFont val="Times New Roman"/>
        <family val="1"/>
      </rPr>
      <t xml:space="preserve">  </t>
    </r>
    <r>
      <rPr>
        <sz val="12"/>
        <color theme="1"/>
        <rFont val="新細明體"/>
        <family val="2"/>
        <scheme val="minor"/>
      </rPr>
      <t>計</t>
    </r>
    <phoneticPr fontId="72" type="noConversion"/>
  </si>
  <si>
    <r>
      <t xml:space="preserve">                  </t>
    </r>
    <r>
      <rPr>
        <sz val="12"/>
        <color theme="1"/>
        <rFont val="新細明體"/>
        <family val="2"/>
        <scheme val="minor"/>
      </rPr>
      <t>舊受</t>
    </r>
    <phoneticPr fontId="72" type="noConversion"/>
  </si>
  <si>
    <t>-</t>
    <phoneticPr fontId="72" type="noConversion"/>
  </si>
  <si>
    <r>
      <t xml:space="preserve">                  </t>
    </r>
    <r>
      <rPr>
        <sz val="12"/>
        <color theme="1"/>
        <rFont val="新細明體"/>
        <family val="2"/>
        <scheme val="minor"/>
      </rPr>
      <t>新收</t>
    </r>
    <phoneticPr fontId="72" type="noConversion"/>
  </si>
  <si>
    <r>
      <rPr>
        <sz val="12"/>
        <color theme="1"/>
        <rFont val="新細明體"/>
        <family val="1"/>
        <charset val="136"/>
      </rPr>
      <t>受理件數</t>
    </r>
    <phoneticPr fontId="72" type="noConversion"/>
  </si>
  <si>
    <r>
      <t xml:space="preserve">                  </t>
    </r>
    <r>
      <rPr>
        <sz val="12"/>
        <color theme="1"/>
        <rFont val="新細明體"/>
        <family val="2"/>
        <scheme val="minor"/>
      </rPr>
      <t>終結件數</t>
    </r>
    <phoneticPr fontId="72" type="noConversion"/>
  </si>
  <si>
    <r>
      <t xml:space="preserve">                  </t>
    </r>
    <r>
      <rPr>
        <sz val="12"/>
        <color theme="1"/>
        <rFont val="新細明體"/>
        <family val="2"/>
        <scheme val="minor"/>
      </rPr>
      <t>未結件數</t>
    </r>
    <phoneticPr fontId="72" type="noConversion"/>
  </si>
  <si>
    <t>-</t>
    <phoneticPr fontId="72" type="noConversion"/>
  </si>
  <si>
    <r>
      <rPr>
        <sz val="12"/>
        <color theme="1"/>
        <rFont val="新細明體"/>
        <family val="2"/>
        <scheme val="minor"/>
      </rPr>
      <t>終結情形︵單位：人︶</t>
    </r>
    <phoneticPr fontId="72" type="noConversion"/>
  </si>
  <si>
    <r>
      <t xml:space="preserve">                 </t>
    </r>
    <r>
      <rPr>
        <sz val="12"/>
        <color theme="1"/>
        <rFont val="新細明體"/>
        <family val="2"/>
        <scheme val="minor"/>
      </rPr>
      <t>總計</t>
    </r>
    <phoneticPr fontId="72" type="noConversion"/>
  </si>
  <si>
    <r>
      <t xml:space="preserve">                        </t>
    </r>
    <r>
      <rPr>
        <sz val="12"/>
        <color theme="1"/>
        <rFont val="新細明體"/>
        <family val="2"/>
        <scheme val="minor"/>
      </rPr>
      <t>移送</t>
    </r>
    <r>
      <rPr>
        <sz val="12"/>
        <rFont val="Times New Roman"/>
        <family val="1"/>
      </rPr>
      <t>(</t>
    </r>
    <r>
      <rPr>
        <sz val="12"/>
        <color theme="1"/>
        <rFont val="新細明體"/>
        <family val="2"/>
        <scheme val="minor"/>
      </rPr>
      <t>轉</t>
    </r>
    <r>
      <rPr>
        <sz val="12"/>
        <rFont val="Times New Roman"/>
        <family val="1"/>
      </rPr>
      <t>)</t>
    </r>
    <r>
      <rPr>
        <sz val="12"/>
        <color theme="1"/>
        <rFont val="新細明體"/>
        <family val="2"/>
        <scheme val="minor"/>
      </rPr>
      <t>管轄</t>
    </r>
    <phoneticPr fontId="72" type="noConversion"/>
  </si>
  <si>
    <r>
      <rPr>
        <sz val="12"/>
        <color theme="1"/>
        <rFont val="新細明體"/>
        <family val="2"/>
        <scheme val="minor"/>
      </rPr>
      <t>移送檢察署</t>
    </r>
    <phoneticPr fontId="72" type="noConversion"/>
  </si>
  <si>
    <r>
      <t xml:space="preserve">                  </t>
    </r>
    <r>
      <rPr>
        <sz val="12"/>
        <color theme="1"/>
        <rFont val="新細明體"/>
        <family val="2"/>
        <scheme val="minor"/>
      </rPr>
      <t>小計</t>
    </r>
    <phoneticPr fontId="72" type="noConversion"/>
  </si>
  <si>
    <r>
      <t xml:space="preserve">                  </t>
    </r>
    <r>
      <rPr>
        <sz val="12"/>
        <color theme="1"/>
        <rFont val="新細明體"/>
        <family val="2"/>
        <scheme val="minor"/>
      </rPr>
      <t>犯最輕本刑為五年以上有期徒刑之罪</t>
    </r>
    <phoneticPr fontId="72" type="noConversion"/>
  </si>
  <si>
    <t>-</t>
    <phoneticPr fontId="72" type="noConversion"/>
  </si>
  <si>
    <r>
      <t xml:space="preserve">                  </t>
    </r>
    <r>
      <rPr>
        <sz val="12"/>
        <color theme="1"/>
        <rFont val="新細明體"/>
        <family val="2"/>
        <scheme val="minor"/>
      </rPr>
      <t>事件繫屬前已滿二十歲</t>
    </r>
    <phoneticPr fontId="72" type="noConversion"/>
  </si>
  <si>
    <r>
      <t xml:space="preserve">                  </t>
    </r>
    <r>
      <rPr>
        <sz val="12"/>
        <color theme="1"/>
        <rFont val="新細明體"/>
        <family val="2"/>
        <scheme val="minor"/>
      </rPr>
      <t>犯罪情節重大</t>
    </r>
    <phoneticPr fontId="72" type="noConversion"/>
  </si>
  <si>
    <r>
      <rPr>
        <sz val="12"/>
        <color theme="1"/>
        <rFont val="新細明體"/>
        <family val="2"/>
        <scheme val="minor"/>
      </rPr>
      <t>不付審理</t>
    </r>
    <phoneticPr fontId="72" type="noConversion"/>
  </si>
  <si>
    <r>
      <t xml:space="preserve">                  </t>
    </r>
    <r>
      <rPr>
        <sz val="12"/>
        <color theme="1"/>
        <rFont val="新細明體"/>
        <family val="2"/>
        <scheme val="minor"/>
      </rPr>
      <t>應不付審理</t>
    </r>
    <phoneticPr fontId="72" type="noConversion"/>
  </si>
  <si>
    <r>
      <rPr>
        <sz val="11"/>
        <rFont val="新細明體"/>
        <family val="1"/>
        <charset val="136"/>
      </rPr>
      <t>情節輕微</t>
    </r>
    <phoneticPr fontId="72" type="noConversion"/>
  </si>
  <si>
    <r>
      <rPr>
        <sz val="12"/>
        <color theme="1"/>
        <rFont val="新細明體"/>
        <family val="2"/>
        <scheme val="minor"/>
      </rPr>
      <t>小計</t>
    </r>
    <phoneticPr fontId="72" type="noConversion"/>
  </si>
  <si>
    <r>
      <rPr>
        <sz val="12"/>
        <color theme="1"/>
        <rFont val="新細明體"/>
        <family val="2"/>
        <scheme val="minor"/>
      </rPr>
      <t>轉介輔導</t>
    </r>
    <phoneticPr fontId="72" type="noConversion"/>
  </si>
  <si>
    <r>
      <rPr>
        <sz val="11"/>
        <rFont val="新細明體"/>
        <family val="1"/>
        <charset val="136"/>
      </rPr>
      <t>不付審理</t>
    </r>
    <phoneticPr fontId="72" type="noConversion"/>
  </si>
  <si>
    <r>
      <rPr>
        <sz val="12"/>
        <color theme="1"/>
        <rFont val="新細明體"/>
        <family val="2"/>
        <scheme val="minor"/>
      </rPr>
      <t>交付管教</t>
    </r>
    <phoneticPr fontId="72" type="noConversion"/>
  </si>
  <si>
    <r>
      <rPr>
        <sz val="12"/>
        <color theme="1"/>
        <rFont val="新細明體"/>
        <family val="2"/>
        <scheme val="minor"/>
      </rPr>
      <t>告誡</t>
    </r>
    <phoneticPr fontId="72" type="noConversion"/>
  </si>
  <si>
    <r>
      <t xml:space="preserve">                        </t>
    </r>
    <r>
      <rPr>
        <sz val="12"/>
        <color theme="1"/>
        <rFont val="新細明體"/>
        <family val="2"/>
        <scheme val="minor"/>
      </rPr>
      <t>開始審理</t>
    </r>
    <phoneticPr fontId="72" type="noConversion"/>
  </si>
  <si>
    <r>
      <t xml:space="preserve">                        </t>
    </r>
    <r>
      <rPr>
        <sz val="12"/>
        <color theme="1"/>
        <rFont val="新細明體"/>
        <family val="2"/>
        <scheme val="minor"/>
      </rPr>
      <t>協尋</t>
    </r>
    <phoneticPr fontId="72" type="noConversion"/>
  </si>
  <si>
    <r>
      <t xml:space="preserve">                        </t>
    </r>
    <r>
      <rPr>
        <sz val="12"/>
        <color theme="1"/>
        <rFont val="新細明體"/>
        <family val="2"/>
        <scheme val="minor"/>
      </rPr>
      <t>併辦</t>
    </r>
    <phoneticPr fontId="72" type="noConversion"/>
  </si>
  <si>
    <r>
      <t xml:space="preserve">                        </t>
    </r>
    <r>
      <rPr>
        <sz val="12"/>
        <color theme="1"/>
        <rFont val="新細明體"/>
        <family val="2"/>
        <scheme val="minor"/>
      </rPr>
      <t>其他</t>
    </r>
    <phoneticPr fontId="72" type="noConversion"/>
  </si>
  <si>
    <r>
      <t xml:space="preserve"> </t>
    </r>
    <r>
      <rPr>
        <sz val="12"/>
        <color theme="1"/>
        <rFont val="新細明體"/>
        <family val="2"/>
        <scheme val="minor"/>
      </rPr>
      <t>治療人數</t>
    </r>
    <phoneticPr fontId="72" type="noConversion"/>
  </si>
  <si>
    <r>
      <rPr>
        <sz val="10"/>
        <rFont val="新細明體"/>
        <family val="1"/>
        <charset val="136"/>
      </rPr>
      <t>資料來源：司法院</t>
    </r>
    <r>
      <rPr>
        <sz val="10"/>
        <rFont val="Times New Roman"/>
        <family val="1"/>
      </rPr>
      <t>(</t>
    </r>
    <r>
      <rPr>
        <sz val="10"/>
        <rFont val="新細明體"/>
        <family val="1"/>
        <charset val="136"/>
      </rPr>
      <t>表</t>
    </r>
    <r>
      <rPr>
        <sz val="10"/>
        <rFont val="Times New Roman"/>
        <family val="1"/>
      </rPr>
      <t>10914-03-01-05)</t>
    </r>
    <r>
      <rPr>
        <sz val="10"/>
        <rFont val="新細明體"/>
        <family val="1"/>
        <charset val="136"/>
      </rPr>
      <t>。</t>
    </r>
    <phoneticPr fontId="72" type="noConversion"/>
  </si>
  <si>
    <r>
      <rPr>
        <sz val="10"/>
        <rFont val="新細明體"/>
        <family val="1"/>
        <charset val="136"/>
      </rPr>
      <t>說　　明：此處之少年虞犯，為少年事件處理法</t>
    </r>
    <r>
      <rPr>
        <sz val="10"/>
        <rFont val="Times New Roman"/>
        <family val="1"/>
      </rPr>
      <t>108</t>
    </r>
    <r>
      <rPr>
        <sz val="10"/>
        <rFont val="新細明體"/>
        <family val="1"/>
        <charset val="136"/>
      </rPr>
      <t>年</t>
    </r>
    <r>
      <rPr>
        <sz val="10"/>
        <rFont val="Times New Roman"/>
        <family val="1"/>
      </rPr>
      <t>6</t>
    </r>
    <r>
      <rPr>
        <sz val="10"/>
        <rFont val="新細明體"/>
        <family val="1"/>
        <charset val="136"/>
      </rPr>
      <t>月</t>
    </r>
    <r>
      <rPr>
        <sz val="10"/>
        <rFont val="Times New Roman"/>
        <family val="1"/>
      </rPr>
      <t>19</t>
    </r>
    <r>
      <rPr>
        <sz val="10"/>
        <rFont val="新細明體"/>
        <family val="1"/>
        <charset val="136"/>
      </rPr>
      <t>日修法施行前之數據資料。</t>
    </r>
    <phoneticPr fontId="72" type="noConversion"/>
  </si>
  <si>
    <r>
      <rPr>
        <sz val="15"/>
        <rFont val="新細明體"/>
        <family val="1"/>
        <charset val="136"/>
      </rPr>
      <t>表</t>
    </r>
    <r>
      <rPr>
        <sz val="15"/>
        <rFont val="Times New Roman"/>
        <family val="1"/>
      </rPr>
      <t>3-2-2</t>
    </r>
    <r>
      <rPr>
        <sz val="15"/>
        <rFont val="新細明體"/>
        <family val="1"/>
        <charset val="136"/>
      </rPr>
      <t>　近</t>
    </r>
    <r>
      <rPr>
        <sz val="15"/>
        <rFont val="Times New Roman"/>
        <family val="1"/>
      </rPr>
      <t>10</t>
    </r>
    <r>
      <rPr>
        <sz val="15"/>
        <rFont val="新細明體"/>
        <family val="1"/>
        <charset val="136"/>
      </rPr>
      <t>年少年保護事件審理終結情形</t>
    </r>
    <phoneticPr fontId="72" type="noConversion"/>
  </si>
  <si>
    <r>
      <rPr>
        <sz val="12"/>
        <color theme="1"/>
        <rFont val="新細明體"/>
        <family val="2"/>
        <scheme val="minor"/>
      </rPr>
      <t>年</t>
    </r>
    <r>
      <rPr>
        <sz val="12"/>
        <rFont val="Times New Roman"/>
        <family val="1"/>
      </rPr>
      <t xml:space="preserve"> </t>
    </r>
    <r>
      <rPr>
        <sz val="12"/>
        <color theme="1"/>
        <rFont val="新細明體"/>
        <family val="2"/>
        <scheme val="minor"/>
      </rPr>
      <t>別</t>
    </r>
    <phoneticPr fontId="72" type="noConversion"/>
  </si>
  <si>
    <r>
      <rPr>
        <sz val="12"/>
        <color theme="1"/>
        <rFont val="新細明體"/>
        <family val="2"/>
        <scheme val="minor"/>
      </rPr>
      <t>終結件數</t>
    </r>
    <phoneticPr fontId="72" type="noConversion"/>
  </si>
  <si>
    <r>
      <rPr>
        <sz val="12"/>
        <color theme="1"/>
        <rFont val="新細明體"/>
        <family val="2"/>
        <scheme val="minor"/>
      </rPr>
      <t>終</t>
    </r>
    <r>
      <rPr>
        <sz val="12"/>
        <rFont val="Times New Roman"/>
        <family val="1"/>
      </rPr>
      <t xml:space="preserve">     </t>
    </r>
    <r>
      <rPr>
        <sz val="12"/>
        <color theme="1"/>
        <rFont val="新細明體"/>
        <family val="2"/>
        <scheme val="minor"/>
      </rPr>
      <t>結</t>
    </r>
    <r>
      <rPr>
        <sz val="12"/>
        <rFont val="Times New Roman"/>
        <family val="1"/>
      </rPr>
      <t xml:space="preserve">     </t>
    </r>
    <r>
      <rPr>
        <sz val="12"/>
        <color theme="1"/>
        <rFont val="新細明體"/>
        <family val="2"/>
        <scheme val="minor"/>
      </rPr>
      <t>情</t>
    </r>
    <r>
      <rPr>
        <sz val="12"/>
        <rFont val="Times New Roman"/>
        <family val="1"/>
      </rPr>
      <t xml:space="preserve">     </t>
    </r>
    <r>
      <rPr>
        <sz val="12"/>
        <color theme="1"/>
        <rFont val="新細明體"/>
        <family val="2"/>
        <scheme val="minor"/>
      </rPr>
      <t>形</t>
    </r>
    <r>
      <rPr>
        <sz val="12"/>
        <rFont val="Times New Roman"/>
        <family val="1"/>
      </rPr>
      <t xml:space="preserve"> ( </t>
    </r>
    <r>
      <rPr>
        <sz val="12"/>
        <color theme="1"/>
        <rFont val="新細明體"/>
        <family val="2"/>
        <scheme val="minor"/>
      </rPr>
      <t>人</t>
    </r>
    <r>
      <rPr>
        <sz val="12"/>
        <rFont val="Times New Roman"/>
        <family val="1"/>
      </rPr>
      <t xml:space="preserve"> )</t>
    </r>
    <phoneticPr fontId="72" type="noConversion"/>
  </si>
  <si>
    <r>
      <rPr>
        <sz val="12"/>
        <color theme="1"/>
        <rFont val="新細明體"/>
        <family val="2"/>
        <scheme val="minor"/>
      </rPr>
      <t>共計</t>
    </r>
    <phoneticPr fontId="72" type="noConversion"/>
  </si>
  <si>
    <r>
      <rPr>
        <sz val="11"/>
        <rFont val="新細明體"/>
        <family val="1"/>
        <charset val="136"/>
      </rPr>
      <t>移送︵轉︶管轄</t>
    </r>
    <phoneticPr fontId="72" type="noConversion"/>
  </si>
  <si>
    <r>
      <rPr>
        <sz val="11"/>
        <rFont val="新細明體"/>
        <family val="1"/>
        <charset val="136"/>
      </rPr>
      <t>移送檢察署</t>
    </r>
    <phoneticPr fontId="72" type="noConversion"/>
  </si>
  <si>
    <r>
      <rPr>
        <sz val="10"/>
        <rFont val="新細明體"/>
        <family val="1"/>
        <charset val="136"/>
      </rPr>
      <t>不付保護處分</t>
    </r>
    <phoneticPr fontId="72" type="noConversion"/>
  </si>
  <si>
    <r>
      <rPr>
        <sz val="12"/>
        <color theme="1"/>
        <rFont val="新細明體"/>
        <family val="2"/>
        <scheme val="minor"/>
      </rPr>
      <t>交付保護處分</t>
    </r>
    <phoneticPr fontId="72" type="noConversion"/>
  </si>
  <si>
    <r>
      <rPr>
        <sz val="12"/>
        <color theme="1"/>
        <rFont val="新細明體"/>
        <family val="2"/>
        <scheme val="minor"/>
      </rPr>
      <t>協尋</t>
    </r>
    <phoneticPr fontId="72" type="noConversion"/>
  </si>
  <si>
    <r>
      <rPr>
        <sz val="12"/>
        <color theme="1"/>
        <rFont val="新細明體"/>
        <family val="2"/>
        <scheme val="minor"/>
      </rPr>
      <t>併辦</t>
    </r>
    <phoneticPr fontId="72" type="noConversion"/>
  </si>
  <si>
    <r>
      <rPr>
        <sz val="12"/>
        <color theme="1"/>
        <rFont val="新細明體"/>
        <family val="2"/>
        <scheme val="minor"/>
      </rPr>
      <t>其他</t>
    </r>
    <phoneticPr fontId="72" type="noConversion"/>
  </si>
  <si>
    <r>
      <rPr>
        <sz val="12"/>
        <color theme="1"/>
        <rFont val="新細明體"/>
        <family val="2"/>
        <scheme val="minor"/>
      </rPr>
      <t>共計</t>
    </r>
    <phoneticPr fontId="72" type="noConversion"/>
  </si>
  <si>
    <r>
      <rPr>
        <sz val="12"/>
        <color theme="1"/>
        <rFont val="新細明體"/>
        <family val="2"/>
        <scheme val="minor"/>
      </rPr>
      <t>訓誡</t>
    </r>
    <phoneticPr fontId="72" type="noConversion"/>
  </si>
  <si>
    <r>
      <rPr>
        <sz val="12"/>
        <color theme="1"/>
        <rFont val="新細明體"/>
        <family val="2"/>
        <scheme val="minor"/>
      </rPr>
      <t>保護管束</t>
    </r>
    <phoneticPr fontId="72" type="noConversion"/>
  </si>
  <si>
    <r>
      <rPr>
        <sz val="12"/>
        <color theme="1"/>
        <rFont val="新細明體"/>
        <family val="2"/>
        <scheme val="minor"/>
      </rPr>
      <t>安置輔導</t>
    </r>
    <phoneticPr fontId="72" type="noConversion"/>
  </si>
  <si>
    <r>
      <rPr>
        <sz val="12"/>
        <color theme="1"/>
        <rFont val="新細明體"/>
        <family val="2"/>
        <scheme val="minor"/>
      </rPr>
      <t>感化教育</t>
    </r>
    <phoneticPr fontId="72" type="noConversion"/>
  </si>
  <si>
    <r>
      <t>99</t>
    </r>
    <r>
      <rPr>
        <sz val="12"/>
        <color theme="1"/>
        <rFont val="新細明體"/>
        <family val="2"/>
        <scheme val="minor"/>
      </rPr>
      <t>年</t>
    </r>
    <phoneticPr fontId="72" type="noConversion"/>
  </si>
  <si>
    <r>
      <t>100</t>
    </r>
    <r>
      <rPr>
        <sz val="12"/>
        <color theme="1"/>
        <rFont val="新細明體"/>
        <family val="2"/>
        <scheme val="minor"/>
      </rPr>
      <t>年</t>
    </r>
    <phoneticPr fontId="72" type="noConversion"/>
  </si>
  <si>
    <r>
      <t>101</t>
    </r>
    <r>
      <rPr>
        <sz val="12"/>
        <color theme="1"/>
        <rFont val="新細明體"/>
        <family val="2"/>
        <scheme val="minor"/>
      </rPr>
      <t>年</t>
    </r>
    <r>
      <rPr>
        <sz val="12"/>
        <rFont val="細明體"/>
        <family val="3"/>
        <charset val="136"/>
      </rPr>
      <t/>
    </r>
  </si>
  <si>
    <r>
      <t>102</t>
    </r>
    <r>
      <rPr>
        <sz val="12"/>
        <color theme="1"/>
        <rFont val="新細明體"/>
        <family val="2"/>
        <scheme val="minor"/>
      </rPr>
      <t>年</t>
    </r>
    <r>
      <rPr>
        <sz val="12"/>
        <rFont val="細明體"/>
        <family val="3"/>
        <charset val="136"/>
      </rPr>
      <t/>
    </r>
  </si>
  <si>
    <r>
      <t>103</t>
    </r>
    <r>
      <rPr>
        <sz val="12"/>
        <color theme="1"/>
        <rFont val="新細明體"/>
        <family val="2"/>
        <scheme val="minor"/>
      </rPr>
      <t>年</t>
    </r>
    <r>
      <rPr>
        <sz val="12"/>
        <rFont val="細明體"/>
        <family val="3"/>
        <charset val="136"/>
      </rPr>
      <t/>
    </r>
  </si>
  <si>
    <r>
      <t>104</t>
    </r>
    <r>
      <rPr>
        <sz val="12"/>
        <color theme="1"/>
        <rFont val="新細明體"/>
        <family val="2"/>
        <scheme val="minor"/>
      </rPr>
      <t>年</t>
    </r>
    <r>
      <rPr>
        <sz val="12"/>
        <rFont val="細明體"/>
        <family val="3"/>
        <charset val="136"/>
      </rPr>
      <t/>
    </r>
  </si>
  <si>
    <r>
      <t>105</t>
    </r>
    <r>
      <rPr>
        <sz val="12"/>
        <color theme="1"/>
        <rFont val="新細明體"/>
        <family val="2"/>
        <scheme val="minor"/>
      </rPr>
      <t>年</t>
    </r>
    <r>
      <rPr>
        <sz val="12"/>
        <rFont val="細明體"/>
        <family val="3"/>
        <charset val="136"/>
      </rPr>
      <t/>
    </r>
  </si>
  <si>
    <r>
      <t>106</t>
    </r>
    <r>
      <rPr>
        <sz val="12"/>
        <color theme="1"/>
        <rFont val="新細明體"/>
        <family val="2"/>
        <scheme val="minor"/>
      </rPr>
      <t>年</t>
    </r>
    <r>
      <rPr>
        <sz val="12"/>
        <rFont val="細明體"/>
        <family val="3"/>
        <charset val="136"/>
      </rPr>
      <t/>
    </r>
  </si>
  <si>
    <r>
      <t>107</t>
    </r>
    <r>
      <rPr>
        <sz val="12"/>
        <color theme="1"/>
        <rFont val="新細明體"/>
        <family val="2"/>
        <scheme val="minor"/>
      </rPr>
      <t>年</t>
    </r>
    <r>
      <rPr>
        <sz val="12"/>
        <rFont val="細明體"/>
        <family val="3"/>
        <charset val="136"/>
      </rPr>
      <t/>
    </r>
  </si>
  <si>
    <r>
      <t>108</t>
    </r>
    <r>
      <rPr>
        <sz val="12"/>
        <color theme="1"/>
        <rFont val="新細明體"/>
        <family val="2"/>
        <scheme val="minor"/>
      </rPr>
      <t>年</t>
    </r>
    <r>
      <rPr>
        <sz val="12"/>
        <rFont val="細明體"/>
        <family val="3"/>
        <charset val="136"/>
      </rPr>
      <t/>
    </r>
  </si>
  <si>
    <r>
      <rPr>
        <sz val="10"/>
        <rFont val="新細明體"/>
        <family val="1"/>
        <charset val="136"/>
      </rPr>
      <t>資料來源：司法院</t>
    </r>
    <r>
      <rPr>
        <sz val="10"/>
        <rFont val="Times New Roman"/>
        <family val="1"/>
      </rPr>
      <t>(</t>
    </r>
    <r>
      <rPr>
        <sz val="10"/>
        <rFont val="新細明體"/>
        <family val="1"/>
        <charset val="136"/>
      </rPr>
      <t>表</t>
    </r>
    <r>
      <rPr>
        <sz val="10"/>
        <rFont val="Times New Roman"/>
        <family val="1"/>
      </rPr>
      <t>10914-03-02-05)</t>
    </r>
    <r>
      <rPr>
        <sz val="10"/>
        <rFont val="新細明體"/>
        <family val="1"/>
        <charset val="136"/>
      </rPr>
      <t>。</t>
    </r>
    <phoneticPr fontId="72" type="noConversion"/>
  </si>
  <si>
    <r>
      <rPr>
        <sz val="10"/>
        <rFont val="新細明體"/>
        <family val="1"/>
        <charset val="136"/>
      </rPr>
      <t>說　　明：</t>
    </r>
    <r>
      <rPr>
        <sz val="10"/>
        <rFont val="Times New Roman"/>
        <family val="1"/>
      </rPr>
      <t xml:space="preserve">1. </t>
    </r>
    <r>
      <rPr>
        <sz val="10"/>
        <rFont val="新細明體"/>
        <family val="1"/>
        <charset val="136"/>
      </rPr>
      <t>移送檢察署之細項同表</t>
    </r>
    <r>
      <rPr>
        <sz val="10"/>
        <rFont val="Times New Roman"/>
        <family val="1"/>
      </rPr>
      <t>3-2-1</t>
    </r>
    <r>
      <rPr>
        <sz val="10"/>
        <rFont val="新細明體"/>
        <family val="1"/>
        <charset val="136"/>
      </rPr>
      <t>所示。</t>
    </r>
    <phoneticPr fontId="72" type="noConversion"/>
  </si>
  <si>
    <r>
      <rPr>
        <sz val="10"/>
        <rFont val="新細明體"/>
        <family val="1"/>
        <charset val="136"/>
      </rPr>
      <t>　　　　　</t>
    </r>
    <r>
      <rPr>
        <sz val="10"/>
        <rFont val="Times New Roman"/>
        <family val="1"/>
      </rPr>
      <t xml:space="preserve">2. </t>
    </r>
    <r>
      <rPr>
        <sz val="10"/>
        <rFont val="新細明體"/>
        <family val="1"/>
        <charset val="136"/>
      </rPr>
      <t>不付保護處分含：不應交付、不宜交付等項。</t>
    </r>
    <phoneticPr fontId="72" type="noConversion"/>
  </si>
  <si>
    <r>
      <rPr>
        <sz val="10"/>
        <rFont val="新細明體"/>
        <family val="1"/>
        <charset val="136"/>
      </rPr>
      <t>　　　　　</t>
    </r>
    <r>
      <rPr>
        <sz val="10"/>
        <rFont val="Times New Roman"/>
        <family val="1"/>
      </rPr>
      <t>3. 108</t>
    </r>
    <r>
      <rPr>
        <sz val="10"/>
        <rFont val="新細明體"/>
        <family val="1"/>
        <charset val="136"/>
      </rPr>
      <t>年保護管束含：保護管束</t>
    </r>
    <r>
      <rPr>
        <sz val="10"/>
        <rFont val="Times New Roman"/>
        <family val="1"/>
      </rPr>
      <t>3,469</t>
    </r>
    <r>
      <rPr>
        <sz val="10"/>
        <rFont val="新細明體"/>
        <family val="1"/>
        <charset val="136"/>
      </rPr>
      <t>人、保護管束並令勞動服務</t>
    </r>
    <r>
      <rPr>
        <sz val="10"/>
        <rFont val="Times New Roman"/>
        <family val="1"/>
      </rPr>
      <t>578</t>
    </r>
    <r>
      <rPr>
        <sz val="10"/>
        <rFont val="新細明體"/>
        <family val="1"/>
        <charset val="136"/>
      </rPr>
      <t>人。</t>
    </r>
    <phoneticPr fontId="72" type="noConversion"/>
  </si>
  <si>
    <r>
      <rPr>
        <sz val="10"/>
        <rFont val="新細明體"/>
        <family val="1"/>
        <charset val="136"/>
      </rPr>
      <t>　　　　　</t>
    </r>
    <r>
      <rPr>
        <sz val="10"/>
        <rFont val="Times New Roman"/>
        <family val="1"/>
      </rPr>
      <t>4. 108</t>
    </r>
    <r>
      <rPr>
        <sz val="10"/>
        <rFont val="新細明體"/>
        <family val="1"/>
        <charset val="136"/>
      </rPr>
      <t>年訓誡含：訓誡</t>
    </r>
    <r>
      <rPr>
        <sz val="10"/>
        <rFont val="Times New Roman"/>
        <family val="1"/>
      </rPr>
      <t>1,704</t>
    </r>
    <r>
      <rPr>
        <sz val="10"/>
        <rFont val="新細明體"/>
        <family val="1"/>
        <charset val="136"/>
      </rPr>
      <t>人、訓誡並予假日生活輔導</t>
    </r>
    <r>
      <rPr>
        <sz val="10"/>
        <rFont val="Times New Roman"/>
        <family val="1"/>
      </rPr>
      <t>2,299</t>
    </r>
    <r>
      <rPr>
        <sz val="10"/>
        <rFont val="新細明體"/>
        <family val="1"/>
        <charset val="136"/>
      </rPr>
      <t>人。</t>
    </r>
    <phoneticPr fontId="72" type="noConversion"/>
  </si>
  <si>
    <r>
      <rPr>
        <sz val="15"/>
        <rFont val="新細明體"/>
        <family val="1"/>
        <charset val="136"/>
      </rPr>
      <t>表</t>
    </r>
    <r>
      <rPr>
        <sz val="15"/>
        <rFont val="Times New Roman"/>
        <family val="1"/>
      </rPr>
      <t>3-2-3      108</t>
    </r>
    <r>
      <rPr>
        <sz val="15"/>
        <rFont val="新細明體"/>
        <family val="1"/>
        <charset val="136"/>
      </rPr>
      <t>年少年刑事案件裁判結果</t>
    </r>
    <phoneticPr fontId="72" type="noConversion"/>
  </si>
  <si>
    <r>
      <rPr>
        <sz val="10"/>
        <rFont val="新細明體"/>
        <family val="1"/>
        <charset val="136"/>
      </rPr>
      <t>單位：件、人</t>
    </r>
    <phoneticPr fontId="72" type="noConversion"/>
  </si>
  <si>
    <r>
      <rPr>
        <sz val="12"/>
        <color theme="1"/>
        <rFont val="新細明體"/>
        <family val="2"/>
        <scheme val="minor"/>
      </rPr>
      <t>終</t>
    </r>
    <r>
      <rPr>
        <sz val="12"/>
        <rFont val="Times New Roman"/>
        <family val="1"/>
      </rPr>
      <t xml:space="preserve">   </t>
    </r>
    <r>
      <rPr>
        <sz val="12"/>
        <color theme="1"/>
        <rFont val="新細明體"/>
        <family val="2"/>
        <scheme val="minor"/>
      </rPr>
      <t>結</t>
    </r>
    <r>
      <rPr>
        <sz val="12"/>
        <rFont val="Times New Roman"/>
        <family val="1"/>
      </rPr>
      <t xml:space="preserve">   </t>
    </r>
    <r>
      <rPr>
        <sz val="12"/>
        <color theme="1"/>
        <rFont val="新細明體"/>
        <family val="2"/>
        <scheme val="minor"/>
      </rPr>
      <t>件</t>
    </r>
    <r>
      <rPr>
        <sz val="12"/>
        <rFont val="Times New Roman"/>
        <family val="1"/>
      </rPr>
      <t xml:space="preserve">   </t>
    </r>
    <r>
      <rPr>
        <sz val="12"/>
        <color theme="1"/>
        <rFont val="新細明體"/>
        <family val="2"/>
        <scheme val="minor"/>
      </rPr>
      <t>數</t>
    </r>
    <phoneticPr fontId="72" type="noConversion"/>
  </si>
  <si>
    <r>
      <rPr>
        <sz val="12"/>
        <color theme="1"/>
        <rFont val="新細明體"/>
        <family val="2"/>
        <scheme val="minor"/>
      </rPr>
      <t>被</t>
    </r>
    <r>
      <rPr>
        <sz val="12"/>
        <rFont val="Times New Roman"/>
        <family val="1"/>
      </rPr>
      <t xml:space="preserve"> </t>
    </r>
    <r>
      <rPr>
        <sz val="12"/>
        <color theme="1"/>
        <rFont val="新細明體"/>
        <family val="2"/>
        <scheme val="minor"/>
      </rPr>
      <t>告</t>
    </r>
    <r>
      <rPr>
        <sz val="12"/>
        <rFont val="Times New Roman"/>
        <family val="1"/>
      </rPr>
      <t xml:space="preserve"> </t>
    </r>
    <r>
      <rPr>
        <sz val="12"/>
        <color theme="1"/>
        <rFont val="新細明體"/>
        <family val="2"/>
        <scheme val="minor"/>
      </rPr>
      <t>人</t>
    </r>
    <r>
      <rPr>
        <sz val="12"/>
        <rFont val="Times New Roman"/>
        <family val="1"/>
      </rPr>
      <t xml:space="preserve"> </t>
    </r>
    <r>
      <rPr>
        <sz val="12"/>
        <color theme="1"/>
        <rFont val="新細明體"/>
        <family val="2"/>
        <scheme val="minor"/>
      </rPr>
      <t>數</t>
    </r>
    <phoneticPr fontId="72" type="noConversion"/>
  </si>
  <si>
    <r>
      <rPr>
        <sz val="12"/>
        <color theme="1"/>
        <rFont val="新細明體"/>
        <family val="2"/>
        <scheme val="minor"/>
      </rPr>
      <t>總計</t>
    </r>
    <phoneticPr fontId="72" type="noConversion"/>
  </si>
  <si>
    <r>
      <rPr>
        <sz val="12"/>
        <color theme="1"/>
        <rFont val="新細明體"/>
        <family val="2"/>
        <scheme val="minor"/>
      </rPr>
      <t>科刑合計</t>
    </r>
    <phoneticPr fontId="72" type="noConversion"/>
  </si>
  <si>
    <r>
      <rPr>
        <sz val="12"/>
        <color theme="1"/>
        <rFont val="新細明體"/>
        <family val="2"/>
        <scheme val="minor"/>
      </rPr>
      <t>有期徒刑合計</t>
    </r>
    <phoneticPr fontId="72" type="noConversion"/>
  </si>
  <si>
    <r>
      <rPr>
        <sz val="12"/>
        <color theme="1"/>
        <rFont val="新細明體"/>
        <family val="2"/>
        <scheme val="minor"/>
      </rPr>
      <t>六月以下</t>
    </r>
    <phoneticPr fontId="72" type="noConversion"/>
  </si>
  <si>
    <r>
      <rPr>
        <sz val="12"/>
        <color theme="1"/>
        <rFont val="新細明體"/>
        <family val="2"/>
        <scheme val="minor"/>
      </rPr>
      <t>逾六月至一年以下</t>
    </r>
    <phoneticPr fontId="72" type="noConversion"/>
  </si>
  <si>
    <r>
      <rPr>
        <sz val="12"/>
        <color theme="1"/>
        <rFont val="新細明體"/>
        <family val="2"/>
        <scheme val="minor"/>
      </rPr>
      <t>逾一年至二年以下</t>
    </r>
    <phoneticPr fontId="72" type="noConversion"/>
  </si>
  <si>
    <r>
      <rPr>
        <sz val="12"/>
        <color theme="1"/>
        <rFont val="新細明體"/>
        <family val="2"/>
        <scheme val="minor"/>
      </rPr>
      <t>逾二年至三年以下</t>
    </r>
    <phoneticPr fontId="72" type="noConversion"/>
  </si>
  <si>
    <r>
      <rPr>
        <sz val="12"/>
        <color theme="1"/>
        <rFont val="新細明體"/>
        <family val="2"/>
        <scheme val="minor"/>
      </rPr>
      <t>逾三年至五年以下</t>
    </r>
    <phoneticPr fontId="72" type="noConversion"/>
  </si>
  <si>
    <r>
      <rPr>
        <sz val="12"/>
        <color theme="1"/>
        <rFont val="新細明體"/>
        <family val="2"/>
        <scheme val="minor"/>
      </rPr>
      <t>逾五年至七年以下</t>
    </r>
    <phoneticPr fontId="72" type="noConversion"/>
  </si>
  <si>
    <r>
      <rPr>
        <sz val="12"/>
        <color theme="1"/>
        <rFont val="新細明體"/>
        <family val="2"/>
        <scheme val="minor"/>
      </rPr>
      <t>逾七年至十年以下</t>
    </r>
    <phoneticPr fontId="72" type="noConversion"/>
  </si>
  <si>
    <r>
      <rPr>
        <sz val="12"/>
        <color theme="1"/>
        <rFont val="新細明體"/>
        <family val="2"/>
        <scheme val="minor"/>
      </rPr>
      <t>逾十年至十五年以下</t>
    </r>
    <phoneticPr fontId="72" type="noConversion"/>
  </si>
  <si>
    <r>
      <rPr>
        <sz val="12"/>
        <color theme="1"/>
        <rFont val="新細明體"/>
        <family val="2"/>
        <scheme val="minor"/>
      </rPr>
      <t>逾十五年</t>
    </r>
    <phoneticPr fontId="72" type="noConversion"/>
  </si>
  <si>
    <r>
      <rPr>
        <sz val="12"/>
        <color theme="1"/>
        <rFont val="新細明體"/>
        <family val="2"/>
        <scheme val="minor"/>
      </rPr>
      <t>拘役</t>
    </r>
    <phoneticPr fontId="72" type="noConversion"/>
  </si>
  <si>
    <r>
      <rPr>
        <sz val="12"/>
        <color theme="1"/>
        <rFont val="新細明體"/>
        <family val="2"/>
        <scheme val="minor"/>
      </rPr>
      <t>罰金</t>
    </r>
    <phoneticPr fontId="72" type="noConversion"/>
  </si>
  <si>
    <r>
      <rPr>
        <sz val="12"/>
        <color theme="1"/>
        <rFont val="新細明體"/>
        <family val="2"/>
        <scheme val="minor"/>
      </rPr>
      <t>免除其刑</t>
    </r>
    <phoneticPr fontId="72" type="noConversion"/>
  </si>
  <si>
    <r>
      <rPr>
        <sz val="12"/>
        <color theme="1"/>
        <rFont val="新細明體"/>
        <family val="2"/>
        <scheme val="minor"/>
      </rPr>
      <t>免除其刑並交付保護處分</t>
    </r>
    <phoneticPr fontId="72" type="noConversion"/>
  </si>
  <si>
    <r>
      <rPr>
        <sz val="12"/>
        <color theme="1"/>
        <rFont val="新細明體"/>
        <family val="2"/>
        <scheme val="minor"/>
      </rPr>
      <t>不受理</t>
    </r>
    <phoneticPr fontId="72" type="noConversion"/>
  </si>
  <si>
    <r>
      <rPr>
        <sz val="12"/>
        <color theme="1"/>
        <rFont val="新細明體"/>
        <family val="2"/>
        <scheme val="minor"/>
      </rPr>
      <t>免訴</t>
    </r>
    <phoneticPr fontId="72" type="noConversion"/>
  </si>
  <si>
    <r>
      <rPr>
        <sz val="12"/>
        <color theme="1"/>
        <rFont val="新細明體"/>
        <family val="2"/>
        <scheme val="minor"/>
      </rPr>
      <t>無罪</t>
    </r>
    <phoneticPr fontId="72" type="noConversion"/>
  </si>
  <si>
    <r>
      <rPr>
        <sz val="12"/>
        <color theme="1"/>
        <rFont val="新細明體"/>
        <family val="2"/>
        <scheme val="minor"/>
      </rPr>
      <t>管轄錯誤</t>
    </r>
    <phoneticPr fontId="72" type="noConversion"/>
  </si>
  <si>
    <r>
      <rPr>
        <sz val="12"/>
        <color theme="1"/>
        <rFont val="新細明體"/>
        <family val="2"/>
        <scheme val="minor"/>
      </rPr>
      <t>通緝</t>
    </r>
    <phoneticPr fontId="72" type="noConversion"/>
  </si>
  <si>
    <r>
      <rPr>
        <sz val="11"/>
        <rFont val="新細明體"/>
        <family val="1"/>
        <charset val="136"/>
      </rPr>
      <t>其他</t>
    </r>
    <phoneticPr fontId="72" type="noConversion"/>
  </si>
  <si>
    <r>
      <rPr>
        <sz val="12"/>
        <color theme="1"/>
        <rFont val="新細明體"/>
        <family val="2"/>
        <scheme val="minor"/>
      </rPr>
      <t>保安處分人數</t>
    </r>
    <phoneticPr fontId="72" type="noConversion"/>
  </si>
  <si>
    <r>
      <rPr>
        <sz val="11"/>
        <rFont val="新細明體"/>
        <family val="1"/>
        <charset val="136"/>
      </rPr>
      <t>保護管束</t>
    </r>
    <phoneticPr fontId="72" type="noConversion"/>
  </si>
  <si>
    <r>
      <rPr>
        <sz val="12"/>
        <color theme="1"/>
        <rFont val="新細明體"/>
        <family val="2"/>
        <scheme val="minor"/>
      </rPr>
      <t>感化教育</t>
    </r>
    <phoneticPr fontId="72" type="noConversion"/>
  </si>
  <si>
    <r>
      <rPr>
        <sz val="12"/>
        <color theme="1"/>
        <rFont val="新細明體"/>
        <family val="2"/>
        <scheme val="minor"/>
      </rPr>
      <t>強制治療</t>
    </r>
    <phoneticPr fontId="72" type="noConversion"/>
  </si>
  <si>
    <r>
      <rPr>
        <sz val="12"/>
        <color theme="1"/>
        <rFont val="新細明體"/>
        <family val="2"/>
        <scheme val="minor"/>
      </rPr>
      <t>禁戒</t>
    </r>
    <phoneticPr fontId="72" type="noConversion"/>
  </si>
  <si>
    <r>
      <rPr>
        <sz val="12"/>
        <color theme="1"/>
        <rFont val="新細明體"/>
        <family val="2"/>
        <scheme val="minor"/>
      </rPr>
      <t>強制工作</t>
    </r>
    <phoneticPr fontId="72" type="noConversion"/>
  </si>
  <si>
    <r>
      <rPr>
        <sz val="12"/>
        <color theme="1"/>
        <rFont val="新細明體"/>
        <family val="2"/>
        <scheme val="minor"/>
      </rPr>
      <t>驅逐出境</t>
    </r>
    <phoneticPr fontId="72" type="noConversion"/>
  </si>
  <si>
    <r>
      <rPr>
        <sz val="12"/>
        <color theme="1"/>
        <rFont val="新細明體"/>
        <family val="2"/>
        <scheme val="minor"/>
      </rPr>
      <t>監護</t>
    </r>
    <phoneticPr fontId="72" type="noConversion"/>
  </si>
  <si>
    <r>
      <rPr>
        <sz val="12"/>
        <color theme="1"/>
        <rFont val="新細明體"/>
        <family val="2"/>
        <scheme val="minor"/>
      </rPr>
      <t>其他</t>
    </r>
    <phoneticPr fontId="72" type="noConversion"/>
  </si>
  <si>
    <r>
      <rPr>
        <sz val="12"/>
        <color theme="1"/>
        <rFont val="新細明體"/>
        <family val="2"/>
        <scheme val="minor"/>
      </rPr>
      <t>緩刑人數</t>
    </r>
    <phoneticPr fontId="72" type="noConversion"/>
  </si>
  <si>
    <r>
      <rPr>
        <sz val="10"/>
        <rFont val="新細明體"/>
        <family val="1"/>
        <charset val="136"/>
      </rPr>
      <t>資料來源：司法院</t>
    </r>
    <r>
      <rPr>
        <sz val="10"/>
        <rFont val="Times New Roman"/>
        <family val="1"/>
      </rPr>
      <t>(</t>
    </r>
    <r>
      <rPr>
        <sz val="10"/>
        <rFont val="新細明體"/>
        <family val="1"/>
        <charset val="136"/>
      </rPr>
      <t>表</t>
    </r>
    <r>
      <rPr>
        <sz val="10"/>
        <rFont val="Times New Roman"/>
        <family val="1"/>
      </rPr>
      <t>10914-02-03-05)</t>
    </r>
    <r>
      <rPr>
        <sz val="10"/>
        <rFont val="新細明體"/>
        <family val="1"/>
        <charset val="136"/>
      </rPr>
      <t>。</t>
    </r>
    <phoneticPr fontId="72" type="noConversion"/>
  </si>
  <si>
    <r>
      <rPr>
        <sz val="15"/>
        <rFont val="新細明體"/>
        <family val="1"/>
        <charset val="136"/>
      </rPr>
      <t>表</t>
    </r>
    <r>
      <rPr>
        <sz val="15"/>
        <rFont val="Times New Roman"/>
        <family val="1"/>
      </rPr>
      <t>3-2-4</t>
    </r>
    <r>
      <rPr>
        <sz val="15"/>
        <rFont val="新細明體"/>
        <family val="1"/>
        <charset val="136"/>
      </rPr>
      <t>　近</t>
    </r>
    <r>
      <rPr>
        <sz val="15"/>
        <rFont val="Times New Roman"/>
        <family val="1"/>
      </rPr>
      <t>10</t>
    </r>
    <r>
      <rPr>
        <sz val="15"/>
        <rFont val="新細明體"/>
        <family val="1"/>
        <charset val="136"/>
      </rPr>
      <t>年地方法院（庭）審理少年觸犯刑罰法令人數暨虞犯</t>
    </r>
    <r>
      <rPr>
        <sz val="15"/>
        <rFont val="Times New Roman"/>
        <family val="1"/>
      </rPr>
      <t>/</t>
    </r>
    <r>
      <rPr>
        <sz val="15"/>
        <rFont val="新細明體"/>
        <family val="1"/>
        <charset val="136"/>
      </rPr>
      <t>曝險人數</t>
    </r>
    <phoneticPr fontId="72" type="noConversion"/>
  </si>
  <si>
    <r>
      <rPr>
        <sz val="12"/>
        <color theme="1"/>
        <rFont val="新細明體"/>
        <family val="2"/>
        <scheme val="minor"/>
      </rPr>
      <t>觸　犯　刑　罰　法</t>
    </r>
    <r>
      <rPr>
        <sz val="12"/>
        <rFont val="Times New Roman"/>
        <family val="1"/>
      </rPr>
      <t xml:space="preserve">   </t>
    </r>
    <r>
      <rPr>
        <sz val="12"/>
        <color theme="1"/>
        <rFont val="新細明體"/>
        <family val="2"/>
        <scheme val="minor"/>
      </rPr>
      <t>令</t>
    </r>
    <phoneticPr fontId="72" type="noConversion"/>
  </si>
  <si>
    <r>
      <rPr>
        <sz val="12"/>
        <color theme="1"/>
        <rFont val="新細明體"/>
        <family val="2"/>
        <scheme val="minor"/>
      </rPr>
      <t>虞犯</t>
    </r>
    <r>
      <rPr>
        <sz val="12"/>
        <rFont val="Times New Roman"/>
        <family val="1"/>
      </rPr>
      <t>/</t>
    </r>
    <r>
      <rPr>
        <sz val="12"/>
        <color theme="1"/>
        <rFont val="新細明體"/>
        <family val="2"/>
        <scheme val="minor"/>
      </rPr>
      <t>曝險少年</t>
    </r>
    <phoneticPr fontId="72" type="noConversion"/>
  </si>
  <si>
    <r>
      <rPr>
        <sz val="12"/>
        <color theme="1"/>
        <rFont val="新細明體"/>
        <family val="2"/>
        <scheme val="minor"/>
      </rPr>
      <t>總　計</t>
    </r>
    <phoneticPr fontId="72" type="noConversion"/>
  </si>
  <si>
    <r>
      <rPr>
        <sz val="12"/>
        <color theme="1"/>
        <rFont val="新細明體"/>
        <family val="2"/>
        <scheme val="minor"/>
      </rPr>
      <t>刑</t>
    </r>
    <r>
      <rPr>
        <sz val="12"/>
        <rFont val="Times New Roman"/>
        <family val="1"/>
      </rPr>
      <t xml:space="preserve">     </t>
    </r>
    <r>
      <rPr>
        <sz val="12"/>
        <color theme="1"/>
        <rFont val="新細明體"/>
        <family val="2"/>
        <scheme val="minor"/>
      </rPr>
      <t>事</t>
    </r>
    <r>
      <rPr>
        <sz val="12"/>
        <rFont val="Times New Roman"/>
        <family val="1"/>
      </rPr>
      <t xml:space="preserve">     </t>
    </r>
    <r>
      <rPr>
        <sz val="12"/>
        <color theme="1"/>
        <rFont val="新細明體"/>
        <family val="2"/>
        <scheme val="minor"/>
      </rPr>
      <t>案</t>
    </r>
    <r>
      <rPr>
        <sz val="12"/>
        <rFont val="Times New Roman"/>
        <family val="1"/>
      </rPr>
      <t xml:space="preserve">     </t>
    </r>
    <r>
      <rPr>
        <sz val="12"/>
        <color theme="1"/>
        <rFont val="新細明體"/>
        <family val="2"/>
        <scheme val="minor"/>
      </rPr>
      <t>件</t>
    </r>
    <phoneticPr fontId="72" type="noConversion"/>
  </si>
  <si>
    <r>
      <rPr>
        <sz val="12"/>
        <color theme="1"/>
        <rFont val="新細明體"/>
        <family val="2"/>
        <scheme val="minor"/>
      </rPr>
      <t>保　護</t>
    </r>
    <r>
      <rPr>
        <sz val="12"/>
        <rFont val="Times New Roman"/>
        <family val="1"/>
      </rPr>
      <t xml:space="preserve">    </t>
    </r>
    <r>
      <rPr>
        <sz val="12"/>
        <color theme="1"/>
        <rFont val="新細明體"/>
        <family val="2"/>
        <scheme val="minor"/>
      </rPr>
      <t>事　件</t>
    </r>
    <phoneticPr fontId="72" type="noConversion"/>
  </si>
  <si>
    <r>
      <rPr>
        <sz val="12"/>
        <color theme="1"/>
        <rFont val="新細明體"/>
        <family val="2"/>
        <scheme val="minor"/>
      </rPr>
      <t>人數</t>
    </r>
    <phoneticPr fontId="72" type="noConversion"/>
  </si>
  <si>
    <r>
      <rPr>
        <sz val="12"/>
        <color theme="1"/>
        <rFont val="新細明體"/>
        <family val="2"/>
        <scheme val="minor"/>
      </rPr>
      <t>指數</t>
    </r>
    <r>
      <rPr>
        <sz val="12"/>
        <rFont val="Times New Roman"/>
        <family val="1"/>
      </rPr>
      <t xml:space="preserve"> </t>
    </r>
    <phoneticPr fontId="72" type="noConversion"/>
  </si>
  <si>
    <r>
      <t xml:space="preserve"> </t>
    </r>
    <r>
      <rPr>
        <sz val="12"/>
        <color theme="1"/>
        <rFont val="新細明體"/>
        <family val="2"/>
        <scheme val="minor"/>
      </rPr>
      <t>百分比</t>
    </r>
    <phoneticPr fontId="72" type="noConversion"/>
  </si>
  <si>
    <r>
      <rPr>
        <sz val="12"/>
        <color theme="1"/>
        <rFont val="新細明體"/>
        <family val="2"/>
        <scheme val="minor"/>
      </rPr>
      <t>指數</t>
    </r>
    <phoneticPr fontId="72" type="noConversion"/>
  </si>
  <si>
    <r>
      <rPr>
        <sz val="12"/>
        <color theme="1"/>
        <rFont val="新細明體"/>
        <family val="2"/>
        <scheme val="minor"/>
      </rPr>
      <t>百分比</t>
    </r>
    <phoneticPr fontId="72" type="noConversion"/>
  </si>
  <si>
    <r>
      <rPr>
        <sz val="12"/>
        <color theme="1"/>
        <rFont val="新細明體"/>
        <family val="2"/>
        <scheme val="minor"/>
      </rPr>
      <t>指數</t>
    </r>
    <phoneticPr fontId="72" type="noConversion"/>
  </si>
  <si>
    <r>
      <rPr>
        <sz val="12"/>
        <color theme="1"/>
        <rFont val="新細明體"/>
        <family val="2"/>
        <scheme val="minor"/>
      </rPr>
      <t>合計</t>
    </r>
    <phoneticPr fontId="72" type="noConversion"/>
  </si>
  <si>
    <r>
      <rPr>
        <sz val="12"/>
        <color theme="1"/>
        <rFont val="新細明體"/>
        <family val="2"/>
        <scheme val="minor"/>
      </rPr>
      <t>男</t>
    </r>
    <phoneticPr fontId="72" type="noConversion"/>
  </si>
  <si>
    <r>
      <rPr>
        <sz val="12"/>
        <color theme="1"/>
        <rFont val="新細明體"/>
        <family val="2"/>
        <scheme val="minor"/>
      </rPr>
      <t>女</t>
    </r>
    <phoneticPr fontId="72" type="noConversion"/>
  </si>
  <si>
    <r>
      <t>99</t>
    </r>
    <r>
      <rPr>
        <sz val="12"/>
        <color theme="1"/>
        <rFont val="新細明體"/>
        <family val="2"/>
        <scheme val="minor"/>
      </rPr>
      <t>年</t>
    </r>
    <r>
      <rPr>
        <sz val="12"/>
        <rFont val="細明體"/>
        <family val="3"/>
        <charset val="136"/>
      </rPr>
      <t/>
    </r>
    <phoneticPr fontId="72" type="noConversion"/>
  </si>
  <si>
    <r>
      <t>100</t>
    </r>
    <r>
      <rPr>
        <sz val="12"/>
        <color theme="1"/>
        <rFont val="新細明體"/>
        <family val="2"/>
        <scheme val="minor"/>
      </rPr>
      <t>年</t>
    </r>
    <r>
      <rPr>
        <sz val="12"/>
        <rFont val="細明體"/>
        <family val="3"/>
        <charset val="136"/>
      </rPr>
      <t/>
    </r>
  </si>
  <si>
    <r>
      <rPr>
        <sz val="10"/>
        <rFont val="新細明體"/>
        <family val="1"/>
        <charset val="136"/>
      </rPr>
      <t>資料來源：司法院（表</t>
    </r>
    <r>
      <rPr>
        <sz val="10"/>
        <rFont val="Times New Roman"/>
        <family val="1"/>
      </rPr>
      <t>10914-02-04-05</t>
    </r>
    <r>
      <rPr>
        <sz val="10"/>
        <rFont val="新細明體"/>
        <family val="1"/>
        <charset val="136"/>
      </rPr>
      <t>、</t>
    </r>
    <r>
      <rPr>
        <sz val="10"/>
        <rFont val="Times New Roman"/>
        <family val="1"/>
      </rPr>
      <t>10914-03-04-05</t>
    </r>
    <r>
      <rPr>
        <sz val="10"/>
        <rFont val="新細明體"/>
        <family val="1"/>
        <charset val="136"/>
      </rPr>
      <t>）。</t>
    </r>
    <phoneticPr fontId="72" type="noConversion"/>
  </si>
  <si>
    <r>
      <rPr>
        <sz val="10"/>
        <rFont val="新細明體"/>
        <family val="1"/>
        <charset val="136"/>
      </rPr>
      <t>說　　明：</t>
    </r>
    <r>
      <rPr>
        <sz val="10"/>
        <rFont val="Times New Roman"/>
        <family val="1"/>
      </rPr>
      <t xml:space="preserve">1. </t>
    </r>
    <r>
      <rPr>
        <sz val="10"/>
        <rFont val="新細明體"/>
        <family val="1"/>
        <charset val="136"/>
      </rPr>
      <t>本表不包含未經個案調查人數。</t>
    </r>
    <phoneticPr fontId="72" type="noConversion"/>
  </si>
  <si>
    <r>
      <rPr>
        <sz val="10"/>
        <rFont val="新細明體"/>
        <family val="1"/>
        <charset val="136"/>
      </rPr>
      <t>　　　　　</t>
    </r>
    <r>
      <rPr>
        <sz val="10"/>
        <rFont val="Times New Roman"/>
        <family val="1"/>
      </rPr>
      <t xml:space="preserve">2. </t>
    </r>
    <r>
      <rPr>
        <sz val="10"/>
        <rFont val="新細明體"/>
        <family val="1"/>
        <charset val="136"/>
      </rPr>
      <t>指數以</t>
    </r>
    <r>
      <rPr>
        <sz val="10"/>
        <rFont val="Times New Roman"/>
        <family val="1"/>
      </rPr>
      <t>99</t>
    </r>
    <r>
      <rPr>
        <sz val="10"/>
        <rFont val="新細明體"/>
        <family val="1"/>
        <charset val="136"/>
      </rPr>
      <t>年為比較基準。</t>
    </r>
    <phoneticPr fontId="72" type="noConversion"/>
  </si>
  <si>
    <r>
      <rPr>
        <sz val="10"/>
        <rFont val="新細明體"/>
        <family val="1"/>
        <charset val="136"/>
      </rPr>
      <t>　　　　　</t>
    </r>
    <r>
      <rPr>
        <sz val="10"/>
        <rFont val="Times New Roman"/>
        <family val="1"/>
      </rPr>
      <t xml:space="preserve">3. </t>
    </r>
    <r>
      <rPr>
        <sz val="10"/>
        <rFont val="新細明體"/>
        <family val="1"/>
        <charset val="136"/>
      </rPr>
      <t>虞犯</t>
    </r>
    <r>
      <rPr>
        <sz val="10"/>
        <rFont val="Times New Roman"/>
        <family val="1"/>
      </rPr>
      <t>/</t>
    </r>
    <r>
      <rPr>
        <sz val="10"/>
        <rFont val="新細明體"/>
        <family val="1"/>
        <charset val="136"/>
      </rPr>
      <t>曝險少年欄，以</t>
    </r>
    <r>
      <rPr>
        <sz val="10"/>
        <rFont val="Times New Roman"/>
        <family val="1"/>
      </rPr>
      <t>108</t>
    </r>
    <r>
      <rPr>
        <sz val="10"/>
        <rFont val="新細明體"/>
        <family val="1"/>
        <charset val="136"/>
      </rPr>
      <t>年</t>
    </r>
    <r>
      <rPr>
        <sz val="10"/>
        <rFont val="Times New Roman"/>
        <family val="1"/>
      </rPr>
      <t>6</t>
    </r>
    <r>
      <rPr>
        <sz val="10"/>
        <rFont val="新細明體"/>
        <family val="1"/>
        <charset val="136"/>
      </rPr>
      <t>月</t>
    </r>
    <r>
      <rPr>
        <sz val="10"/>
        <rFont val="Times New Roman"/>
        <family val="1"/>
      </rPr>
      <t>19</t>
    </r>
    <r>
      <rPr>
        <sz val="10"/>
        <rFont val="新細明體"/>
        <family val="1"/>
        <charset val="136"/>
      </rPr>
      <t>日少事法修法施行前為虞犯少年，其後則為曝險少年。</t>
    </r>
    <phoneticPr fontId="72" type="noConversion"/>
  </si>
  <si>
    <r>
      <rPr>
        <sz val="15"/>
        <rFont val="新細明體"/>
        <family val="1"/>
        <charset val="136"/>
      </rPr>
      <t>表</t>
    </r>
    <r>
      <rPr>
        <sz val="15"/>
        <rFont val="Times New Roman"/>
        <family val="1"/>
      </rPr>
      <t>3-2-5</t>
    </r>
    <r>
      <rPr>
        <sz val="15"/>
        <rFont val="新細明體"/>
        <family val="1"/>
        <charset val="136"/>
      </rPr>
      <t>　近</t>
    </r>
    <r>
      <rPr>
        <sz val="15"/>
        <rFont val="Times New Roman"/>
        <family val="1"/>
      </rPr>
      <t>10</t>
    </r>
    <r>
      <rPr>
        <sz val="15"/>
        <rFont val="新細明體"/>
        <family val="1"/>
        <charset val="136"/>
      </rPr>
      <t>年少年交付保護處分罪名</t>
    </r>
    <phoneticPr fontId="72" type="noConversion"/>
  </si>
  <si>
    <r>
      <t>100</t>
    </r>
    <r>
      <rPr>
        <sz val="12"/>
        <color theme="1"/>
        <rFont val="新細明體"/>
        <family val="2"/>
        <scheme val="minor"/>
      </rPr>
      <t>年</t>
    </r>
  </si>
  <si>
    <r>
      <t>101</t>
    </r>
    <r>
      <rPr>
        <sz val="12"/>
        <color theme="1"/>
        <rFont val="新細明體"/>
        <family val="2"/>
        <scheme val="minor"/>
      </rPr>
      <t>年</t>
    </r>
  </si>
  <si>
    <r>
      <t>102</t>
    </r>
    <r>
      <rPr>
        <sz val="12"/>
        <color theme="1"/>
        <rFont val="新細明體"/>
        <family val="2"/>
        <scheme val="minor"/>
      </rPr>
      <t>年</t>
    </r>
  </si>
  <si>
    <r>
      <t>103</t>
    </r>
    <r>
      <rPr>
        <sz val="12"/>
        <color theme="1"/>
        <rFont val="新細明體"/>
        <family val="2"/>
        <scheme val="minor"/>
      </rPr>
      <t>年</t>
    </r>
  </si>
  <si>
    <r>
      <t>104</t>
    </r>
    <r>
      <rPr>
        <sz val="12"/>
        <color theme="1"/>
        <rFont val="新細明體"/>
        <family val="2"/>
        <scheme val="minor"/>
      </rPr>
      <t>年</t>
    </r>
  </si>
  <si>
    <r>
      <t>105</t>
    </r>
    <r>
      <rPr>
        <sz val="12"/>
        <color theme="1"/>
        <rFont val="新細明體"/>
        <family val="2"/>
        <scheme val="minor"/>
      </rPr>
      <t>年</t>
    </r>
  </si>
  <si>
    <r>
      <t>106</t>
    </r>
    <r>
      <rPr>
        <sz val="12"/>
        <color theme="1"/>
        <rFont val="新細明體"/>
        <family val="2"/>
        <scheme val="minor"/>
      </rPr>
      <t>年</t>
    </r>
  </si>
  <si>
    <r>
      <t>107</t>
    </r>
    <r>
      <rPr>
        <sz val="12"/>
        <color theme="1"/>
        <rFont val="新細明體"/>
        <family val="2"/>
        <scheme val="minor"/>
      </rPr>
      <t>年</t>
    </r>
  </si>
  <si>
    <r>
      <t>108</t>
    </r>
    <r>
      <rPr>
        <sz val="12"/>
        <color theme="1"/>
        <rFont val="新細明體"/>
        <family val="2"/>
        <scheme val="minor"/>
      </rPr>
      <t>年</t>
    </r>
  </si>
  <si>
    <r>
      <rPr>
        <sz val="12"/>
        <color theme="1"/>
        <rFont val="新細明體"/>
        <family val="2"/>
        <scheme val="minor"/>
      </rPr>
      <t>人</t>
    </r>
    <phoneticPr fontId="72" type="noConversion"/>
  </si>
  <si>
    <t>%</t>
    <phoneticPr fontId="72" type="noConversion"/>
  </si>
  <si>
    <r>
      <rPr>
        <sz val="12"/>
        <color theme="1"/>
        <rFont val="新細明體"/>
        <family val="2"/>
        <scheme val="minor"/>
      </rPr>
      <t>人</t>
    </r>
    <phoneticPr fontId="72" type="noConversion"/>
  </si>
  <si>
    <r>
      <rPr>
        <sz val="12"/>
        <color theme="1"/>
        <rFont val="新細明體"/>
        <family val="2"/>
        <scheme val="minor"/>
      </rPr>
      <t>人</t>
    </r>
    <phoneticPr fontId="72" type="noConversion"/>
  </si>
  <si>
    <r>
      <rPr>
        <sz val="12"/>
        <color theme="1"/>
        <rFont val="新細明體"/>
        <family val="2"/>
        <scheme val="minor"/>
      </rPr>
      <t>傷害罪</t>
    </r>
    <phoneticPr fontId="72" type="noConversion"/>
  </si>
  <si>
    <r>
      <rPr>
        <sz val="12"/>
        <color theme="1"/>
        <rFont val="新細明體"/>
        <family val="2"/>
        <scheme val="minor"/>
      </rPr>
      <t>竊盜罪</t>
    </r>
    <phoneticPr fontId="72" type="noConversion"/>
  </si>
  <si>
    <r>
      <rPr>
        <sz val="12"/>
        <color theme="1"/>
        <rFont val="新細明體"/>
        <family val="2"/>
        <scheme val="minor"/>
      </rPr>
      <t>詐欺罪</t>
    </r>
    <phoneticPr fontId="72" type="noConversion"/>
  </si>
  <si>
    <r>
      <rPr>
        <sz val="12"/>
        <color theme="1"/>
        <rFont val="新細明體"/>
        <family val="2"/>
        <scheme val="minor"/>
      </rPr>
      <t>妨害性自主罪</t>
    </r>
    <phoneticPr fontId="72" type="noConversion"/>
  </si>
  <si>
    <r>
      <rPr>
        <sz val="12"/>
        <color theme="1"/>
        <rFont val="新細明體"/>
        <family val="2"/>
        <scheme val="minor"/>
      </rPr>
      <t>公共危險罪</t>
    </r>
    <phoneticPr fontId="72" type="noConversion"/>
  </si>
  <si>
    <r>
      <rPr>
        <sz val="12"/>
        <color theme="1"/>
        <rFont val="新細明體"/>
        <family val="2"/>
        <scheme val="minor"/>
      </rPr>
      <t>妨害自由罪</t>
    </r>
    <phoneticPr fontId="72" type="noConversion"/>
  </si>
  <si>
    <r>
      <rPr>
        <sz val="12"/>
        <color theme="1"/>
        <rFont val="新細明體"/>
        <family val="2"/>
        <scheme val="minor"/>
      </rPr>
      <t>毒品危害防制條例</t>
    </r>
    <phoneticPr fontId="72" type="noConversion"/>
  </si>
  <si>
    <r>
      <rPr>
        <sz val="12"/>
        <color theme="1"/>
        <rFont val="新細明體"/>
        <family val="2"/>
        <scheme val="minor"/>
      </rPr>
      <t>毀棄損壞罪</t>
    </r>
    <phoneticPr fontId="72" type="noConversion"/>
  </si>
  <si>
    <r>
      <rPr>
        <sz val="12"/>
        <color theme="1"/>
        <rFont val="新細明體"/>
        <family val="2"/>
        <scheme val="minor"/>
      </rPr>
      <t>兒少性剝削防制</t>
    </r>
    <phoneticPr fontId="72" type="noConversion"/>
  </si>
  <si>
    <r>
      <rPr>
        <sz val="12"/>
        <color theme="1"/>
        <rFont val="新細明體"/>
        <family val="2"/>
        <scheme val="minor"/>
      </rPr>
      <t>恐嚇罪</t>
    </r>
    <phoneticPr fontId="72" type="noConversion"/>
  </si>
  <si>
    <r>
      <rPr>
        <sz val="12"/>
        <color theme="1"/>
        <rFont val="新細明體"/>
        <family val="2"/>
        <scheme val="minor"/>
      </rPr>
      <t>妨害名譽及信用罪</t>
    </r>
    <phoneticPr fontId="72" type="noConversion"/>
  </si>
  <si>
    <r>
      <rPr>
        <sz val="12"/>
        <color theme="1"/>
        <rFont val="新細明體"/>
        <family val="2"/>
        <scheme val="minor"/>
      </rPr>
      <t>偽造文書印文罪</t>
    </r>
    <phoneticPr fontId="72" type="noConversion"/>
  </si>
  <si>
    <r>
      <rPr>
        <sz val="12"/>
        <color theme="1"/>
        <rFont val="新細明體"/>
        <family val="2"/>
        <scheme val="minor"/>
      </rPr>
      <t>侵占罪</t>
    </r>
    <phoneticPr fontId="72" type="noConversion"/>
  </si>
  <si>
    <r>
      <rPr>
        <sz val="12"/>
        <color theme="1"/>
        <rFont val="新細明體"/>
        <family val="2"/>
        <scheme val="minor"/>
      </rPr>
      <t>殺人罪</t>
    </r>
    <phoneticPr fontId="72" type="noConversion"/>
  </si>
  <si>
    <r>
      <rPr>
        <sz val="12"/>
        <color theme="1"/>
        <rFont val="新細明體"/>
        <family val="2"/>
        <scheme val="minor"/>
      </rPr>
      <t>性騷擾防治法</t>
    </r>
  </si>
  <si>
    <r>
      <rPr>
        <sz val="12"/>
        <color theme="1"/>
        <rFont val="新細明體"/>
        <family val="2"/>
        <scheme val="minor"/>
      </rPr>
      <t>賭博罪</t>
    </r>
    <phoneticPr fontId="72" type="noConversion"/>
  </si>
  <si>
    <r>
      <rPr>
        <sz val="12"/>
        <color theme="1"/>
        <rFont val="新細明體"/>
        <family val="2"/>
        <scheme val="minor"/>
      </rPr>
      <t>贓物罪</t>
    </r>
    <phoneticPr fontId="72" type="noConversion"/>
  </si>
  <si>
    <r>
      <rPr>
        <sz val="12"/>
        <color theme="1"/>
        <rFont val="新細明體"/>
        <family val="2"/>
        <scheme val="minor"/>
      </rPr>
      <t>妨害秘密罪</t>
    </r>
    <phoneticPr fontId="72" type="noConversion"/>
  </si>
  <si>
    <r>
      <rPr>
        <sz val="12"/>
        <color theme="1"/>
        <rFont val="新細明體"/>
        <family val="2"/>
        <scheme val="minor"/>
      </rPr>
      <t>妨害公務罪</t>
    </r>
    <phoneticPr fontId="72" type="noConversion"/>
  </si>
  <si>
    <r>
      <rPr>
        <sz val="12"/>
        <color theme="1"/>
        <rFont val="新細明體"/>
        <family val="2"/>
        <scheme val="minor"/>
      </rPr>
      <t>妨害秩序罪</t>
    </r>
    <phoneticPr fontId="72" type="noConversion"/>
  </si>
  <si>
    <r>
      <rPr>
        <sz val="12"/>
        <color theme="1"/>
        <rFont val="新細明體"/>
        <family val="2"/>
        <scheme val="minor"/>
      </rPr>
      <t>藥事法</t>
    </r>
    <phoneticPr fontId="72" type="noConversion"/>
  </si>
  <si>
    <r>
      <rPr>
        <sz val="12"/>
        <color theme="1"/>
        <rFont val="新細明體"/>
        <family val="2"/>
        <scheme val="minor"/>
      </rPr>
      <t>槍砲彈藥刀械管制條例</t>
    </r>
    <phoneticPr fontId="72" type="noConversion"/>
  </si>
  <si>
    <r>
      <rPr>
        <sz val="12"/>
        <color theme="1"/>
        <rFont val="新細明體"/>
        <family val="2"/>
        <scheme val="minor"/>
      </rPr>
      <t>組織犯罪防制條例</t>
    </r>
    <phoneticPr fontId="72" type="noConversion"/>
  </si>
  <si>
    <r>
      <rPr>
        <sz val="12"/>
        <color theme="1"/>
        <rFont val="新細明體"/>
        <family val="2"/>
        <scheme val="minor"/>
      </rPr>
      <t>妨害電腦使用罪</t>
    </r>
    <phoneticPr fontId="72" type="noConversion"/>
  </si>
  <si>
    <r>
      <rPr>
        <sz val="12"/>
        <color theme="1"/>
        <rFont val="新細明體"/>
        <family val="2"/>
        <scheme val="minor"/>
      </rPr>
      <t>洗錢防制法</t>
    </r>
    <phoneticPr fontId="72" type="noConversion"/>
  </si>
  <si>
    <t>-</t>
    <phoneticPr fontId="72" type="noConversion"/>
  </si>
  <si>
    <r>
      <rPr>
        <sz val="12"/>
        <color theme="1"/>
        <rFont val="新細明體"/>
        <family val="2"/>
        <scheme val="minor"/>
      </rPr>
      <t>搶奪及海盜罪</t>
    </r>
    <phoneticPr fontId="72" type="noConversion"/>
  </si>
  <si>
    <r>
      <rPr>
        <sz val="12"/>
        <color theme="1"/>
        <rFont val="新細明體"/>
        <family val="2"/>
        <scheme val="minor"/>
      </rPr>
      <t>妨害風化罪</t>
    </r>
    <r>
      <rPr>
        <sz val="12"/>
        <rFont val="Times New Roman"/>
        <family val="1"/>
      </rPr>
      <t xml:space="preserve"> </t>
    </r>
    <phoneticPr fontId="72" type="noConversion"/>
  </si>
  <si>
    <r>
      <rPr>
        <sz val="12"/>
        <color theme="1"/>
        <rFont val="新細明體"/>
        <family val="2"/>
        <scheme val="minor"/>
      </rPr>
      <t>誣告罪</t>
    </r>
    <phoneticPr fontId="72" type="noConversion"/>
  </si>
  <si>
    <r>
      <rPr>
        <sz val="12"/>
        <color theme="1"/>
        <rFont val="新細明體"/>
        <family val="2"/>
        <scheme val="minor"/>
      </rPr>
      <t>妨害婚姻及家庭罪</t>
    </r>
    <phoneticPr fontId="72" type="noConversion"/>
  </si>
  <si>
    <r>
      <rPr>
        <sz val="12"/>
        <color theme="1"/>
        <rFont val="新細明體"/>
        <family val="2"/>
        <scheme val="minor"/>
      </rPr>
      <t>匿藏人犯及湮滅證據罪</t>
    </r>
    <phoneticPr fontId="72" type="noConversion"/>
  </si>
  <si>
    <r>
      <rPr>
        <sz val="12"/>
        <color theme="1"/>
        <rFont val="新細明體"/>
        <family val="2"/>
        <scheme val="minor"/>
      </rPr>
      <t>商標法</t>
    </r>
    <phoneticPr fontId="72" type="noConversion"/>
  </si>
  <si>
    <r>
      <rPr>
        <sz val="12"/>
        <color theme="1"/>
        <rFont val="新細明體"/>
        <family val="2"/>
        <scheme val="minor"/>
      </rPr>
      <t>家庭暴力防治法</t>
    </r>
    <phoneticPr fontId="72" type="noConversion"/>
  </si>
  <si>
    <r>
      <rPr>
        <sz val="12"/>
        <color theme="1"/>
        <rFont val="新細明體"/>
        <family val="2"/>
        <scheme val="minor"/>
      </rPr>
      <t>重利罪</t>
    </r>
    <phoneticPr fontId="72" type="noConversion"/>
  </si>
  <si>
    <r>
      <rPr>
        <sz val="12"/>
        <color theme="1"/>
        <rFont val="新細明體"/>
        <family val="2"/>
        <scheme val="minor"/>
      </rPr>
      <t>偽證罪</t>
    </r>
    <phoneticPr fontId="72" type="noConversion"/>
  </si>
  <si>
    <r>
      <rPr>
        <sz val="12"/>
        <color theme="1"/>
        <rFont val="新細明體"/>
        <family val="2"/>
        <scheme val="minor"/>
      </rPr>
      <t>強盜罪</t>
    </r>
    <phoneticPr fontId="72" type="noConversion"/>
  </si>
  <si>
    <r>
      <rPr>
        <sz val="12"/>
        <color theme="1"/>
        <rFont val="新細明體"/>
        <family val="2"/>
        <scheme val="minor"/>
      </rPr>
      <t>著作權法</t>
    </r>
    <phoneticPr fontId="72" type="noConversion"/>
  </si>
  <si>
    <r>
      <rPr>
        <sz val="12"/>
        <color theme="1"/>
        <rFont val="新細明體"/>
        <family val="2"/>
        <scheme val="minor"/>
      </rPr>
      <t>戶籍法</t>
    </r>
    <phoneticPr fontId="72" type="noConversion"/>
  </si>
  <si>
    <t>-</t>
    <phoneticPr fontId="72" type="noConversion"/>
  </si>
  <si>
    <t>-</t>
    <phoneticPr fontId="72" type="noConversion"/>
  </si>
  <si>
    <r>
      <rPr>
        <sz val="12"/>
        <color theme="1"/>
        <rFont val="新細明體"/>
        <family val="2"/>
        <scheme val="minor"/>
      </rPr>
      <t>偽造有價證券罪</t>
    </r>
    <phoneticPr fontId="72" type="noConversion"/>
  </si>
  <si>
    <t>-</t>
    <phoneticPr fontId="72" type="noConversion"/>
  </si>
  <si>
    <r>
      <rPr>
        <sz val="12"/>
        <color theme="1"/>
        <rFont val="新細明體"/>
        <family val="2"/>
        <scheme val="minor"/>
      </rPr>
      <t>逃脫罪</t>
    </r>
    <phoneticPr fontId="72" type="noConversion"/>
  </si>
  <si>
    <r>
      <rPr>
        <sz val="12"/>
        <color theme="1"/>
        <rFont val="新細明體"/>
        <family val="2"/>
        <scheme val="minor"/>
      </rPr>
      <t>電信法</t>
    </r>
    <phoneticPr fontId="72" type="noConversion"/>
  </si>
  <si>
    <r>
      <rPr>
        <sz val="12"/>
        <color theme="1"/>
        <rFont val="新細明體"/>
        <family val="2"/>
        <scheme val="minor"/>
      </rPr>
      <t>選舉罷免法</t>
    </r>
  </si>
  <si>
    <t>-</t>
    <phoneticPr fontId="72" type="noConversion"/>
  </si>
  <si>
    <t>-</t>
    <phoneticPr fontId="72" type="noConversion"/>
  </si>
  <si>
    <r>
      <rPr>
        <sz val="12"/>
        <color theme="1"/>
        <rFont val="新細明體"/>
        <family val="2"/>
        <scheme val="minor"/>
      </rPr>
      <t>醫療法</t>
    </r>
  </si>
  <si>
    <t>-</t>
    <phoneticPr fontId="72" type="noConversion"/>
  </si>
  <si>
    <t>-</t>
    <phoneticPr fontId="72" type="noConversion"/>
  </si>
  <si>
    <r>
      <rPr>
        <sz val="12"/>
        <color theme="1"/>
        <rFont val="新細明體"/>
        <family val="2"/>
        <scheme val="minor"/>
      </rPr>
      <t>人口販運防治法</t>
    </r>
  </si>
  <si>
    <t>-</t>
    <phoneticPr fontId="72" type="noConversion"/>
  </si>
  <si>
    <r>
      <rPr>
        <sz val="12"/>
        <color theme="1"/>
        <rFont val="新細明體"/>
        <family val="2"/>
        <scheme val="minor"/>
      </rPr>
      <t>妨害農工商罪</t>
    </r>
    <phoneticPr fontId="72" type="noConversion"/>
  </si>
  <si>
    <r>
      <rPr>
        <sz val="12"/>
        <color theme="1"/>
        <rFont val="新細明體"/>
        <family val="2"/>
        <scheme val="minor"/>
      </rPr>
      <t>妨礙投票罪</t>
    </r>
    <phoneticPr fontId="72" type="noConversion"/>
  </si>
  <si>
    <t>-</t>
    <phoneticPr fontId="72" type="noConversion"/>
  </si>
  <si>
    <r>
      <rPr>
        <sz val="12"/>
        <color theme="1"/>
        <rFont val="新細明體"/>
        <family val="2"/>
        <scheme val="minor"/>
      </rPr>
      <t>性侵害防治法</t>
    </r>
    <phoneticPr fontId="72" type="noConversion"/>
  </si>
  <si>
    <r>
      <rPr>
        <sz val="12"/>
        <color theme="1"/>
        <rFont val="新細明體"/>
        <family val="2"/>
        <scheme val="minor"/>
      </rPr>
      <t>背信罪</t>
    </r>
    <phoneticPr fontId="72" type="noConversion"/>
  </si>
  <si>
    <r>
      <rPr>
        <sz val="12"/>
        <color theme="1"/>
        <rFont val="新細明體"/>
        <family val="2"/>
        <scheme val="minor"/>
      </rPr>
      <t>個人資料保護法</t>
    </r>
  </si>
  <si>
    <r>
      <rPr>
        <sz val="12"/>
        <color theme="1"/>
        <rFont val="新細明體"/>
        <family val="2"/>
        <scheme val="minor"/>
      </rPr>
      <t>偽造貨幣罪</t>
    </r>
    <phoneticPr fontId="72" type="noConversion"/>
  </si>
  <si>
    <r>
      <rPr>
        <sz val="12"/>
        <color theme="1"/>
        <rFont val="新細明體"/>
        <family val="2"/>
        <scheme val="minor"/>
      </rPr>
      <t>動物保護法</t>
    </r>
  </si>
  <si>
    <r>
      <rPr>
        <sz val="12"/>
        <color theme="1"/>
        <rFont val="新細明體"/>
        <family val="2"/>
        <scheme val="minor"/>
      </rPr>
      <t>水土保持法</t>
    </r>
    <phoneticPr fontId="72" type="noConversion"/>
  </si>
  <si>
    <r>
      <rPr>
        <sz val="12"/>
        <color theme="1"/>
        <rFont val="新細明體"/>
        <family val="2"/>
        <scheme val="minor"/>
      </rPr>
      <t>民用航空法</t>
    </r>
  </si>
  <si>
    <r>
      <rPr>
        <sz val="12"/>
        <color theme="1"/>
        <rFont val="新細明體"/>
        <family val="2"/>
        <scheme val="minor"/>
      </rPr>
      <t>野生動物保育法</t>
    </r>
  </si>
  <si>
    <t>-</t>
    <phoneticPr fontId="72" type="noConversion"/>
  </si>
  <si>
    <r>
      <rPr>
        <sz val="12"/>
        <color theme="1"/>
        <rFont val="新細明體"/>
        <family val="2"/>
        <scheme val="minor"/>
      </rPr>
      <t>陸海空軍刑法</t>
    </r>
  </si>
  <si>
    <r>
      <rPr>
        <sz val="12"/>
        <color theme="1"/>
        <rFont val="新細明體"/>
        <family val="2"/>
        <scheme val="minor"/>
      </rPr>
      <t>期貨交易法</t>
    </r>
  </si>
  <si>
    <r>
      <rPr>
        <sz val="12"/>
        <color theme="1"/>
        <rFont val="新細明體"/>
        <family val="2"/>
        <scheme val="minor"/>
      </rPr>
      <t>菸酒管理法</t>
    </r>
  </si>
  <si>
    <r>
      <rPr>
        <sz val="12"/>
        <color theme="1"/>
        <rFont val="新細明體"/>
        <family val="2"/>
        <scheme val="minor"/>
      </rPr>
      <t>電業法</t>
    </r>
  </si>
  <si>
    <t>-</t>
    <phoneticPr fontId="72" type="noConversion"/>
  </si>
  <si>
    <r>
      <rPr>
        <sz val="12"/>
        <color theme="1"/>
        <rFont val="新細明體"/>
        <family val="2"/>
        <scheme val="minor"/>
      </rPr>
      <t>廢棄物清理法</t>
    </r>
  </si>
  <si>
    <r>
      <rPr>
        <sz val="12"/>
        <color theme="1"/>
        <rFont val="新細明體"/>
        <family val="2"/>
        <scheme val="minor"/>
      </rPr>
      <t>電子遊戲場業管理條例</t>
    </r>
    <phoneticPr fontId="72" type="noConversion"/>
  </si>
  <si>
    <r>
      <rPr>
        <sz val="12"/>
        <color theme="1"/>
        <rFont val="新細明體"/>
        <family val="2"/>
        <scheme val="minor"/>
      </rPr>
      <t>墮胎罪</t>
    </r>
    <phoneticPr fontId="72" type="noConversion"/>
  </si>
  <si>
    <t>-</t>
    <phoneticPr fontId="72" type="noConversion"/>
  </si>
  <si>
    <t>-</t>
    <phoneticPr fontId="72" type="noConversion"/>
  </si>
  <si>
    <r>
      <rPr>
        <sz val="12"/>
        <color theme="1"/>
        <rFont val="新細明體"/>
        <family val="2"/>
        <scheme val="minor"/>
      </rPr>
      <t>擄人勒贖罪</t>
    </r>
    <phoneticPr fontId="72" type="noConversion"/>
  </si>
  <si>
    <r>
      <rPr>
        <sz val="12"/>
        <color theme="1"/>
        <rFont val="新細明體"/>
        <family val="2"/>
        <scheme val="minor"/>
      </rPr>
      <t>遺棄罪</t>
    </r>
    <phoneticPr fontId="72" type="noConversion"/>
  </si>
  <si>
    <t>-</t>
    <phoneticPr fontId="72" type="noConversion"/>
  </si>
  <si>
    <r>
      <rPr>
        <sz val="12"/>
        <color theme="1"/>
        <rFont val="新細明體"/>
        <family val="2"/>
        <scheme val="minor"/>
      </rPr>
      <t>褻瀆祀典及侵害墳墓</t>
    </r>
    <phoneticPr fontId="72" type="noConversion"/>
  </si>
  <si>
    <r>
      <rPr>
        <sz val="12"/>
        <color theme="1"/>
        <rFont val="新細明體"/>
        <family val="2"/>
        <scheme val="minor"/>
      </rPr>
      <t>懲治走私條例</t>
    </r>
    <phoneticPr fontId="72" type="noConversion"/>
  </si>
  <si>
    <r>
      <rPr>
        <sz val="12"/>
        <color theme="1"/>
        <rFont val="新細明體"/>
        <family val="2"/>
        <scheme val="minor"/>
      </rPr>
      <t>護照條例</t>
    </r>
  </si>
  <si>
    <t>-</t>
    <phoneticPr fontId="72" type="noConversion"/>
  </si>
  <si>
    <t>-</t>
    <phoneticPr fontId="72" type="noConversion"/>
  </si>
  <si>
    <r>
      <rPr>
        <sz val="10"/>
        <rFont val="新細明體"/>
        <family val="1"/>
        <charset val="136"/>
      </rPr>
      <t>資料來源：司法院</t>
    </r>
    <r>
      <rPr>
        <sz val="10"/>
        <rFont val="Times New Roman"/>
        <family val="1"/>
      </rPr>
      <t xml:space="preserve"> (</t>
    </r>
    <r>
      <rPr>
        <sz val="10"/>
        <rFont val="新細明體"/>
        <family val="1"/>
        <charset val="136"/>
      </rPr>
      <t>表</t>
    </r>
    <r>
      <rPr>
        <sz val="10"/>
        <rFont val="Times New Roman"/>
        <family val="1"/>
      </rPr>
      <t>10914-03-03-05)</t>
    </r>
    <r>
      <rPr>
        <sz val="10"/>
        <rFont val="新細明體"/>
        <family val="1"/>
        <charset val="136"/>
      </rPr>
      <t>。</t>
    </r>
    <phoneticPr fontId="72" type="noConversion"/>
  </si>
  <si>
    <r>
      <rPr>
        <sz val="10"/>
        <rFont val="新細明體"/>
        <family val="1"/>
        <charset val="136"/>
      </rPr>
      <t>說　　明：本表不包含未經個案調查人數及虞犯</t>
    </r>
    <r>
      <rPr>
        <sz val="10"/>
        <rFont val="Times New Roman"/>
        <family val="1"/>
      </rPr>
      <t>/</t>
    </r>
    <r>
      <rPr>
        <sz val="10"/>
        <rFont val="新細明體"/>
        <family val="1"/>
        <charset val="136"/>
      </rPr>
      <t>曝險少年。</t>
    </r>
    <phoneticPr fontId="72" type="noConversion"/>
  </si>
  <si>
    <r>
      <rPr>
        <sz val="15"/>
        <rFont val="新細明體"/>
        <family val="1"/>
        <charset val="136"/>
      </rPr>
      <t>表</t>
    </r>
    <r>
      <rPr>
        <sz val="15"/>
        <rFont val="Times New Roman"/>
        <family val="1"/>
      </rPr>
      <t>3-2-6</t>
    </r>
    <r>
      <rPr>
        <sz val="15"/>
        <rFont val="新細明體"/>
        <family val="1"/>
        <charset val="136"/>
      </rPr>
      <t>　近</t>
    </r>
    <r>
      <rPr>
        <sz val="15"/>
        <rFont val="Times New Roman"/>
        <family val="1"/>
      </rPr>
      <t>10</t>
    </r>
    <r>
      <rPr>
        <sz val="15"/>
        <rFont val="新細明體"/>
        <family val="1"/>
        <charset val="136"/>
      </rPr>
      <t>年少年交付保護處分性別與年齡</t>
    </r>
    <phoneticPr fontId="72" type="noConversion"/>
  </si>
  <si>
    <r>
      <rPr>
        <sz val="12"/>
        <color theme="1"/>
        <rFont val="新細明體"/>
        <family val="2"/>
        <scheme val="minor"/>
      </rPr>
      <t>人</t>
    </r>
    <phoneticPr fontId="72" type="noConversion"/>
  </si>
  <si>
    <t>%</t>
    <phoneticPr fontId="72" type="noConversion"/>
  </si>
  <si>
    <t>%</t>
    <phoneticPr fontId="72" type="noConversion"/>
  </si>
  <si>
    <r>
      <rPr>
        <sz val="12"/>
        <color theme="1"/>
        <rFont val="新細明體"/>
        <family val="2"/>
        <scheme val="minor"/>
      </rPr>
      <t>人</t>
    </r>
    <phoneticPr fontId="72" type="noConversion"/>
  </si>
  <si>
    <r>
      <rPr>
        <sz val="12"/>
        <color theme="1"/>
        <rFont val="新細明體"/>
        <family val="2"/>
        <scheme val="minor"/>
      </rPr>
      <t>男</t>
    </r>
    <phoneticPr fontId="72" type="noConversion"/>
  </si>
  <si>
    <r>
      <rPr>
        <sz val="12"/>
        <color theme="1"/>
        <rFont val="新細明體"/>
        <family val="2"/>
        <scheme val="minor"/>
      </rPr>
      <t>女</t>
    </r>
    <phoneticPr fontId="72" type="noConversion"/>
  </si>
  <si>
    <r>
      <t>12</t>
    </r>
    <r>
      <rPr>
        <sz val="12"/>
        <color theme="1"/>
        <rFont val="新細明體"/>
        <family val="2"/>
        <scheme val="minor"/>
      </rPr>
      <t>歲未滿</t>
    </r>
    <phoneticPr fontId="72" type="noConversion"/>
  </si>
  <si>
    <r>
      <t>12</t>
    </r>
    <r>
      <rPr>
        <sz val="12"/>
        <color theme="1"/>
        <rFont val="新細明體"/>
        <family val="2"/>
        <scheme val="minor"/>
      </rPr>
      <t>歲以上</t>
    </r>
    <r>
      <rPr>
        <sz val="12"/>
        <rFont val="Times New Roman"/>
        <family val="1"/>
      </rPr>
      <t>13</t>
    </r>
    <r>
      <rPr>
        <sz val="12"/>
        <color theme="1"/>
        <rFont val="新細明體"/>
        <family val="2"/>
        <scheme val="minor"/>
      </rPr>
      <t>歲未滿</t>
    </r>
    <phoneticPr fontId="72" type="noConversion"/>
  </si>
  <si>
    <r>
      <t>13</t>
    </r>
    <r>
      <rPr>
        <sz val="12"/>
        <color theme="1"/>
        <rFont val="新細明體"/>
        <family val="2"/>
        <scheme val="minor"/>
      </rPr>
      <t>歲以上</t>
    </r>
    <r>
      <rPr>
        <sz val="12"/>
        <rFont val="Times New Roman"/>
        <family val="1"/>
      </rPr>
      <t>14</t>
    </r>
    <r>
      <rPr>
        <sz val="12"/>
        <color theme="1"/>
        <rFont val="新細明體"/>
        <family val="2"/>
        <scheme val="minor"/>
      </rPr>
      <t>歲未滿</t>
    </r>
    <phoneticPr fontId="72" type="noConversion"/>
  </si>
  <si>
    <r>
      <t>14</t>
    </r>
    <r>
      <rPr>
        <sz val="12"/>
        <color theme="1"/>
        <rFont val="新細明體"/>
        <family val="2"/>
        <scheme val="minor"/>
      </rPr>
      <t>歲以上</t>
    </r>
    <r>
      <rPr>
        <sz val="12"/>
        <rFont val="Times New Roman"/>
        <family val="1"/>
      </rPr>
      <t>15</t>
    </r>
    <r>
      <rPr>
        <sz val="12"/>
        <color theme="1"/>
        <rFont val="新細明體"/>
        <family val="2"/>
        <scheme val="minor"/>
      </rPr>
      <t>歲未滿</t>
    </r>
    <phoneticPr fontId="72" type="noConversion"/>
  </si>
  <si>
    <r>
      <t>15</t>
    </r>
    <r>
      <rPr>
        <sz val="12"/>
        <color theme="1"/>
        <rFont val="新細明體"/>
        <family val="2"/>
        <scheme val="minor"/>
      </rPr>
      <t>歲以上</t>
    </r>
    <r>
      <rPr>
        <sz val="12"/>
        <rFont val="Times New Roman"/>
        <family val="1"/>
      </rPr>
      <t>16</t>
    </r>
    <r>
      <rPr>
        <sz val="12"/>
        <color theme="1"/>
        <rFont val="新細明體"/>
        <family val="2"/>
        <scheme val="minor"/>
      </rPr>
      <t>歲未滿</t>
    </r>
    <phoneticPr fontId="72" type="noConversion"/>
  </si>
  <si>
    <r>
      <t>16</t>
    </r>
    <r>
      <rPr>
        <sz val="12"/>
        <color theme="1"/>
        <rFont val="新細明體"/>
        <family val="2"/>
        <scheme val="minor"/>
      </rPr>
      <t>歲以上</t>
    </r>
    <r>
      <rPr>
        <sz val="12"/>
        <rFont val="Times New Roman"/>
        <family val="1"/>
      </rPr>
      <t>17</t>
    </r>
    <r>
      <rPr>
        <sz val="12"/>
        <color theme="1"/>
        <rFont val="新細明體"/>
        <family val="2"/>
        <scheme val="minor"/>
      </rPr>
      <t>歲未滿</t>
    </r>
    <phoneticPr fontId="72" type="noConversion"/>
  </si>
  <si>
    <r>
      <t>17</t>
    </r>
    <r>
      <rPr>
        <sz val="12"/>
        <color theme="1"/>
        <rFont val="新細明體"/>
        <family val="2"/>
        <scheme val="minor"/>
      </rPr>
      <t>歲以上</t>
    </r>
    <r>
      <rPr>
        <sz val="12"/>
        <rFont val="Times New Roman"/>
        <family val="1"/>
      </rPr>
      <t>18</t>
    </r>
    <r>
      <rPr>
        <sz val="12"/>
        <color theme="1"/>
        <rFont val="新細明體"/>
        <family val="2"/>
        <scheme val="minor"/>
      </rPr>
      <t>歲未滿</t>
    </r>
    <phoneticPr fontId="72" type="noConversion"/>
  </si>
  <si>
    <r>
      <t>104</t>
    </r>
    <r>
      <rPr>
        <sz val="12"/>
        <color theme="1"/>
        <rFont val="新細明體"/>
        <family val="2"/>
        <scheme val="minor"/>
      </rPr>
      <t>年</t>
    </r>
    <phoneticPr fontId="72" type="noConversion"/>
  </si>
  <si>
    <t>%</t>
    <phoneticPr fontId="72" type="noConversion"/>
  </si>
  <si>
    <t>%</t>
    <phoneticPr fontId="72" type="noConversion"/>
  </si>
  <si>
    <r>
      <rPr>
        <sz val="12"/>
        <color theme="1"/>
        <rFont val="新細明體"/>
        <family val="2"/>
        <scheme val="minor"/>
      </rPr>
      <t>總計</t>
    </r>
    <phoneticPr fontId="72" type="noConversion"/>
  </si>
  <si>
    <r>
      <rPr>
        <sz val="12"/>
        <color theme="1"/>
        <rFont val="新細明體"/>
        <family val="2"/>
        <scheme val="minor"/>
      </rPr>
      <t>男</t>
    </r>
    <phoneticPr fontId="72" type="noConversion"/>
  </si>
  <si>
    <r>
      <t>12</t>
    </r>
    <r>
      <rPr>
        <sz val="12"/>
        <color theme="1"/>
        <rFont val="新細明體"/>
        <family val="2"/>
        <scheme val="minor"/>
      </rPr>
      <t>歲未滿</t>
    </r>
    <phoneticPr fontId="72" type="noConversion"/>
  </si>
  <si>
    <r>
      <t>13</t>
    </r>
    <r>
      <rPr>
        <sz val="12"/>
        <color theme="1"/>
        <rFont val="新細明體"/>
        <family val="2"/>
        <scheme val="minor"/>
      </rPr>
      <t>歲以上</t>
    </r>
    <r>
      <rPr>
        <sz val="12"/>
        <rFont val="Times New Roman"/>
        <family val="1"/>
      </rPr>
      <t>14</t>
    </r>
    <r>
      <rPr>
        <sz val="12"/>
        <color theme="1"/>
        <rFont val="新細明體"/>
        <family val="2"/>
        <scheme val="minor"/>
      </rPr>
      <t>歲未滿</t>
    </r>
    <phoneticPr fontId="72" type="noConversion"/>
  </si>
  <si>
    <r>
      <t>14</t>
    </r>
    <r>
      <rPr>
        <sz val="12"/>
        <color theme="1"/>
        <rFont val="新細明體"/>
        <family val="2"/>
        <scheme val="minor"/>
      </rPr>
      <t>歲以上</t>
    </r>
    <r>
      <rPr>
        <sz val="12"/>
        <rFont val="Times New Roman"/>
        <family val="1"/>
      </rPr>
      <t>15</t>
    </r>
    <r>
      <rPr>
        <sz val="12"/>
        <color theme="1"/>
        <rFont val="新細明體"/>
        <family val="2"/>
        <scheme val="minor"/>
      </rPr>
      <t>歲未滿</t>
    </r>
    <phoneticPr fontId="72" type="noConversion"/>
  </si>
  <si>
    <r>
      <t>15</t>
    </r>
    <r>
      <rPr>
        <sz val="12"/>
        <color theme="1"/>
        <rFont val="新細明體"/>
        <family val="2"/>
        <scheme val="minor"/>
      </rPr>
      <t>歲以上</t>
    </r>
    <r>
      <rPr>
        <sz val="12"/>
        <rFont val="Times New Roman"/>
        <family val="1"/>
      </rPr>
      <t>16</t>
    </r>
    <r>
      <rPr>
        <sz val="12"/>
        <color theme="1"/>
        <rFont val="新細明體"/>
        <family val="2"/>
        <scheme val="minor"/>
      </rPr>
      <t>歲未滿</t>
    </r>
    <phoneticPr fontId="72" type="noConversion"/>
  </si>
  <si>
    <r>
      <t>16</t>
    </r>
    <r>
      <rPr>
        <sz val="12"/>
        <color theme="1"/>
        <rFont val="新細明體"/>
        <family val="2"/>
        <scheme val="minor"/>
      </rPr>
      <t>歲以上</t>
    </r>
    <r>
      <rPr>
        <sz val="12"/>
        <rFont val="Times New Roman"/>
        <family val="1"/>
      </rPr>
      <t>17</t>
    </r>
    <r>
      <rPr>
        <sz val="12"/>
        <color theme="1"/>
        <rFont val="新細明體"/>
        <family val="2"/>
        <scheme val="minor"/>
      </rPr>
      <t>歲未滿</t>
    </r>
    <phoneticPr fontId="72" type="noConversion"/>
  </si>
  <si>
    <r>
      <t>17</t>
    </r>
    <r>
      <rPr>
        <sz val="12"/>
        <color theme="1"/>
        <rFont val="新細明體"/>
        <family val="2"/>
        <scheme val="minor"/>
      </rPr>
      <t>歲以上</t>
    </r>
    <r>
      <rPr>
        <sz val="12"/>
        <rFont val="Times New Roman"/>
        <family val="1"/>
      </rPr>
      <t>18</t>
    </r>
    <r>
      <rPr>
        <sz val="12"/>
        <color theme="1"/>
        <rFont val="新細明體"/>
        <family val="2"/>
        <scheme val="minor"/>
      </rPr>
      <t>歲未滿</t>
    </r>
    <phoneticPr fontId="72" type="noConversion"/>
  </si>
  <si>
    <r>
      <rPr>
        <sz val="10"/>
        <rFont val="新細明體"/>
        <family val="1"/>
        <charset val="136"/>
      </rPr>
      <t>資料來源：司法院</t>
    </r>
    <r>
      <rPr>
        <sz val="10"/>
        <rFont val="Times New Roman"/>
        <family val="1"/>
      </rPr>
      <t>(</t>
    </r>
    <r>
      <rPr>
        <sz val="10"/>
        <rFont val="新細明體"/>
        <family val="1"/>
        <charset val="136"/>
      </rPr>
      <t>表</t>
    </r>
    <r>
      <rPr>
        <sz val="10"/>
        <rFont val="Times New Roman"/>
        <family val="1"/>
      </rPr>
      <t>10914-03-04-05)</t>
    </r>
    <r>
      <rPr>
        <sz val="10"/>
        <rFont val="新細明體"/>
        <family val="1"/>
        <charset val="136"/>
      </rPr>
      <t>。</t>
    </r>
    <phoneticPr fontId="72" type="noConversion"/>
  </si>
  <si>
    <r>
      <rPr>
        <sz val="10"/>
        <rFont val="新細明體"/>
        <family val="1"/>
        <charset val="136"/>
      </rPr>
      <t>說</t>
    </r>
    <r>
      <rPr>
        <sz val="10"/>
        <rFont val="Times New Roman"/>
        <family val="1"/>
      </rPr>
      <t xml:space="preserve">         </t>
    </r>
    <r>
      <rPr>
        <sz val="10"/>
        <rFont val="新細明體"/>
        <family val="1"/>
        <charset val="136"/>
      </rPr>
      <t>明：本表不包含未經個案調查人數及虞犯</t>
    </r>
    <r>
      <rPr>
        <sz val="10"/>
        <rFont val="Times New Roman"/>
        <family val="1"/>
      </rPr>
      <t>/</t>
    </r>
    <r>
      <rPr>
        <sz val="10"/>
        <rFont val="新細明體"/>
        <family val="1"/>
        <charset val="136"/>
      </rPr>
      <t>曝險少年。</t>
    </r>
    <phoneticPr fontId="72" type="noConversion"/>
  </si>
  <si>
    <t xml:space="preserve">                    </t>
    <phoneticPr fontId="72" type="noConversion"/>
  </si>
  <si>
    <r>
      <rPr>
        <sz val="16"/>
        <rFont val="新細明體"/>
        <family val="1"/>
        <charset val="136"/>
      </rPr>
      <t>表</t>
    </r>
    <r>
      <rPr>
        <sz val="16"/>
        <rFont val="Times New Roman"/>
        <family val="1"/>
      </rPr>
      <t>3-2-7</t>
    </r>
    <r>
      <rPr>
        <sz val="16"/>
        <rFont val="新細明體"/>
        <family val="1"/>
        <charset val="136"/>
      </rPr>
      <t>　</t>
    </r>
    <r>
      <rPr>
        <sz val="16"/>
        <rFont val="Times New Roman"/>
        <family val="1"/>
      </rPr>
      <t>108</t>
    </r>
    <r>
      <rPr>
        <sz val="16"/>
        <rFont val="新細明體"/>
        <family val="1"/>
        <charset val="136"/>
      </rPr>
      <t>年少年交付保護處分年齡與罪名的關係</t>
    </r>
    <r>
      <rPr>
        <sz val="16"/>
        <rFont val="Times New Roman"/>
        <family val="1"/>
      </rPr>
      <t xml:space="preserve"> </t>
    </r>
    <phoneticPr fontId="44" type="noConversion"/>
  </si>
  <si>
    <r>
      <rPr>
        <sz val="12"/>
        <color theme="1"/>
        <rFont val="新細明體"/>
        <family val="2"/>
        <scheme val="minor"/>
      </rPr>
      <t>合</t>
    </r>
    <r>
      <rPr>
        <sz val="12"/>
        <rFont val="Times New Roman"/>
        <family val="1"/>
      </rPr>
      <t xml:space="preserve"> </t>
    </r>
    <r>
      <rPr>
        <sz val="12"/>
        <color theme="1"/>
        <rFont val="新細明體"/>
        <family val="2"/>
        <scheme val="minor"/>
      </rPr>
      <t>計</t>
    </r>
    <phoneticPr fontId="72" type="noConversion"/>
  </si>
  <si>
    <t>12歲未滿</t>
    <phoneticPr fontId="44" type="noConversion"/>
  </si>
  <si>
    <r>
      <t>12</t>
    </r>
    <r>
      <rPr>
        <sz val="12"/>
        <color theme="1"/>
        <rFont val="新細明體"/>
        <family val="2"/>
        <scheme val="minor"/>
      </rPr>
      <t>歲以上</t>
    </r>
    <r>
      <rPr>
        <sz val="12"/>
        <rFont val="Times New Roman"/>
        <family val="1"/>
      </rPr>
      <t>13</t>
    </r>
    <r>
      <rPr>
        <sz val="12"/>
        <color theme="1"/>
        <rFont val="新細明體"/>
        <family val="2"/>
        <scheme val="minor"/>
      </rPr>
      <t>歲未滿</t>
    </r>
    <phoneticPr fontId="44" type="noConversion"/>
  </si>
  <si>
    <r>
      <t>13</t>
    </r>
    <r>
      <rPr>
        <sz val="12"/>
        <color theme="1"/>
        <rFont val="新細明體"/>
        <family val="2"/>
        <scheme val="minor"/>
      </rPr>
      <t>歲以上</t>
    </r>
    <r>
      <rPr>
        <sz val="12"/>
        <rFont val="Times New Roman"/>
        <family val="1"/>
      </rPr>
      <t>14</t>
    </r>
    <r>
      <rPr>
        <sz val="12"/>
        <color theme="1"/>
        <rFont val="新細明體"/>
        <family val="2"/>
        <scheme val="minor"/>
      </rPr>
      <t>歲未滿</t>
    </r>
    <phoneticPr fontId="72" type="noConversion"/>
  </si>
  <si>
    <r>
      <t>14</t>
    </r>
    <r>
      <rPr>
        <sz val="12"/>
        <color theme="1"/>
        <rFont val="新細明體"/>
        <family val="2"/>
        <scheme val="minor"/>
      </rPr>
      <t>歲以上</t>
    </r>
    <r>
      <rPr>
        <sz val="12"/>
        <rFont val="Times New Roman"/>
        <family val="1"/>
      </rPr>
      <t>15</t>
    </r>
    <r>
      <rPr>
        <sz val="12"/>
        <color theme="1"/>
        <rFont val="新細明體"/>
        <family val="2"/>
        <scheme val="minor"/>
      </rPr>
      <t>歲未滿</t>
    </r>
    <phoneticPr fontId="72" type="noConversion"/>
  </si>
  <si>
    <r>
      <rPr>
        <sz val="12"/>
        <color theme="1"/>
        <rFont val="新細明體"/>
        <family val="2"/>
        <scheme val="minor"/>
      </rPr>
      <t>傷害罪</t>
    </r>
  </si>
  <si>
    <r>
      <rPr>
        <sz val="12"/>
        <color theme="1"/>
        <rFont val="新細明體"/>
        <family val="2"/>
        <scheme val="minor"/>
      </rPr>
      <t>竊盜罪</t>
    </r>
  </si>
  <si>
    <r>
      <rPr>
        <sz val="12"/>
        <color theme="1"/>
        <rFont val="新細明體"/>
        <family val="2"/>
        <scheme val="minor"/>
      </rPr>
      <t>詐欺罪</t>
    </r>
  </si>
  <si>
    <r>
      <rPr>
        <sz val="12"/>
        <color theme="1"/>
        <rFont val="新細明體"/>
        <family val="2"/>
        <scheme val="minor"/>
      </rPr>
      <t>妨害性自主罪</t>
    </r>
  </si>
  <si>
    <r>
      <rPr>
        <sz val="12"/>
        <color theme="1"/>
        <rFont val="新細明體"/>
        <family val="2"/>
        <scheme val="minor"/>
      </rPr>
      <t>公共危險罪</t>
    </r>
  </si>
  <si>
    <r>
      <rPr>
        <sz val="12"/>
        <color theme="1"/>
        <rFont val="新細明體"/>
        <family val="2"/>
        <scheme val="minor"/>
      </rPr>
      <t>妨害自由罪</t>
    </r>
  </si>
  <si>
    <t>毒品危害妨制條例</t>
  </si>
  <si>
    <t>-</t>
    <phoneticPr fontId="44" type="noConversion"/>
  </si>
  <si>
    <r>
      <rPr>
        <sz val="12"/>
        <color theme="1"/>
        <rFont val="新細明體"/>
        <family val="2"/>
        <scheme val="minor"/>
      </rPr>
      <t>毀棄損壞罪</t>
    </r>
  </si>
  <si>
    <r>
      <rPr>
        <sz val="12"/>
        <color theme="1"/>
        <rFont val="新細明體"/>
        <family val="2"/>
        <scheme val="minor"/>
      </rPr>
      <t>兒少性剝削防制條例</t>
    </r>
    <phoneticPr fontId="44" type="noConversion"/>
  </si>
  <si>
    <r>
      <rPr>
        <sz val="12"/>
        <color theme="1"/>
        <rFont val="新細明體"/>
        <family val="2"/>
        <scheme val="minor"/>
      </rPr>
      <t>恐嚇罪</t>
    </r>
  </si>
  <si>
    <r>
      <rPr>
        <sz val="12"/>
        <color theme="1"/>
        <rFont val="新細明體"/>
        <family val="2"/>
        <scheme val="minor"/>
      </rPr>
      <t>妨害名譽及信用罪</t>
    </r>
  </si>
  <si>
    <r>
      <rPr>
        <sz val="12"/>
        <color theme="1"/>
        <rFont val="新細明體"/>
        <family val="2"/>
        <scheme val="minor"/>
      </rPr>
      <t>偽造文書印文罪</t>
    </r>
  </si>
  <si>
    <r>
      <rPr>
        <sz val="12"/>
        <color theme="1"/>
        <rFont val="新細明體"/>
        <family val="2"/>
        <scheme val="minor"/>
      </rPr>
      <t>侵占罪</t>
    </r>
  </si>
  <si>
    <r>
      <rPr>
        <sz val="12"/>
        <color theme="1"/>
        <rFont val="新細明體"/>
        <family val="2"/>
        <scheme val="minor"/>
      </rPr>
      <t>殺人罪</t>
    </r>
  </si>
  <si>
    <t>-</t>
    <phoneticPr fontId="44" type="noConversion"/>
  </si>
  <si>
    <r>
      <rPr>
        <sz val="12"/>
        <color theme="1"/>
        <rFont val="新細明體"/>
        <family val="2"/>
        <scheme val="minor"/>
      </rPr>
      <t>賭博罪</t>
    </r>
  </si>
  <si>
    <r>
      <rPr>
        <sz val="12"/>
        <color theme="1"/>
        <rFont val="新細明體"/>
        <family val="2"/>
        <scheme val="minor"/>
      </rPr>
      <t>贓物罪</t>
    </r>
  </si>
  <si>
    <r>
      <rPr>
        <sz val="12"/>
        <color theme="1"/>
        <rFont val="新細明體"/>
        <family val="2"/>
        <scheme val="minor"/>
      </rPr>
      <t>妨害秘密罪</t>
    </r>
  </si>
  <si>
    <r>
      <rPr>
        <sz val="12"/>
        <color theme="1"/>
        <rFont val="新細明體"/>
        <family val="2"/>
        <scheme val="minor"/>
      </rPr>
      <t>妨害公務罪</t>
    </r>
  </si>
  <si>
    <r>
      <rPr>
        <sz val="12"/>
        <color theme="1"/>
        <rFont val="新細明體"/>
        <family val="2"/>
        <scheme val="minor"/>
      </rPr>
      <t>妨害秩序罪</t>
    </r>
  </si>
  <si>
    <t>藥事法</t>
  </si>
  <si>
    <r>
      <rPr>
        <sz val="12"/>
        <color theme="1"/>
        <rFont val="新細明體"/>
        <family val="2"/>
        <scheme val="minor"/>
      </rPr>
      <t>槍砲彈藥刀械管制條例</t>
    </r>
    <phoneticPr fontId="44" type="noConversion"/>
  </si>
  <si>
    <r>
      <rPr>
        <sz val="12"/>
        <color theme="1"/>
        <rFont val="新細明體"/>
        <family val="2"/>
        <scheme val="minor"/>
      </rPr>
      <t>組織犯罪防制條例</t>
    </r>
  </si>
  <si>
    <r>
      <rPr>
        <sz val="12"/>
        <color theme="1"/>
        <rFont val="新細明體"/>
        <family val="2"/>
        <scheme val="minor"/>
      </rPr>
      <t>妨害電腦使用罪</t>
    </r>
  </si>
  <si>
    <r>
      <rPr>
        <sz val="12"/>
        <color theme="1"/>
        <rFont val="新細明體"/>
        <family val="2"/>
        <scheme val="minor"/>
      </rPr>
      <t>洗錢防制法</t>
    </r>
  </si>
  <si>
    <r>
      <rPr>
        <sz val="12"/>
        <color theme="1"/>
        <rFont val="新細明體"/>
        <family val="2"/>
        <scheme val="minor"/>
      </rPr>
      <t>搶奪及海盜罪</t>
    </r>
  </si>
  <si>
    <r>
      <rPr>
        <sz val="12"/>
        <color theme="1"/>
        <rFont val="新細明體"/>
        <family val="2"/>
        <scheme val="minor"/>
      </rPr>
      <t>妨害風化罪</t>
    </r>
  </si>
  <si>
    <r>
      <rPr>
        <sz val="12"/>
        <color theme="1"/>
        <rFont val="新細明體"/>
        <family val="2"/>
        <scheme val="minor"/>
      </rPr>
      <t>誣告罪</t>
    </r>
  </si>
  <si>
    <r>
      <rPr>
        <sz val="12"/>
        <color theme="1"/>
        <rFont val="新細明體"/>
        <family val="2"/>
        <scheme val="minor"/>
      </rPr>
      <t>妨害婚姻及家庭罪</t>
    </r>
  </si>
  <si>
    <t>商標法</t>
  </si>
  <si>
    <r>
      <rPr>
        <sz val="12"/>
        <color theme="1"/>
        <rFont val="新細明體"/>
        <family val="2"/>
        <scheme val="minor"/>
      </rPr>
      <t>藏匿人犯及湮滅證據罪</t>
    </r>
  </si>
  <si>
    <t>家庭暴力防治法</t>
  </si>
  <si>
    <r>
      <rPr>
        <sz val="12"/>
        <color theme="1"/>
        <rFont val="新細明體"/>
        <family val="2"/>
        <scheme val="minor"/>
      </rPr>
      <t>重利罪</t>
    </r>
  </si>
  <si>
    <r>
      <rPr>
        <sz val="12"/>
        <color theme="1"/>
        <rFont val="新細明體"/>
        <family val="2"/>
        <scheme val="minor"/>
      </rPr>
      <t>偽證罪</t>
    </r>
  </si>
  <si>
    <r>
      <rPr>
        <sz val="12"/>
        <color theme="1"/>
        <rFont val="新細明體"/>
        <family val="2"/>
        <scheme val="minor"/>
      </rPr>
      <t>強盜罪</t>
    </r>
  </si>
  <si>
    <t>著作權法</t>
  </si>
  <si>
    <t>戶籍法</t>
  </si>
  <si>
    <r>
      <rPr>
        <sz val="12"/>
        <color theme="1"/>
        <rFont val="新細明體"/>
        <family val="2"/>
        <scheme val="minor"/>
      </rPr>
      <t>偽造有價證券罪</t>
    </r>
  </si>
  <si>
    <r>
      <rPr>
        <sz val="12"/>
        <color theme="1"/>
        <rFont val="新細明體"/>
        <family val="2"/>
        <scheme val="minor"/>
      </rPr>
      <t>脫逃罪</t>
    </r>
  </si>
  <si>
    <t>森林法</t>
  </si>
  <si>
    <t>電信法</t>
  </si>
  <si>
    <t>選舉罷免法</t>
  </si>
  <si>
    <t>-</t>
    <phoneticPr fontId="44" type="noConversion"/>
  </si>
  <si>
    <r>
      <rPr>
        <sz val="10"/>
        <rFont val="新細明體"/>
        <family val="1"/>
        <charset val="136"/>
      </rPr>
      <t>資料來源：司法院</t>
    </r>
    <r>
      <rPr>
        <sz val="10"/>
        <rFont val="Times New Roman"/>
        <family val="1"/>
      </rPr>
      <t>(</t>
    </r>
    <r>
      <rPr>
        <sz val="10"/>
        <rFont val="新細明體"/>
        <family val="1"/>
        <charset val="136"/>
      </rPr>
      <t>表</t>
    </r>
    <r>
      <rPr>
        <sz val="10"/>
        <rFont val="Times New Roman"/>
        <family val="1"/>
      </rPr>
      <t>10914-03-04-05)</t>
    </r>
    <r>
      <rPr>
        <sz val="10"/>
        <rFont val="新細明體"/>
        <family val="1"/>
        <charset val="136"/>
      </rPr>
      <t>。</t>
    </r>
    <phoneticPr fontId="44" type="noConversion"/>
  </si>
  <si>
    <r>
      <rPr>
        <sz val="10"/>
        <rFont val="新細明體"/>
        <family val="1"/>
        <charset val="136"/>
      </rPr>
      <t>說　　明：</t>
    </r>
    <r>
      <rPr>
        <sz val="10"/>
        <rFont val="Times New Roman"/>
        <family val="1"/>
      </rPr>
      <t xml:space="preserve">1. </t>
    </r>
    <r>
      <rPr>
        <sz val="10"/>
        <rFont val="新細明體"/>
        <family val="1"/>
        <charset val="136"/>
      </rPr>
      <t>本表不包含未經個案調查人數及虞犯</t>
    </r>
    <r>
      <rPr>
        <sz val="10"/>
        <rFont val="Times New Roman"/>
        <family val="1"/>
      </rPr>
      <t>/</t>
    </r>
    <r>
      <rPr>
        <sz val="10"/>
        <rFont val="新細明體"/>
        <family val="1"/>
        <charset val="136"/>
      </rPr>
      <t>曝險少年。
　　　　　</t>
    </r>
    <r>
      <rPr>
        <sz val="10"/>
        <rFont val="Times New Roman"/>
        <family val="1"/>
      </rPr>
      <t xml:space="preserve">2. </t>
    </r>
    <r>
      <rPr>
        <sz val="10"/>
        <rFont val="新細明體"/>
        <family val="1"/>
        <charset val="136"/>
      </rPr>
      <t>被歸類為</t>
    </r>
    <r>
      <rPr>
        <sz val="10"/>
        <rFont val="Times New Roman"/>
        <family val="1"/>
      </rPr>
      <t>12</t>
    </r>
    <r>
      <rPr>
        <sz val="10"/>
        <rFont val="新細明體"/>
        <family val="1"/>
        <charset val="136"/>
      </rPr>
      <t>歲未滿的少年，係於移送時為</t>
    </r>
    <r>
      <rPr>
        <sz val="10"/>
        <rFont val="Times New Roman"/>
        <family val="1"/>
      </rPr>
      <t>12</t>
    </r>
    <r>
      <rPr>
        <sz val="10"/>
        <rFont val="新細明體"/>
        <family val="1"/>
        <charset val="136"/>
      </rPr>
      <t>歲以上，但在調查或審理階段時，始得知該少年觸法時未滿</t>
    </r>
    <r>
      <rPr>
        <sz val="10"/>
        <rFont val="Times New Roman"/>
        <family val="1"/>
      </rPr>
      <t>12</t>
    </r>
    <r>
      <rPr>
        <sz val="10"/>
        <rFont val="新細明體"/>
        <family val="1"/>
        <charset val="136"/>
      </rPr>
      <t>歲而言。</t>
    </r>
    <phoneticPr fontId="72" type="noConversion"/>
  </si>
  <si>
    <r>
      <rPr>
        <sz val="15"/>
        <rFont val="新細明體"/>
        <family val="1"/>
        <charset val="136"/>
      </rPr>
      <t>表</t>
    </r>
    <r>
      <rPr>
        <sz val="15"/>
        <rFont val="Times New Roman"/>
        <family val="1"/>
      </rPr>
      <t>3-2-8</t>
    </r>
    <r>
      <rPr>
        <sz val="15"/>
        <rFont val="新細明體"/>
        <family val="1"/>
        <charset val="136"/>
      </rPr>
      <t>　近</t>
    </r>
    <r>
      <rPr>
        <sz val="15"/>
        <rFont val="Times New Roman"/>
        <family val="1"/>
      </rPr>
      <t>10</t>
    </r>
    <r>
      <rPr>
        <sz val="15"/>
        <rFont val="新細明體"/>
        <family val="1"/>
        <charset val="136"/>
      </rPr>
      <t>年少年交付保護處分教育程度</t>
    </r>
    <phoneticPr fontId="72" type="noConversion"/>
  </si>
  <si>
    <r>
      <t>99</t>
    </r>
    <r>
      <rPr>
        <sz val="12"/>
        <color theme="1"/>
        <rFont val="新細明體"/>
        <family val="2"/>
        <scheme val="minor"/>
      </rPr>
      <t>年</t>
    </r>
    <phoneticPr fontId="72" type="noConversion"/>
  </si>
  <si>
    <r>
      <t>100</t>
    </r>
    <r>
      <rPr>
        <sz val="12"/>
        <color theme="1"/>
        <rFont val="新細明體"/>
        <family val="2"/>
        <scheme val="minor"/>
      </rPr>
      <t>年</t>
    </r>
    <phoneticPr fontId="72" type="noConversion"/>
  </si>
  <si>
    <r>
      <t>101</t>
    </r>
    <r>
      <rPr>
        <sz val="12"/>
        <color theme="1"/>
        <rFont val="新細明體"/>
        <family val="2"/>
        <scheme val="minor"/>
      </rPr>
      <t>年</t>
    </r>
    <phoneticPr fontId="72" type="noConversion"/>
  </si>
  <si>
    <r>
      <rPr>
        <sz val="12"/>
        <color theme="1"/>
        <rFont val="新細明體"/>
        <family val="2"/>
        <scheme val="minor"/>
      </rPr>
      <t>年</t>
    </r>
    <phoneticPr fontId="72" type="noConversion"/>
  </si>
  <si>
    <r>
      <t>102</t>
    </r>
    <r>
      <rPr>
        <sz val="12"/>
        <color theme="1"/>
        <rFont val="新細明體"/>
        <family val="2"/>
        <scheme val="minor"/>
      </rPr>
      <t>年</t>
    </r>
    <phoneticPr fontId="72" type="noConversion"/>
  </si>
  <si>
    <r>
      <t>103</t>
    </r>
    <r>
      <rPr>
        <sz val="12"/>
        <color theme="1"/>
        <rFont val="新細明體"/>
        <family val="2"/>
        <scheme val="minor"/>
      </rPr>
      <t>年</t>
    </r>
    <phoneticPr fontId="72" type="noConversion"/>
  </si>
  <si>
    <r>
      <rPr>
        <sz val="12"/>
        <color theme="1"/>
        <rFont val="新細明體"/>
        <family val="2"/>
        <scheme val="minor"/>
      </rPr>
      <t>人</t>
    </r>
    <phoneticPr fontId="72" type="noConversion"/>
  </si>
  <si>
    <t>%</t>
    <phoneticPr fontId="72" type="noConversion"/>
  </si>
  <si>
    <r>
      <rPr>
        <sz val="12"/>
        <color theme="1"/>
        <rFont val="新細明體"/>
        <family val="2"/>
        <scheme val="minor"/>
      </rPr>
      <t>人</t>
    </r>
    <phoneticPr fontId="72" type="noConversion"/>
  </si>
  <si>
    <r>
      <rPr>
        <sz val="12"/>
        <color theme="1"/>
        <rFont val="新細明體"/>
        <family val="2"/>
        <scheme val="minor"/>
      </rPr>
      <t>不識字</t>
    </r>
    <r>
      <rPr>
        <sz val="12"/>
        <rFont val="Times New Roman"/>
        <family val="1"/>
      </rPr>
      <t xml:space="preserve"> </t>
    </r>
    <phoneticPr fontId="72" type="noConversion"/>
  </si>
  <si>
    <t>-</t>
    <phoneticPr fontId="72" type="noConversion"/>
  </si>
  <si>
    <r>
      <rPr>
        <sz val="12"/>
        <color theme="1"/>
        <rFont val="新細明體"/>
        <family val="2"/>
        <scheme val="minor"/>
      </rPr>
      <t>國小畢業</t>
    </r>
    <phoneticPr fontId="72" type="noConversion"/>
  </si>
  <si>
    <r>
      <rPr>
        <sz val="12"/>
        <color theme="1"/>
        <rFont val="新細明體"/>
        <family val="2"/>
        <scheme val="minor"/>
      </rPr>
      <t>國小肄業</t>
    </r>
    <r>
      <rPr>
        <sz val="12"/>
        <rFont val="Times New Roman"/>
        <family val="1"/>
      </rPr>
      <t/>
    </r>
    <phoneticPr fontId="72" type="noConversion"/>
  </si>
  <si>
    <r>
      <rPr>
        <sz val="12"/>
        <color theme="1"/>
        <rFont val="新細明體"/>
        <family val="2"/>
        <scheme val="minor"/>
      </rPr>
      <t>國中畢業</t>
    </r>
    <phoneticPr fontId="72" type="noConversion"/>
  </si>
  <si>
    <r>
      <rPr>
        <sz val="12"/>
        <color theme="1"/>
        <rFont val="新細明體"/>
        <family val="2"/>
        <scheme val="minor"/>
      </rPr>
      <t>國中肄業</t>
    </r>
    <r>
      <rPr>
        <sz val="12"/>
        <rFont val="Times New Roman"/>
        <family val="1"/>
      </rPr>
      <t/>
    </r>
    <phoneticPr fontId="72" type="noConversion"/>
  </si>
  <si>
    <r>
      <rPr>
        <sz val="12"/>
        <color theme="1"/>
        <rFont val="新細明體"/>
        <family val="2"/>
        <scheme val="minor"/>
      </rPr>
      <t>高中畢業</t>
    </r>
    <phoneticPr fontId="72" type="noConversion"/>
  </si>
  <si>
    <r>
      <rPr>
        <sz val="12"/>
        <color theme="1"/>
        <rFont val="新細明體"/>
        <family val="2"/>
        <scheme val="minor"/>
      </rPr>
      <t>高中肄業</t>
    </r>
    <r>
      <rPr>
        <sz val="12"/>
        <rFont val="Times New Roman"/>
        <family val="1"/>
      </rPr>
      <t/>
    </r>
    <phoneticPr fontId="72" type="noConversion"/>
  </si>
  <si>
    <r>
      <rPr>
        <sz val="12"/>
        <color theme="1"/>
        <rFont val="新細明體"/>
        <family val="2"/>
        <scheme val="minor"/>
      </rPr>
      <t>大學</t>
    </r>
    <r>
      <rPr>
        <sz val="12"/>
        <rFont val="Times New Roman"/>
        <family val="1"/>
      </rPr>
      <t>(</t>
    </r>
    <r>
      <rPr>
        <sz val="12"/>
        <color theme="1"/>
        <rFont val="新細明體"/>
        <family val="2"/>
        <scheme val="minor"/>
      </rPr>
      <t>專</t>
    </r>
    <r>
      <rPr>
        <sz val="12"/>
        <rFont val="Times New Roman"/>
        <family val="1"/>
      </rPr>
      <t>)</t>
    </r>
    <r>
      <rPr>
        <sz val="12"/>
        <color theme="1"/>
        <rFont val="新細明體"/>
        <family val="2"/>
        <scheme val="minor"/>
      </rPr>
      <t>肄業</t>
    </r>
    <r>
      <rPr>
        <sz val="12"/>
        <rFont val="Times New Roman"/>
        <family val="1"/>
      </rPr>
      <t/>
    </r>
    <phoneticPr fontId="72" type="noConversion"/>
  </si>
  <si>
    <r>
      <rPr>
        <sz val="12"/>
        <color theme="1"/>
        <rFont val="新細明體"/>
        <family val="2"/>
        <scheme val="minor"/>
      </rPr>
      <t>自修</t>
    </r>
    <phoneticPr fontId="72" type="noConversion"/>
  </si>
  <si>
    <t>-</t>
    <phoneticPr fontId="72" type="noConversion"/>
  </si>
  <si>
    <r>
      <t>104</t>
    </r>
    <r>
      <rPr>
        <sz val="12"/>
        <color theme="1"/>
        <rFont val="新細明體"/>
        <family val="2"/>
        <scheme val="minor"/>
      </rPr>
      <t>年</t>
    </r>
    <phoneticPr fontId="72" type="noConversion"/>
  </si>
  <si>
    <r>
      <t>105</t>
    </r>
    <r>
      <rPr>
        <sz val="12"/>
        <color theme="1"/>
        <rFont val="新細明體"/>
        <family val="2"/>
        <scheme val="minor"/>
      </rPr>
      <t>年</t>
    </r>
    <phoneticPr fontId="72" type="noConversion"/>
  </si>
  <si>
    <r>
      <t>106</t>
    </r>
    <r>
      <rPr>
        <sz val="12"/>
        <color theme="1"/>
        <rFont val="新細明體"/>
        <family val="2"/>
        <scheme val="minor"/>
      </rPr>
      <t>年</t>
    </r>
    <phoneticPr fontId="72" type="noConversion"/>
  </si>
  <si>
    <r>
      <t>107</t>
    </r>
    <r>
      <rPr>
        <sz val="12"/>
        <color theme="1"/>
        <rFont val="新細明體"/>
        <family val="2"/>
        <scheme val="minor"/>
      </rPr>
      <t>年</t>
    </r>
    <phoneticPr fontId="72" type="noConversion"/>
  </si>
  <si>
    <r>
      <t>108</t>
    </r>
    <r>
      <rPr>
        <sz val="12"/>
        <color theme="1"/>
        <rFont val="新細明體"/>
        <family val="2"/>
        <scheme val="minor"/>
      </rPr>
      <t>年</t>
    </r>
    <phoneticPr fontId="72" type="noConversion"/>
  </si>
  <si>
    <t>%</t>
    <phoneticPr fontId="72" type="noConversion"/>
  </si>
  <si>
    <r>
      <rPr>
        <sz val="12"/>
        <color theme="1"/>
        <rFont val="新細明體"/>
        <family val="2"/>
        <scheme val="minor"/>
      </rPr>
      <t>人</t>
    </r>
    <phoneticPr fontId="72" type="noConversion"/>
  </si>
  <si>
    <r>
      <rPr>
        <sz val="12"/>
        <color theme="1"/>
        <rFont val="新細明體"/>
        <family val="2"/>
        <scheme val="minor"/>
      </rPr>
      <t>國小肄業</t>
    </r>
    <r>
      <rPr>
        <sz val="12"/>
        <rFont val="Times New Roman"/>
        <family val="1"/>
      </rPr>
      <t/>
    </r>
    <phoneticPr fontId="72" type="noConversion"/>
  </si>
  <si>
    <r>
      <rPr>
        <sz val="12"/>
        <color theme="1"/>
        <rFont val="新細明體"/>
        <family val="2"/>
        <scheme val="minor"/>
      </rPr>
      <t>國中畢業</t>
    </r>
    <phoneticPr fontId="72" type="noConversion"/>
  </si>
  <si>
    <r>
      <rPr>
        <sz val="12"/>
        <color theme="1"/>
        <rFont val="新細明體"/>
        <family val="2"/>
        <scheme val="minor"/>
      </rPr>
      <t>國中肄業</t>
    </r>
    <r>
      <rPr>
        <sz val="12"/>
        <rFont val="Times New Roman"/>
        <family val="1"/>
      </rPr>
      <t/>
    </r>
    <phoneticPr fontId="72" type="noConversion"/>
  </si>
  <si>
    <r>
      <rPr>
        <sz val="12"/>
        <color theme="1"/>
        <rFont val="新細明體"/>
        <family val="2"/>
        <scheme val="minor"/>
      </rPr>
      <t>高中畢業</t>
    </r>
    <phoneticPr fontId="72" type="noConversion"/>
  </si>
  <si>
    <r>
      <rPr>
        <sz val="12"/>
        <color theme="1"/>
        <rFont val="新細明體"/>
        <family val="2"/>
        <scheme val="minor"/>
      </rPr>
      <t>高中肄業</t>
    </r>
    <r>
      <rPr>
        <sz val="12"/>
        <rFont val="Times New Roman"/>
        <family val="1"/>
      </rPr>
      <t/>
    </r>
    <phoneticPr fontId="72" type="noConversion"/>
  </si>
  <si>
    <r>
      <rPr>
        <sz val="12"/>
        <color theme="1"/>
        <rFont val="新細明體"/>
        <family val="2"/>
        <scheme val="minor"/>
      </rPr>
      <t>大學</t>
    </r>
    <r>
      <rPr>
        <sz val="12"/>
        <rFont val="Times New Roman"/>
        <family val="1"/>
      </rPr>
      <t>(</t>
    </r>
    <r>
      <rPr>
        <sz val="12"/>
        <color theme="1"/>
        <rFont val="新細明體"/>
        <family val="2"/>
        <scheme val="minor"/>
      </rPr>
      <t>專</t>
    </r>
    <r>
      <rPr>
        <sz val="12"/>
        <rFont val="Times New Roman"/>
        <family val="1"/>
      </rPr>
      <t>)</t>
    </r>
    <r>
      <rPr>
        <sz val="12"/>
        <color theme="1"/>
        <rFont val="新細明體"/>
        <family val="2"/>
        <scheme val="minor"/>
      </rPr>
      <t>肄業</t>
    </r>
    <r>
      <rPr>
        <sz val="12"/>
        <rFont val="Times New Roman"/>
        <family val="1"/>
      </rPr>
      <t/>
    </r>
    <phoneticPr fontId="72" type="noConversion"/>
  </si>
  <si>
    <r>
      <rPr>
        <sz val="12"/>
        <color theme="1"/>
        <rFont val="新細明體"/>
        <family val="2"/>
        <scheme val="minor"/>
      </rPr>
      <t>自修</t>
    </r>
    <phoneticPr fontId="72" type="noConversion"/>
  </si>
  <si>
    <r>
      <rPr>
        <sz val="10"/>
        <rFont val="新細明體"/>
        <family val="1"/>
        <charset val="136"/>
      </rPr>
      <t>資料來源：司法院</t>
    </r>
    <r>
      <rPr>
        <sz val="10"/>
        <rFont val="Times New Roman"/>
        <family val="1"/>
      </rPr>
      <t>(</t>
    </r>
    <r>
      <rPr>
        <sz val="10"/>
        <rFont val="新細明體"/>
        <family val="1"/>
        <charset val="136"/>
      </rPr>
      <t>表</t>
    </r>
    <r>
      <rPr>
        <sz val="10"/>
        <rFont val="Times New Roman"/>
        <family val="1"/>
      </rPr>
      <t xml:space="preserve">10914-03-05-05) </t>
    </r>
    <r>
      <rPr>
        <sz val="10"/>
        <rFont val="新細明體"/>
        <family val="1"/>
        <charset val="136"/>
      </rPr>
      <t>。</t>
    </r>
    <phoneticPr fontId="72" type="noConversion"/>
  </si>
  <si>
    <r>
      <rPr>
        <sz val="10"/>
        <rFont val="新細明體"/>
        <family val="1"/>
        <charset val="136"/>
      </rPr>
      <t>說　　明：</t>
    </r>
    <r>
      <rPr>
        <sz val="10"/>
        <rFont val="Times New Roman"/>
        <family val="1"/>
      </rPr>
      <t xml:space="preserve">1. </t>
    </r>
    <r>
      <rPr>
        <sz val="10"/>
        <rFont val="新細明體"/>
        <family val="1"/>
        <charset val="136"/>
      </rPr>
      <t>本表不包含未經個案調查人數及虞犯</t>
    </r>
    <r>
      <rPr>
        <sz val="10"/>
        <rFont val="Times New Roman"/>
        <family val="1"/>
      </rPr>
      <t>/</t>
    </r>
    <r>
      <rPr>
        <sz val="10"/>
        <rFont val="新細明體"/>
        <family val="1"/>
        <charset val="136"/>
      </rPr>
      <t>曝險少年。
　　　　　</t>
    </r>
    <r>
      <rPr>
        <sz val="10"/>
        <rFont val="Times New Roman"/>
        <family val="1"/>
      </rPr>
      <t xml:space="preserve">2. </t>
    </r>
    <r>
      <rPr>
        <sz val="10"/>
        <rFont val="新細明體"/>
        <family val="1"/>
        <charset val="136"/>
      </rPr>
      <t>肄業含在校及離校。</t>
    </r>
    <phoneticPr fontId="72" type="noConversion"/>
  </si>
  <si>
    <r>
      <rPr>
        <sz val="10"/>
        <rFont val="新細明體"/>
        <family val="1"/>
        <charset val="136"/>
      </rPr>
      <t>　　　　　</t>
    </r>
    <r>
      <rPr>
        <sz val="10"/>
        <rFont val="Times New Roman"/>
        <family val="1"/>
      </rPr>
      <t/>
    </r>
    <phoneticPr fontId="44" type="noConversion"/>
  </si>
  <si>
    <r>
      <rPr>
        <sz val="15"/>
        <rFont val="新細明體"/>
        <family val="1"/>
        <charset val="136"/>
      </rPr>
      <t>表</t>
    </r>
    <r>
      <rPr>
        <sz val="15"/>
        <rFont val="Times New Roman"/>
        <family val="1"/>
      </rPr>
      <t>3-2-9</t>
    </r>
    <r>
      <rPr>
        <sz val="15"/>
        <rFont val="新細明體"/>
        <family val="1"/>
        <charset val="136"/>
      </rPr>
      <t>　近</t>
    </r>
    <r>
      <rPr>
        <sz val="15"/>
        <rFont val="Times New Roman"/>
        <family val="1"/>
      </rPr>
      <t>10</t>
    </r>
    <r>
      <rPr>
        <sz val="15"/>
        <rFont val="新細明體"/>
        <family val="1"/>
        <charset val="136"/>
      </rPr>
      <t>年少年交付保護處分就業情形</t>
    </r>
    <phoneticPr fontId="72" type="noConversion"/>
  </si>
  <si>
    <r>
      <t>102</t>
    </r>
    <r>
      <rPr>
        <sz val="12"/>
        <color theme="1"/>
        <rFont val="新細明體"/>
        <family val="2"/>
        <scheme val="minor"/>
      </rPr>
      <t>年</t>
    </r>
    <phoneticPr fontId="72" type="noConversion"/>
  </si>
  <si>
    <r>
      <rPr>
        <sz val="12"/>
        <color theme="1"/>
        <rFont val="新細明體"/>
        <family val="2"/>
        <scheme val="minor"/>
      </rPr>
      <t>人數</t>
    </r>
    <phoneticPr fontId="72" type="noConversion"/>
  </si>
  <si>
    <r>
      <rPr>
        <sz val="12"/>
        <color theme="1"/>
        <rFont val="新細明體"/>
        <family val="2"/>
        <scheme val="minor"/>
      </rPr>
      <t>百分比</t>
    </r>
    <phoneticPr fontId="72" type="noConversion"/>
  </si>
  <si>
    <r>
      <rPr>
        <sz val="12"/>
        <color theme="1"/>
        <rFont val="新細明體"/>
        <family val="2"/>
        <scheme val="minor"/>
      </rPr>
      <t>人數</t>
    </r>
    <phoneticPr fontId="72" type="noConversion"/>
  </si>
  <si>
    <r>
      <rPr>
        <sz val="12"/>
        <color theme="1"/>
        <rFont val="新細明體"/>
        <family val="2"/>
        <scheme val="minor"/>
      </rPr>
      <t>百分比</t>
    </r>
    <phoneticPr fontId="72" type="noConversion"/>
  </si>
  <si>
    <r>
      <rPr>
        <sz val="12"/>
        <color theme="1"/>
        <rFont val="新細明體"/>
        <family val="2"/>
        <scheme val="minor"/>
      </rPr>
      <t>總計</t>
    </r>
    <phoneticPr fontId="72" type="noConversion"/>
  </si>
  <si>
    <r>
      <rPr>
        <sz val="12"/>
        <color theme="1"/>
        <rFont val="新細明體"/>
        <family val="2"/>
        <scheme val="minor"/>
      </rPr>
      <t>男性</t>
    </r>
    <phoneticPr fontId="72" type="noConversion"/>
  </si>
  <si>
    <r>
      <rPr>
        <sz val="12"/>
        <color theme="1"/>
        <rFont val="新細明體"/>
        <family val="2"/>
        <scheme val="minor"/>
      </rPr>
      <t>女性</t>
    </r>
    <phoneticPr fontId="72" type="noConversion"/>
  </si>
  <si>
    <r>
      <rPr>
        <sz val="12"/>
        <color theme="1"/>
        <rFont val="新細明體"/>
        <family val="2"/>
        <scheme val="minor"/>
      </rPr>
      <t>男性</t>
    </r>
    <phoneticPr fontId="72" type="noConversion"/>
  </si>
  <si>
    <r>
      <rPr>
        <sz val="12"/>
        <color theme="1"/>
        <rFont val="新細明體"/>
        <family val="2"/>
        <scheme val="minor"/>
      </rPr>
      <t>女性</t>
    </r>
    <phoneticPr fontId="72" type="noConversion"/>
  </si>
  <si>
    <r>
      <rPr>
        <sz val="12"/>
        <color theme="1"/>
        <rFont val="新細明體"/>
        <family val="2"/>
        <scheme val="minor"/>
      </rPr>
      <t>在校生</t>
    </r>
    <phoneticPr fontId="72" type="noConversion"/>
  </si>
  <si>
    <r>
      <rPr>
        <sz val="12"/>
        <color theme="1"/>
        <rFont val="新細明體"/>
        <family val="2"/>
        <scheme val="minor"/>
      </rPr>
      <t>就業</t>
    </r>
    <phoneticPr fontId="72" type="noConversion"/>
  </si>
  <si>
    <r>
      <rPr>
        <sz val="12"/>
        <color theme="1"/>
        <rFont val="新細明體"/>
        <family val="2"/>
        <scheme val="minor"/>
      </rPr>
      <t>輟學未就業</t>
    </r>
    <phoneticPr fontId="72" type="noConversion"/>
  </si>
  <si>
    <r>
      <rPr>
        <sz val="12"/>
        <color theme="1"/>
        <rFont val="新細明體"/>
        <family val="2"/>
        <scheme val="minor"/>
      </rPr>
      <t>半工半讀</t>
    </r>
    <phoneticPr fontId="72" type="noConversion"/>
  </si>
  <si>
    <r>
      <rPr>
        <sz val="12"/>
        <color theme="1"/>
        <rFont val="新細明體"/>
        <family val="2"/>
        <scheme val="minor"/>
      </rPr>
      <t>無業</t>
    </r>
    <phoneticPr fontId="72" type="noConversion"/>
  </si>
  <si>
    <r>
      <t>104</t>
    </r>
    <r>
      <rPr>
        <sz val="12"/>
        <color theme="1"/>
        <rFont val="新細明體"/>
        <family val="2"/>
        <scheme val="minor"/>
      </rPr>
      <t>年</t>
    </r>
    <phoneticPr fontId="72" type="noConversion"/>
  </si>
  <si>
    <r>
      <t>105</t>
    </r>
    <r>
      <rPr>
        <sz val="12"/>
        <color theme="1"/>
        <rFont val="新細明體"/>
        <family val="2"/>
        <scheme val="minor"/>
      </rPr>
      <t>年</t>
    </r>
    <phoneticPr fontId="72" type="noConversion"/>
  </si>
  <si>
    <r>
      <t>106</t>
    </r>
    <r>
      <rPr>
        <sz val="12"/>
        <color theme="1"/>
        <rFont val="新細明體"/>
        <family val="2"/>
        <scheme val="minor"/>
      </rPr>
      <t>年</t>
    </r>
    <phoneticPr fontId="72" type="noConversion"/>
  </si>
  <si>
    <r>
      <t>107</t>
    </r>
    <r>
      <rPr>
        <sz val="12"/>
        <color theme="1"/>
        <rFont val="新細明體"/>
        <family val="2"/>
        <scheme val="minor"/>
      </rPr>
      <t>年</t>
    </r>
    <phoneticPr fontId="72" type="noConversion"/>
  </si>
  <si>
    <r>
      <t>108</t>
    </r>
    <r>
      <rPr>
        <sz val="12"/>
        <color theme="1"/>
        <rFont val="新細明體"/>
        <family val="2"/>
        <scheme val="minor"/>
      </rPr>
      <t>年</t>
    </r>
    <phoneticPr fontId="72" type="noConversion"/>
  </si>
  <si>
    <r>
      <rPr>
        <sz val="12"/>
        <color theme="1"/>
        <rFont val="新細明體"/>
        <family val="2"/>
        <scheme val="minor"/>
      </rPr>
      <t>無業</t>
    </r>
    <phoneticPr fontId="72" type="noConversion"/>
  </si>
  <si>
    <r>
      <rPr>
        <sz val="10"/>
        <rFont val="新細明體"/>
        <family val="1"/>
        <charset val="136"/>
      </rPr>
      <t>資料來源：司法院</t>
    </r>
    <r>
      <rPr>
        <sz val="10"/>
        <rFont val="Times New Roman"/>
        <family val="1"/>
      </rPr>
      <t>(</t>
    </r>
    <r>
      <rPr>
        <sz val="10"/>
        <rFont val="新細明體"/>
        <family val="1"/>
        <charset val="136"/>
      </rPr>
      <t>表</t>
    </r>
    <r>
      <rPr>
        <sz val="10"/>
        <rFont val="Times New Roman"/>
        <family val="1"/>
      </rPr>
      <t xml:space="preserve">10914-03-06-05) </t>
    </r>
    <r>
      <rPr>
        <sz val="10"/>
        <rFont val="新細明體"/>
        <family val="1"/>
        <charset val="136"/>
      </rPr>
      <t>。</t>
    </r>
    <phoneticPr fontId="72" type="noConversion"/>
  </si>
  <si>
    <r>
      <rPr>
        <sz val="15"/>
        <rFont val="新細明體"/>
        <family val="1"/>
        <charset val="136"/>
      </rPr>
      <t>表</t>
    </r>
    <r>
      <rPr>
        <sz val="15"/>
        <rFont val="Times New Roman"/>
        <family val="1"/>
      </rPr>
      <t>3-2-10</t>
    </r>
    <r>
      <rPr>
        <sz val="15"/>
        <rFont val="新細明體"/>
        <family val="1"/>
        <charset val="136"/>
      </rPr>
      <t>　近</t>
    </r>
    <r>
      <rPr>
        <sz val="15"/>
        <rFont val="Times New Roman"/>
        <family val="1"/>
      </rPr>
      <t>10</t>
    </r>
    <r>
      <rPr>
        <sz val="15"/>
        <rFont val="新細明體"/>
        <family val="1"/>
        <charset val="136"/>
      </rPr>
      <t>年少年交付保護處分家庭經濟狀況</t>
    </r>
    <phoneticPr fontId="72" type="noConversion"/>
  </si>
  <si>
    <r>
      <t>99</t>
    </r>
    <r>
      <rPr>
        <sz val="12"/>
        <color theme="1"/>
        <rFont val="新細明體"/>
        <family val="2"/>
        <scheme val="minor"/>
      </rPr>
      <t>年</t>
    </r>
    <phoneticPr fontId="72" type="noConversion"/>
  </si>
  <si>
    <r>
      <t>100</t>
    </r>
    <r>
      <rPr>
        <sz val="12"/>
        <color theme="1"/>
        <rFont val="新細明體"/>
        <family val="2"/>
        <scheme val="minor"/>
      </rPr>
      <t>年</t>
    </r>
    <phoneticPr fontId="72" type="noConversion"/>
  </si>
  <si>
    <r>
      <t>101</t>
    </r>
    <r>
      <rPr>
        <sz val="12"/>
        <color theme="1"/>
        <rFont val="新細明體"/>
        <family val="2"/>
        <scheme val="minor"/>
      </rPr>
      <t>年</t>
    </r>
    <phoneticPr fontId="72" type="noConversion"/>
  </si>
  <si>
    <r>
      <t>102</t>
    </r>
    <r>
      <rPr>
        <sz val="12"/>
        <color theme="1"/>
        <rFont val="新細明體"/>
        <family val="2"/>
        <scheme val="minor"/>
      </rPr>
      <t>年</t>
    </r>
    <phoneticPr fontId="72" type="noConversion"/>
  </si>
  <si>
    <r>
      <rPr>
        <sz val="12"/>
        <color theme="1"/>
        <rFont val="新細明體"/>
        <family val="2"/>
        <scheme val="minor"/>
      </rPr>
      <t>年</t>
    </r>
    <phoneticPr fontId="72" type="noConversion"/>
  </si>
  <si>
    <r>
      <t>103</t>
    </r>
    <r>
      <rPr>
        <sz val="12"/>
        <color theme="1"/>
        <rFont val="新細明體"/>
        <family val="2"/>
        <scheme val="minor"/>
      </rPr>
      <t>年</t>
    </r>
    <phoneticPr fontId="72" type="noConversion"/>
  </si>
  <si>
    <r>
      <rPr>
        <sz val="12"/>
        <color theme="1"/>
        <rFont val="新細明體"/>
        <family val="2"/>
        <scheme val="minor"/>
      </rPr>
      <t>人</t>
    </r>
    <phoneticPr fontId="72" type="noConversion"/>
  </si>
  <si>
    <t>%</t>
    <phoneticPr fontId="72" type="noConversion"/>
  </si>
  <si>
    <r>
      <rPr>
        <sz val="12"/>
        <color theme="1"/>
        <rFont val="新細明體"/>
        <family val="2"/>
        <scheme val="minor"/>
      </rPr>
      <t>男</t>
    </r>
    <phoneticPr fontId="72" type="noConversion"/>
  </si>
  <si>
    <r>
      <rPr>
        <sz val="12"/>
        <color theme="1"/>
        <rFont val="新細明體"/>
        <family val="2"/>
        <scheme val="minor"/>
      </rPr>
      <t>女</t>
    </r>
    <phoneticPr fontId="72" type="noConversion"/>
  </si>
  <si>
    <r>
      <rPr>
        <sz val="12"/>
        <color theme="1"/>
        <rFont val="新細明體"/>
        <family val="2"/>
        <scheme val="minor"/>
      </rPr>
      <t>勉足維持生活</t>
    </r>
    <phoneticPr fontId="72" type="noConversion"/>
  </si>
  <si>
    <r>
      <rPr>
        <sz val="12"/>
        <color theme="1"/>
        <rFont val="新細明體"/>
        <family val="2"/>
        <scheme val="minor"/>
      </rPr>
      <t>小康之家</t>
    </r>
    <phoneticPr fontId="72" type="noConversion"/>
  </si>
  <si>
    <r>
      <rPr>
        <sz val="12"/>
        <color theme="1"/>
        <rFont val="新細明體"/>
        <family val="2"/>
        <scheme val="minor"/>
      </rPr>
      <t>低收入戶</t>
    </r>
    <phoneticPr fontId="72" type="noConversion"/>
  </si>
  <si>
    <r>
      <rPr>
        <sz val="12"/>
        <color theme="1"/>
        <rFont val="新細明體"/>
        <family val="2"/>
        <scheme val="minor"/>
      </rPr>
      <t>中產以上</t>
    </r>
    <phoneticPr fontId="72" type="noConversion"/>
  </si>
  <si>
    <r>
      <rPr>
        <sz val="12"/>
        <color theme="1"/>
        <rFont val="新細明體"/>
        <family val="2"/>
        <scheme val="minor"/>
      </rPr>
      <t>不詳</t>
    </r>
    <phoneticPr fontId="72" type="noConversion"/>
  </si>
  <si>
    <t>-</t>
    <phoneticPr fontId="72" type="noConversion"/>
  </si>
  <si>
    <r>
      <t>105</t>
    </r>
    <r>
      <rPr>
        <sz val="12"/>
        <color theme="1"/>
        <rFont val="新細明體"/>
        <family val="2"/>
        <scheme val="minor"/>
      </rPr>
      <t>年</t>
    </r>
    <phoneticPr fontId="72" type="noConversion"/>
  </si>
  <si>
    <r>
      <t>106</t>
    </r>
    <r>
      <rPr>
        <sz val="12"/>
        <color theme="1"/>
        <rFont val="新細明體"/>
        <family val="2"/>
        <scheme val="minor"/>
      </rPr>
      <t>年</t>
    </r>
    <phoneticPr fontId="72" type="noConversion"/>
  </si>
  <si>
    <r>
      <t>107</t>
    </r>
    <r>
      <rPr>
        <sz val="12"/>
        <color theme="1"/>
        <rFont val="新細明體"/>
        <family val="2"/>
        <scheme val="minor"/>
      </rPr>
      <t>年</t>
    </r>
    <phoneticPr fontId="72" type="noConversion"/>
  </si>
  <si>
    <r>
      <t>108</t>
    </r>
    <r>
      <rPr>
        <sz val="12"/>
        <color theme="1"/>
        <rFont val="新細明體"/>
        <family val="2"/>
        <scheme val="minor"/>
      </rPr>
      <t>年</t>
    </r>
    <phoneticPr fontId="72" type="noConversion"/>
  </si>
  <si>
    <r>
      <rPr>
        <sz val="12"/>
        <color theme="1"/>
        <rFont val="新細明體"/>
        <family val="2"/>
        <scheme val="minor"/>
      </rPr>
      <t>男</t>
    </r>
    <phoneticPr fontId="72" type="noConversion"/>
  </si>
  <si>
    <r>
      <rPr>
        <sz val="12"/>
        <color theme="1"/>
        <rFont val="新細明體"/>
        <family val="2"/>
        <scheme val="minor"/>
      </rPr>
      <t>女</t>
    </r>
    <phoneticPr fontId="72" type="noConversion"/>
  </si>
  <si>
    <r>
      <rPr>
        <sz val="12"/>
        <color theme="1"/>
        <rFont val="新細明體"/>
        <family val="2"/>
        <scheme val="minor"/>
      </rPr>
      <t>勉足維持生活</t>
    </r>
    <phoneticPr fontId="72" type="noConversion"/>
  </si>
  <si>
    <r>
      <rPr>
        <sz val="12"/>
        <color theme="1"/>
        <rFont val="新細明體"/>
        <family val="2"/>
        <scheme val="minor"/>
      </rPr>
      <t>小康之家</t>
    </r>
    <phoneticPr fontId="72" type="noConversion"/>
  </si>
  <si>
    <r>
      <rPr>
        <sz val="12"/>
        <color theme="1"/>
        <rFont val="新細明體"/>
        <family val="2"/>
        <scheme val="minor"/>
      </rPr>
      <t>中產以上</t>
    </r>
    <phoneticPr fontId="72" type="noConversion"/>
  </si>
  <si>
    <r>
      <rPr>
        <sz val="12"/>
        <color theme="1"/>
        <rFont val="新細明體"/>
        <family val="2"/>
        <scheme val="minor"/>
      </rPr>
      <t>不詳</t>
    </r>
    <phoneticPr fontId="72" type="noConversion"/>
  </si>
  <si>
    <t>-</t>
    <phoneticPr fontId="72" type="noConversion"/>
  </si>
  <si>
    <t>-</t>
    <phoneticPr fontId="72" type="noConversion"/>
  </si>
  <si>
    <t>-</t>
    <phoneticPr fontId="72" type="noConversion"/>
  </si>
  <si>
    <r>
      <rPr>
        <sz val="10"/>
        <rFont val="新細明體"/>
        <family val="1"/>
        <charset val="136"/>
      </rPr>
      <t>說　　明：</t>
    </r>
    <r>
      <rPr>
        <sz val="10"/>
        <rFont val="Times New Roman"/>
        <family val="1"/>
      </rPr>
      <t xml:space="preserve">1. </t>
    </r>
    <r>
      <rPr>
        <sz val="10"/>
        <rFont val="新細明體"/>
        <family val="1"/>
        <charset val="136"/>
      </rPr>
      <t>本表不包含未經個案調查人數及虞犯</t>
    </r>
    <r>
      <rPr>
        <sz val="10"/>
        <rFont val="Times New Roman"/>
        <family val="1"/>
      </rPr>
      <t>/</t>
    </r>
    <r>
      <rPr>
        <sz val="10"/>
        <rFont val="新細明體"/>
        <family val="1"/>
        <charset val="136"/>
      </rPr>
      <t>曝險少年。
　　　　　</t>
    </r>
    <r>
      <rPr>
        <sz val="10"/>
        <rFont val="Times New Roman"/>
        <family val="1"/>
      </rPr>
      <t xml:space="preserve">2. </t>
    </r>
    <r>
      <rPr>
        <sz val="10"/>
        <rFont val="新細明體"/>
        <family val="1"/>
        <charset val="136"/>
      </rPr>
      <t>本表原始檔案總計人數和前表不同，敬請留意。</t>
    </r>
    <phoneticPr fontId="72" type="noConversion"/>
  </si>
  <si>
    <r>
      <rPr>
        <sz val="10"/>
        <rFont val="標楷體"/>
        <family val="4"/>
        <charset val="136"/>
      </rPr>
      <t>　　　　　</t>
    </r>
    <r>
      <rPr>
        <sz val="10"/>
        <rFont val="Times New Roman"/>
        <family val="1"/>
      </rPr>
      <t/>
    </r>
    <phoneticPr fontId="72" type="noConversion"/>
  </si>
  <si>
    <r>
      <rPr>
        <sz val="15"/>
        <rFont val="新細明體"/>
        <family val="1"/>
        <charset val="136"/>
      </rPr>
      <t>表</t>
    </r>
    <r>
      <rPr>
        <sz val="15"/>
        <rFont val="Times New Roman"/>
        <family val="1"/>
      </rPr>
      <t xml:space="preserve">3-2-11     </t>
    </r>
    <r>
      <rPr>
        <sz val="15"/>
        <rFont val="新細明體"/>
        <family val="1"/>
        <charset val="136"/>
      </rPr>
      <t>近</t>
    </r>
    <r>
      <rPr>
        <sz val="15"/>
        <rFont val="Times New Roman"/>
        <family val="1"/>
      </rPr>
      <t>10</t>
    </r>
    <r>
      <rPr>
        <sz val="15"/>
        <rFont val="新細明體"/>
        <family val="1"/>
        <charset val="136"/>
      </rPr>
      <t>年少年交付保護處分父母現況</t>
    </r>
    <phoneticPr fontId="72" type="noConversion"/>
  </si>
  <si>
    <r>
      <t>99</t>
    </r>
    <r>
      <rPr>
        <sz val="12"/>
        <color theme="1"/>
        <rFont val="新細明體"/>
        <family val="2"/>
        <scheme val="minor"/>
      </rPr>
      <t>年</t>
    </r>
    <phoneticPr fontId="72" type="noConversion"/>
  </si>
  <si>
    <r>
      <t>100</t>
    </r>
    <r>
      <rPr>
        <sz val="12"/>
        <color theme="1"/>
        <rFont val="新細明體"/>
        <family val="2"/>
        <scheme val="minor"/>
      </rPr>
      <t>年</t>
    </r>
    <phoneticPr fontId="72" type="noConversion"/>
  </si>
  <si>
    <r>
      <t>101</t>
    </r>
    <r>
      <rPr>
        <sz val="12"/>
        <color theme="1"/>
        <rFont val="新細明體"/>
        <family val="2"/>
        <scheme val="minor"/>
      </rPr>
      <t>年</t>
    </r>
    <phoneticPr fontId="72" type="noConversion"/>
  </si>
  <si>
    <r>
      <t>102</t>
    </r>
    <r>
      <rPr>
        <sz val="12"/>
        <color theme="1"/>
        <rFont val="新細明體"/>
        <family val="2"/>
        <scheme val="minor"/>
      </rPr>
      <t>年</t>
    </r>
    <phoneticPr fontId="72" type="noConversion"/>
  </si>
  <si>
    <r>
      <rPr>
        <sz val="12"/>
        <color theme="1"/>
        <rFont val="新細明體"/>
        <family val="2"/>
        <scheme val="minor"/>
      </rPr>
      <t>年</t>
    </r>
    <phoneticPr fontId="72" type="noConversion"/>
  </si>
  <si>
    <r>
      <t>103</t>
    </r>
    <r>
      <rPr>
        <sz val="12"/>
        <color theme="1"/>
        <rFont val="新細明體"/>
        <family val="2"/>
        <scheme val="minor"/>
      </rPr>
      <t>年</t>
    </r>
    <phoneticPr fontId="72" type="noConversion"/>
  </si>
  <si>
    <r>
      <rPr>
        <sz val="12"/>
        <color theme="1"/>
        <rFont val="新細明體"/>
        <family val="2"/>
        <scheme val="minor"/>
      </rPr>
      <t>人</t>
    </r>
    <phoneticPr fontId="72" type="noConversion"/>
  </si>
  <si>
    <t>%</t>
    <phoneticPr fontId="72" type="noConversion"/>
  </si>
  <si>
    <r>
      <rPr>
        <sz val="12"/>
        <color theme="1"/>
        <rFont val="新細明體"/>
        <family val="2"/>
        <scheme val="minor"/>
      </rPr>
      <t>父母俱存</t>
    </r>
    <phoneticPr fontId="72" type="noConversion"/>
  </si>
  <si>
    <r>
      <rPr>
        <sz val="12"/>
        <color theme="1"/>
        <rFont val="新細明體"/>
        <family val="2"/>
        <scheme val="minor"/>
      </rPr>
      <t>母存父亡</t>
    </r>
    <phoneticPr fontId="72" type="noConversion"/>
  </si>
  <si>
    <r>
      <rPr>
        <sz val="12"/>
        <color theme="1"/>
        <rFont val="新細明體"/>
        <family val="2"/>
        <scheme val="minor"/>
      </rPr>
      <t>父或母不詳</t>
    </r>
    <r>
      <rPr>
        <sz val="12"/>
        <rFont val="Times New Roman"/>
        <family val="1"/>
      </rPr>
      <t xml:space="preserve"> </t>
    </r>
    <phoneticPr fontId="72" type="noConversion"/>
  </si>
  <si>
    <r>
      <rPr>
        <sz val="12"/>
        <color theme="1"/>
        <rFont val="新細明體"/>
        <family val="2"/>
        <scheme val="minor"/>
      </rPr>
      <t>父存母亡</t>
    </r>
    <phoneticPr fontId="72" type="noConversion"/>
  </si>
  <si>
    <r>
      <rPr>
        <sz val="12"/>
        <color theme="1"/>
        <rFont val="新細明體"/>
        <family val="2"/>
        <scheme val="minor"/>
      </rPr>
      <t>父母俱亡</t>
    </r>
    <phoneticPr fontId="72" type="noConversion"/>
  </si>
  <si>
    <r>
      <t>106</t>
    </r>
    <r>
      <rPr>
        <sz val="12"/>
        <color theme="1"/>
        <rFont val="新細明體"/>
        <family val="2"/>
        <scheme val="minor"/>
      </rPr>
      <t>年</t>
    </r>
    <phoneticPr fontId="72" type="noConversion"/>
  </si>
  <si>
    <r>
      <t>107</t>
    </r>
    <r>
      <rPr>
        <sz val="12"/>
        <color theme="1"/>
        <rFont val="新細明體"/>
        <family val="2"/>
        <scheme val="minor"/>
      </rPr>
      <t>年</t>
    </r>
    <phoneticPr fontId="72" type="noConversion"/>
  </si>
  <si>
    <r>
      <rPr>
        <sz val="12"/>
        <color theme="1"/>
        <rFont val="新細明體"/>
        <family val="2"/>
        <scheme val="minor"/>
      </rPr>
      <t>母存父亡</t>
    </r>
    <phoneticPr fontId="72" type="noConversion"/>
  </si>
  <si>
    <r>
      <rPr>
        <sz val="12"/>
        <color theme="1"/>
        <rFont val="新細明體"/>
        <family val="2"/>
        <scheme val="minor"/>
      </rPr>
      <t>父或母不詳</t>
    </r>
    <r>
      <rPr>
        <sz val="12"/>
        <rFont val="Times New Roman"/>
        <family val="1"/>
      </rPr>
      <t xml:space="preserve"> </t>
    </r>
    <phoneticPr fontId="72" type="noConversion"/>
  </si>
  <si>
    <r>
      <rPr>
        <sz val="12"/>
        <color theme="1"/>
        <rFont val="新細明體"/>
        <family val="2"/>
        <scheme val="minor"/>
      </rPr>
      <t>父存母亡</t>
    </r>
    <phoneticPr fontId="72" type="noConversion"/>
  </si>
  <si>
    <r>
      <rPr>
        <sz val="12"/>
        <color theme="1"/>
        <rFont val="新細明體"/>
        <family val="2"/>
        <scheme val="minor"/>
      </rPr>
      <t>父母俱亡</t>
    </r>
    <phoneticPr fontId="72" type="noConversion"/>
  </si>
  <si>
    <t>說　　明：本表不包含未經個案調查人數及虞犯/曝險少年。</t>
    <phoneticPr fontId="72" type="noConversion"/>
  </si>
  <si>
    <r>
      <rPr>
        <sz val="15"/>
        <rFont val="新細明體"/>
        <family val="1"/>
        <charset val="136"/>
      </rPr>
      <t>表</t>
    </r>
    <r>
      <rPr>
        <sz val="15"/>
        <rFont val="Times New Roman"/>
        <family val="1"/>
      </rPr>
      <t xml:space="preserve">3-2-12     </t>
    </r>
    <r>
      <rPr>
        <sz val="15"/>
        <rFont val="新細明體"/>
        <family val="1"/>
        <charset val="136"/>
      </rPr>
      <t>近</t>
    </r>
    <r>
      <rPr>
        <sz val="15"/>
        <rFont val="Times New Roman"/>
        <family val="1"/>
      </rPr>
      <t>10</t>
    </r>
    <r>
      <rPr>
        <sz val="15"/>
        <rFont val="新細明體"/>
        <family val="1"/>
        <charset val="136"/>
      </rPr>
      <t>年少年交付保護處分父母婚姻狀況</t>
    </r>
    <phoneticPr fontId="72" type="noConversion"/>
  </si>
  <si>
    <r>
      <t>99</t>
    </r>
    <r>
      <rPr>
        <sz val="12"/>
        <color theme="1"/>
        <rFont val="新細明體"/>
        <family val="2"/>
        <scheme val="minor"/>
      </rPr>
      <t>年</t>
    </r>
    <phoneticPr fontId="72" type="noConversion"/>
  </si>
  <si>
    <r>
      <t>100</t>
    </r>
    <r>
      <rPr>
        <sz val="12"/>
        <color theme="1"/>
        <rFont val="新細明體"/>
        <family val="2"/>
        <scheme val="minor"/>
      </rPr>
      <t>年</t>
    </r>
    <phoneticPr fontId="72" type="noConversion"/>
  </si>
  <si>
    <r>
      <t>101</t>
    </r>
    <r>
      <rPr>
        <sz val="12"/>
        <color theme="1"/>
        <rFont val="新細明體"/>
        <family val="2"/>
        <scheme val="minor"/>
      </rPr>
      <t>年</t>
    </r>
    <phoneticPr fontId="72" type="noConversion"/>
  </si>
  <si>
    <r>
      <t>102</t>
    </r>
    <r>
      <rPr>
        <sz val="12"/>
        <color theme="1"/>
        <rFont val="新細明體"/>
        <family val="2"/>
        <scheme val="minor"/>
      </rPr>
      <t>年</t>
    </r>
    <phoneticPr fontId="72" type="noConversion"/>
  </si>
  <si>
    <r>
      <t>103</t>
    </r>
    <r>
      <rPr>
        <sz val="12"/>
        <color theme="1"/>
        <rFont val="新細明體"/>
        <family val="2"/>
        <scheme val="minor"/>
      </rPr>
      <t>年</t>
    </r>
    <phoneticPr fontId="72" type="noConversion"/>
  </si>
  <si>
    <r>
      <rPr>
        <sz val="12"/>
        <color theme="1"/>
        <rFont val="新細明體"/>
        <family val="2"/>
        <scheme val="minor"/>
      </rPr>
      <t>人</t>
    </r>
    <phoneticPr fontId="72" type="noConversion"/>
  </si>
  <si>
    <r>
      <rPr>
        <sz val="12"/>
        <color theme="1"/>
        <rFont val="新細明體"/>
        <family val="2"/>
        <scheme val="minor"/>
      </rPr>
      <t>總計</t>
    </r>
    <phoneticPr fontId="72" type="noConversion"/>
  </si>
  <si>
    <r>
      <rPr>
        <sz val="12"/>
        <color theme="1"/>
        <rFont val="新細明體"/>
        <family val="2"/>
        <scheme val="minor"/>
      </rPr>
      <t>父母離婚</t>
    </r>
    <phoneticPr fontId="72" type="noConversion"/>
  </si>
  <si>
    <r>
      <rPr>
        <sz val="12"/>
        <color theme="1"/>
        <rFont val="新細明體"/>
        <family val="2"/>
        <scheme val="minor"/>
      </rPr>
      <t>正常</t>
    </r>
    <phoneticPr fontId="72" type="noConversion"/>
  </si>
  <si>
    <r>
      <rPr>
        <sz val="12"/>
        <color theme="1"/>
        <rFont val="新細明體"/>
        <family val="2"/>
        <scheme val="minor"/>
      </rPr>
      <t>喪偶</t>
    </r>
    <phoneticPr fontId="72" type="noConversion"/>
  </si>
  <si>
    <r>
      <rPr>
        <sz val="12"/>
        <color theme="1"/>
        <rFont val="新細明體"/>
        <family val="2"/>
        <scheme val="minor"/>
      </rPr>
      <t>離婚再婚</t>
    </r>
    <phoneticPr fontId="72" type="noConversion"/>
  </si>
  <si>
    <r>
      <rPr>
        <sz val="12"/>
        <color theme="1"/>
        <rFont val="新細明體"/>
        <family val="2"/>
        <scheme val="minor"/>
      </rPr>
      <t>父母分居</t>
    </r>
    <phoneticPr fontId="72" type="noConversion"/>
  </si>
  <si>
    <r>
      <rPr>
        <sz val="12"/>
        <color theme="1"/>
        <rFont val="新細明體"/>
        <family val="2"/>
        <scheme val="minor"/>
      </rPr>
      <t>喪偶再婚</t>
    </r>
    <phoneticPr fontId="72" type="noConversion"/>
  </si>
  <si>
    <r>
      <rPr>
        <sz val="12"/>
        <color theme="1"/>
        <rFont val="新細明體"/>
        <family val="2"/>
        <scheme val="minor"/>
      </rPr>
      <t>其他</t>
    </r>
    <phoneticPr fontId="72" type="noConversion"/>
  </si>
  <si>
    <r>
      <rPr>
        <sz val="12"/>
        <color theme="1"/>
        <rFont val="新細明體"/>
        <family val="2"/>
        <scheme val="minor"/>
      </rPr>
      <t>父母離婚</t>
    </r>
    <phoneticPr fontId="72" type="noConversion"/>
  </si>
  <si>
    <r>
      <rPr>
        <sz val="12"/>
        <color theme="1"/>
        <rFont val="新細明體"/>
        <family val="2"/>
        <scheme val="minor"/>
      </rPr>
      <t>正常</t>
    </r>
    <phoneticPr fontId="72" type="noConversion"/>
  </si>
  <si>
    <r>
      <rPr>
        <sz val="10"/>
        <rFont val="新細明體"/>
        <family val="1"/>
        <charset val="136"/>
      </rPr>
      <t>資料來源：司法院</t>
    </r>
    <r>
      <rPr>
        <sz val="10"/>
        <rFont val="Times New Roman"/>
        <family val="1"/>
      </rPr>
      <t>(</t>
    </r>
    <r>
      <rPr>
        <sz val="10"/>
        <rFont val="新細明體"/>
        <family val="1"/>
        <charset val="136"/>
      </rPr>
      <t>表</t>
    </r>
    <r>
      <rPr>
        <sz val="10"/>
        <rFont val="Times New Roman"/>
        <family val="1"/>
      </rPr>
      <t>10914-03-04-05)</t>
    </r>
    <r>
      <rPr>
        <sz val="10"/>
        <rFont val="新細明體"/>
        <family val="1"/>
        <charset val="136"/>
      </rPr>
      <t>。</t>
    </r>
    <phoneticPr fontId="72" type="noConversion"/>
  </si>
  <si>
    <r>
      <rPr>
        <sz val="10"/>
        <rFont val="新細明體"/>
        <family val="1"/>
        <charset val="136"/>
      </rPr>
      <t>說</t>
    </r>
    <r>
      <rPr>
        <sz val="10"/>
        <rFont val="Times New Roman"/>
        <family val="1"/>
      </rPr>
      <t xml:space="preserve">         </t>
    </r>
    <r>
      <rPr>
        <sz val="10"/>
        <rFont val="新細明體"/>
        <family val="1"/>
        <charset val="136"/>
      </rPr>
      <t>明：本表不包含未經個案調查人數及虞犯</t>
    </r>
    <r>
      <rPr>
        <sz val="10"/>
        <rFont val="Times New Roman"/>
        <family val="1"/>
      </rPr>
      <t>/</t>
    </r>
    <r>
      <rPr>
        <sz val="10"/>
        <rFont val="新細明體"/>
        <family val="1"/>
        <charset val="136"/>
      </rPr>
      <t>曝險少年。</t>
    </r>
    <phoneticPr fontId="72" type="noConversion"/>
  </si>
  <si>
    <r>
      <rPr>
        <sz val="15"/>
        <rFont val="新細明體"/>
        <family val="1"/>
        <charset val="136"/>
      </rPr>
      <t>表</t>
    </r>
    <r>
      <rPr>
        <sz val="15"/>
        <rFont val="Times New Roman"/>
        <family val="1"/>
      </rPr>
      <t xml:space="preserve">3-2-13    </t>
    </r>
    <r>
      <rPr>
        <sz val="15"/>
        <rFont val="新細明體"/>
        <family val="1"/>
        <charset val="136"/>
      </rPr>
      <t>近</t>
    </r>
    <r>
      <rPr>
        <sz val="15"/>
        <rFont val="Times New Roman"/>
        <family val="1"/>
      </rPr>
      <t>10</t>
    </r>
    <r>
      <rPr>
        <sz val="15"/>
        <rFont val="新細明體"/>
        <family val="1"/>
        <charset val="136"/>
      </rPr>
      <t>年少年刑事案件性別及罪名</t>
    </r>
    <phoneticPr fontId="72" type="noConversion"/>
  </si>
  <si>
    <r>
      <t>99</t>
    </r>
    <r>
      <rPr>
        <sz val="12"/>
        <color theme="1"/>
        <rFont val="新細明體"/>
        <family val="2"/>
        <scheme val="minor"/>
      </rPr>
      <t>年</t>
    </r>
    <r>
      <rPr>
        <sz val="12"/>
        <rFont val="Times New Roman"/>
        <family val="1"/>
      </rPr>
      <t/>
    </r>
    <phoneticPr fontId="72" type="noConversion"/>
  </si>
  <si>
    <r>
      <t>100</t>
    </r>
    <r>
      <rPr>
        <sz val="12"/>
        <color theme="1"/>
        <rFont val="新細明體"/>
        <family val="2"/>
        <scheme val="minor"/>
      </rPr>
      <t>年</t>
    </r>
    <r>
      <rPr>
        <sz val="12"/>
        <rFont val="Times New Roman"/>
        <family val="1"/>
      </rPr>
      <t/>
    </r>
    <phoneticPr fontId="72" type="noConversion"/>
  </si>
  <si>
    <r>
      <t>101</t>
    </r>
    <r>
      <rPr>
        <sz val="12"/>
        <color theme="1"/>
        <rFont val="新細明體"/>
        <family val="2"/>
        <scheme val="minor"/>
      </rPr>
      <t>年</t>
    </r>
    <r>
      <rPr>
        <sz val="12"/>
        <rFont val="Times New Roman"/>
        <family val="1"/>
      </rPr>
      <t/>
    </r>
    <phoneticPr fontId="72" type="noConversion"/>
  </si>
  <si>
    <r>
      <t>102</t>
    </r>
    <r>
      <rPr>
        <sz val="12"/>
        <color theme="1"/>
        <rFont val="新細明體"/>
        <family val="2"/>
        <scheme val="minor"/>
      </rPr>
      <t>年</t>
    </r>
    <r>
      <rPr>
        <sz val="12"/>
        <rFont val="Times New Roman"/>
        <family val="1"/>
      </rPr>
      <t/>
    </r>
    <phoneticPr fontId="72" type="noConversion"/>
  </si>
  <si>
    <r>
      <t>103</t>
    </r>
    <r>
      <rPr>
        <sz val="12"/>
        <color theme="1"/>
        <rFont val="新細明體"/>
        <family val="2"/>
        <scheme val="minor"/>
      </rPr>
      <t>年</t>
    </r>
    <r>
      <rPr>
        <sz val="12"/>
        <rFont val="Times New Roman"/>
        <family val="1"/>
      </rPr>
      <t/>
    </r>
    <phoneticPr fontId="72" type="noConversion"/>
  </si>
  <si>
    <r>
      <t>104</t>
    </r>
    <r>
      <rPr>
        <sz val="12"/>
        <color theme="1"/>
        <rFont val="新細明體"/>
        <family val="2"/>
        <scheme val="minor"/>
      </rPr>
      <t>年</t>
    </r>
    <r>
      <rPr>
        <sz val="12"/>
        <rFont val="Times New Roman"/>
        <family val="1"/>
      </rPr>
      <t/>
    </r>
    <phoneticPr fontId="72" type="noConversion"/>
  </si>
  <si>
    <r>
      <t>105</t>
    </r>
    <r>
      <rPr>
        <sz val="12"/>
        <color theme="1"/>
        <rFont val="新細明體"/>
        <family val="2"/>
        <scheme val="minor"/>
      </rPr>
      <t>年</t>
    </r>
    <phoneticPr fontId="72" type="noConversion"/>
  </si>
  <si>
    <r>
      <t>106</t>
    </r>
    <r>
      <rPr>
        <sz val="12"/>
        <color theme="1"/>
        <rFont val="新細明體"/>
        <family val="2"/>
        <scheme val="minor"/>
      </rPr>
      <t>年</t>
    </r>
    <phoneticPr fontId="72" type="noConversion"/>
  </si>
  <si>
    <r>
      <t>107</t>
    </r>
    <r>
      <rPr>
        <sz val="12"/>
        <color theme="1"/>
        <rFont val="新細明體"/>
        <family val="2"/>
        <scheme val="minor"/>
      </rPr>
      <t>年</t>
    </r>
    <phoneticPr fontId="72" type="noConversion"/>
  </si>
  <si>
    <r>
      <rPr>
        <sz val="12"/>
        <color theme="1"/>
        <rFont val="新細明體"/>
        <family val="2"/>
        <scheme val="minor"/>
      </rPr>
      <t>男</t>
    </r>
    <phoneticPr fontId="72" type="noConversion"/>
  </si>
  <si>
    <r>
      <rPr>
        <sz val="12"/>
        <color theme="1"/>
        <rFont val="新細明體"/>
        <family val="2"/>
        <scheme val="minor"/>
      </rPr>
      <t>女</t>
    </r>
    <phoneticPr fontId="72" type="noConversion"/>
  </si>
  <si>
    <r>
      <rPr>
        <sz val="12"/>
        <color theme="1"/>
        <rFont val="新細明體"/>
        <family val="2"/>
        <scheme val="minor"/>
      </rPr>
      <t>毒品危害防制條例</t>
    </r>
    <phoneticPr fontId="72" type="noConversion"/>
  </si>
  <si>
    <r>
      <rPr>
        <sz val="12"/>
        <color theme="1"/>
        <rFont val="新細明體"/>
        <family val="2"/>
        <scheme val="minor"/>
      </rPr>
      <t>妨害性自主罪</t>
    </r>
    <phoneticPr fontId="72" type="noConversion"/>
  </si>
  <si>
    <r>
      <rPr>
        <sz val="12"/>
        <color theme="1"/>
        <rFont val="新細明體"/>
        <family val="2"/>
        <scheme val="minor"/>
      </rPr>
      <t>傷害罪</t>
    </r>
    <phoneticPr fontId="72" type="noConversion"/>
  </si>
  <si>
    <r>
      <rPr>
        <sz val="12"/>
        <color theme="1"/>
        <rFont val="新細明體"/>
        <family val="2"/>
        <scheme val="minor"/>
      </rPr>
      <t>偽造文書印文罪</t>
    </r>
    <phoneticPr fontId="72" type="noConversion"/>
  </si>
  <si>
    <t>-</t>
    <phoneticPr fontId="72" type="noConversion"/>
  </si>
  <si>
    <r>
      <rPr>
        <sz val="12"/>
        <color theme="1"/>
        <rFont val="新細明體"/>
        <family val="2"/>
        <scheme val="minor"/>
      </rPr>
      <t>詐欺罪</t>
    </r>
    <phoneticPr fontId="72" type="noConversion"/>
  </si>
  <si>
    <r>
      <rPr>
        <sz val="12"/>
        <color theme="1"/>
        <rFont val="新細明體"/>
        <family val="2"/>
        <scheme val="minor"/>
      </rPr>
      <t>強盜罪</t>
    </r>
    <phoneticPr fontId="72" type="noConversion"/>
  </si>
  <si>
    <r>
      <rPr>
        <sz val="12"/>
        <color theme="1"/>
        <rFont val="新細明體"/>
        <family val="2"/>
        <scheme val="minor"/>
      </rPr>
      <t>槍砲彈藥刀械管制條例</t>
    </r>
    <phoneticPr fontId="72" type="noConversion"/>
  </si>
  <si>
    <r>
      <rPr>
        <sz val="12"/>
        <color theme="1"/>
        <rFont val="新細明體"/>
        <family val="2"/>
        <scheme val="minor"/>
      </rPr>
      <t>兒少性剝削防制</t>
    </r>
    <phoneticPr fontId="72" type="noConversion"/>
  </si>
  <si>
    <r>
      <rPr>
        <sz val="12"/>
        <color theme="1"/>
        <rFont val="新細明體"/>
        <family val="2"/>
        <scheme val="minor"/>
      </rPr>
      <t>竊盜罪</t>
    </r>
    <phoneticPr fontId="72" type="noConversion"/>
  </si>
  <si>
    <r>
      <rPr>
        <sz val="12"/>
        <color theme="1"/>
        <rFont val="新細明體"/>
        <family val="2"/>
        <scheme val="minor"/>
      </rPr>
      <t>妨害自由罪</t>
    </r>
    <phoneticPr fontId="72" type="noConversion"/>
  </si>
  <si>
    <r>
      <rPr>
        <sz val="12"/>
        <color theme="1"/>
        <rFont val="新細明體"/>
        <family val="2"/>
        <scheme val="minor"/>
      </rPr>
      <t>偽證罪</t>
    </r>
    <phoneticPr fontId="72" type="noConversion"/>
  </si>
  <si>
    <r>
      <rPr>
        <sz val="12"/>
        <color theme="1"/>
        <rFont val="新細明體"/>
        <family val="2"/>
        <scheme val="minor"/>
      </rPr>
      <t>擄人勒贖罪</t>
    </r>
    <phoneticPr fontId="72" type="noConversion"/>
  </si>
  <si>
    <r>
      <rPr>
        <sz val="12"/>
        <color theme="1"/>
        <rFont val="新細明體"/>
        <family val="2"/>
        <scheme val="minor"/>
      </rPr>
      <t>公共危險罪</t>
    </r>
    <phoneticPr fontId="72" type="noConversion"/>
  </si>
  <si>
    <r>
      <rPr>
        <sz val="12"/>
        <color theme="1"/>
        <rFont val="新細明體"/>
        <family val="2"/>
        <scheme val="minor"/>
      </rPr>
      <t>妨害風化罪</t>
    </r>
    <phoneticPr fontId="72" type="noConversion"/>
  </si>
  <si>
    <t>-</t>
    <phoneticPr fontId="72" type="noConversion"/>
  </si>
  <si>
    <r>
      <rPr>
        <sz val="12"/>
        <color theme="1"/>
        <rFont val="新細明體"/>
        <family val="2"/>
        <scheme val="minor"/>
      </rPr>
      <t>恐嚇取財罪</t>
    </r>
    <phoneticPr fontId="72" type="noConversion"/>
  </si>
  <si>
    <r>
      <rPr>
        <sz val="12"/>
        <color theme="1"/>
        <rFont val="新細明體"/>
        <family val="2"/>
        <scheme val="minor"/>
      </rPr>
      <t>重利罪</t>
    </r>
    <phoneticPr fontId="72" type="noConversion"/>
  </si>
  <si>
    <r>
      <rPr>
        <sz val="12"/>
        <color theme="1"/>
        <rFont val="新細明體"/>
        <family val="2"/>
        <scheme val="minor"/>
      </rPr>
      <t>偽證罪</t>
    </r>
    <phoneticPr fontId="72" type="noConversion"/>
  </si>
  <si>
    <r>
      <rPr>
        <sz val="12"/>
        <color theme="1"/>
        <rFont val="新細明體"/>
        <family val="2"/>
        <scheme val="minor"/>
      </rPr>
      <t>稅法</t>
    </r>
    <phoneticPr fontId="72" type="noConversion"/>
  </si>
  <si>
    <r>
      <rPr>
        <sz val="10"/>
        <rFont val="新細明體"/>
        <family val="1"/>
        <charset val="136"/>
      </rPr>
      <t>資料來源：司法院</t>
    </r>
    <r>
      <rPr>
        <sz val="10"/>
        <rFont val="Times New Roman"/>
        <family val="1"/>
      </rPr>
      <t>(</t>
    </r>
    <r>
      <rPr>
        <sz val="10"/>
        <rFont val="新細明體"/>
        <family val="1"/>
        <charset val="136"/>
      </rPr>
      <t>表</t>
    </r>
    <r>
      <rPr>
        <sz val="10"/>
        <rFont val="Times New Roman"/>
        <family val="1"/>
      </rPr>
      <t>10914-02-04-05)</t>
    </r>
    <r>
      <rPr>
        <sz val="10"/>
        <rFont val="新細明體"/>
        <family val="1"/>
        <charset val="136"/>
      </rPr>
      <t>。
說　　明：本表不包含未經個案調查人數。</t>
    </r>
    <phoneticPr fontId="72" type="noConversion"/>
  </si>
  <si>
    <r>
      <rPr>
        <sz val="15"/>
        <rFont val="新細明體"/>
        <family val="1"/>
        <charset val="136"/>
      </rPr>
      <t>表</t>
    </r>
    <r>
      <rPr>
        <sz val="15"/>
        <rFont val="Times New Roman"/>
        <family val="1"/>
      </rPr>
      <t>3-2-14</t>
    </r>
    <r>
      <rPr>
        <sz val="15"/>
        <rFont val="新細明體"/>
        <family val="1"/>
        <charset val="136"/>
      </rPr>
      <t>　</t>
    </r>
    <r>
      <rPr>
        <sz val="15"/>
        <rFont val="Times New Roman"/>
        <family val="1"/>
      </rPr>
      <t xml:space="preserve"> </t>
    </r>
    <r>
      <rPr>
        <sz val="15"/>
        <rFont val="新細明體"/>
        <family val="1"/>
        <charset val="136"/>
      </rPr>
      <t>近</t>
    </r>
    <r>
      <rPr>
        <sz val="15"/>
        <rFont val="Times New Roman"/>
        <family val="1"/>
      </rPr>
      <t>10</t>
    </r>
    <r>
      <rPr>
        <sz val="15"/>
        <rFont val="新細明體"/>
        <family val="1"/>
        <charset val="136"/>
      </rPr>
      <t>年少年刑事案件年齡</t>
    </r>
    <phoneticPr fontId="72" type="noConversion"/>
  </si>
  <si>
    <r>
      <rPr>
        <sz val="12"/>
        <color theme="1"/>
        <rFont val="新細明體"/>
        <family val="2"/>
        <scheme val="minor"/>
      </rPr>
      <t>總</t>
    </r>
    <r>
      <rPr>
        <sz val="12"/>
        <rFont val="Times New Roman"/>
        <family val="1"/>
      </rPr>
      <t xml:space="preserve">  </t>
    </r>
    <r>
      <rPr>
        <sz val="12"/>
        <color theme="1"/>
        <rFont val="新細明體"/>
        <family val="2"/>
        <scheme val="minor"/>
      </rPr>
      <t>計</t>
    </r>
    <phoneticPr fontId="72" type="noConversion"/>
  </si>
  <si>
    <r>
      <t>14</t>
    </r>
    <r>
      <rPr>
        <sz val="12"/>
        <color theme="1"/>
        <rFont val="新細明體"/>
        <family val="2"/>
        <scheme val="minor"/>
      </rPr>
      <t>歲以上</t>
    </r>
    <r>
      <rPr>
        <sz val="12"/>
        <rFont val="Times New Roman"/>
        <family val="1"/>
      </rPr>
      <t>15</t>
    </r>
    <r>
      <rPr>
        <sz val="12"/>
        <color theme="1"/>
        <rFont val="新細明體"/>
        <family val="2"/>
        <scheme val="minor"/>
      </rPr>
      <t>歲未滿</t>
    </r>
    <phoneticPr fontId="72" type="noConversion"/>
  </si>
  <si>
    <r>
      <t>16</t>
    </r>
    <r>
      <rPr>
        <sz val="12"/>
        <color theme="1"/>
        <rFont val="新細明體"/>
        <family val="2"/>
        <scheme val="minor"/>
      </rPr>
      <t>歲以上</t>
    </r>
    <r>
      <rPr>
        <sz val="12"/>
        <rFont val="Times New Roman"/>
        <family val="1"/>
      </rPr>
      <t>17</t>
    </r>
    <r>
      <rPr>
        <sz val="12"/>
        <color theme="1"/>
        <rFont val="新細明體"/>
        <family val="2"/>
        <scheme val="minor"/>
      </rPr>
      <t>歲未滿</t>
    </r>
    <phoneticPr fontId="72" type="noConversion"/>
  </si>
  <si>
    <r>
      <t>17</t>
    </r>
    <r>
      <rPr>
        <sz val="12"/>
        <color theme="1"/>
        <rFont val="新細明體"/>
        <family val="2"/>
        <scheme val="minor"/>
      </rPr>
      <t>歲以上</t>
    </r>
    <r>
      <rPr>
        <sz val="12"/>
        <rFont val="Times New Roman"/>
        <family val="1"/>
      </rPr>
      <t>18</t>
    </r>
    <r>
      <rPr>
        <sz val="12"/>
        <color theme="1"/>
        <rFont val="新細明體"/>
        <family val="2"/>
        <scheme val="minor"/>
      </rPr>
      <t>歲未滿</t>
    </r>
    <phoneticPr fontId="72" type="noConversion"/>
  </si>
  <si>
    <r>
      <t>105</t>
    </r>
    <r>
      <rPr>
        <sz val="12"/>
        <color theme="1"/>
        <rFont val="新細明體"/>
        <family val="2"/>
        <scheme val="minor"/>
      </rPr>
      <t>年</t>
    </r>
    <phoneticPr fontId="72" type="noConversion"/>
  </si>
  <si>
    <r>
      <t>106</t>
    </r>
    <r>
      <rPr>
        <sz val="12"/>
        <color theme="1"/>
        <rFont val="新細明體"/>
        <family val="2"/>
        <scheme val="minor"/>
      </rPr>
      <t>年</t>
    </r>
    <phoneticPr fontId="72" type="noConversion"/>
  </si>
  <si>
    <r>
      <t>107</t>
    </r>
    <r>
      <rPr>
        <sz val="12"/>
        <color theme="1"/>
        <rFont val="新細明體"/>
        <family val="2"/>
        <scheme val="minor"/>
      </rPr>
      <t>年</t>
    </r>
    <phoneticPr fontId="72" type="noConversion"/>
  </si>
  <si>
    <r>
      <t>108</t>
    </r>
    <r>
      <rPr>
        <sz val="12"/>
        <color theme="1"/>
        <rFont val="新細明體"/>
        <family val="2"/>
        <scheme val="minor"/>
      </rPr>
      <t>年</t>
    </r>
    <phoneticPr fontId="72" type="noConversion"/>
  </si>
  <si>
    <r>
      <t>14</t>
    </r>
    <r>
      <rPr>
        <sz val="12"/>
        <color theme="1"/>
        <rFont val="新細明體"/>
        <family val="2"/>
        <scheme val="minor"/>
      </rPr>
      <t>歲以上</t>
    </r>
    <r>
      <rPr>
        <sz val="12"/>
        <rFont val="Times New Roman"/>
        <family val="1"/>
      </rPr>
      <t>15</t>
    </r>
    <r>
      <rPr>
        <sz val="12"/>
        <color theme="1"/>
        <rFont val="新細明體"/>
        <family val="2"/>
        <scheme val="minor"/>
      </rPr>
      <t>歲未滿</t>
    </r>
    <phoneticPr fontId="72" type="noConversion"/>
  </si>
  <si>
    <r>
      <t>16</t>
    </r>
    <r>
      <rPr>
        <sz val="12"/>
        <color theme="1"/>
        <rFont val="新細明體"/>
        <family val="2"/>
        <scheme val="minor"/>
      </rPr>
      <t>歲以上</t>
    </r>
    <r>
      <rPr>
        <sz val="12"/>
        <rFont val="Times New Roman"/>
        <family val="1"/>
      </rPr>
      <t>17</t>
    </r>
    <r>
      <rPr>
        <sz val="12"/>
        <color theme="1"/>
        <rFont val="新細明體"/>
        <family val="2"/>
        <scheme val="minor"/>
      </rPr>
      <t>歲未滿</t>
    </r>
    <phoneticPr fontId="72" type="noConversion"/>
  </si>
  <si>
    <r>
      <t>17</t>
    </r>
    <r>
      <rPr>
        <sz val="12"/>
        <color theme="1"/>
        <rFont val="新細明體"/>
        <family val="2"/>
        <scheme val="minor"/>
      </rPr>
      <t>歲以上</t>
    </r>
    <r>
      <rPr>
        <sz val="12"/>
        <rFont val="Times New Roman"/>
        <family val="1"/>
      </rPr>
      <t>18</t>
    </r>
    <r>
      <rPr>
        <sz val="12"/>
        <color theme="1"/>
        <rFont val="新細明體"/>
        <family val="2"/>
        <scheme val="minor"/>
      </rPr>
      <t>歲未滿</t>
    </r>
    <phoneticPr fontId="72" type="noConversion"/>
  </si>
  <si>
    <r>
      <rPr>
        <sz val="10"/>
        <rFont val="新細明體"/>
        <family val="1"/>
        <charset val="136"/>
      </rPr>
      <t>資料來源：司法院</t>
    </r>
    <r>
      <rPr>
        <sz val="10"/>
        <rFont val="Times New Roman"/>
        <family val="1"/>
      </rPr>
      <t>(</t>
    </r>
    <r>
      <rPr>
        <sz val="10"/>
        <rFont val="新細明體"/>
        <family val="1"/>
        <charset val="136"/>
      </rPr>
      <t>表</t>
    </r>
    <r>
      <rPr>
        <sz val="10"/>
        <rFont val="Times New Roman"/>
        <family val="1"/>
      </rPr>
      <t>10914-02-05-05)</t>
    </r>
    <r>
      <rPr>
        <sz val="10"/>
        <rFont val="新細明體"/>
        <family val="1"/>
        <charset val="136"/>
      </rPr>
      <t>。</t>
    </r>
    <phoneticPr fontId="72" type="noConversion"/>
  </si>
  <si>
    <r>
      <rPr>
        <sz val="10"/>
        <rFont val="新細明體"/>
        <family val="1"/>
        <charset val="136"/>
      </rPr>
      <t>說</t>
    </r>
    <r>
      <rPr>
        <sz val="10"/>
        <rFont val="Times New Roman"/>
        <family val="1"/>
      </rPr>
      <t xml:space="preserve">         </t>
    </r>
    <r>
      <rPr>
        <sz val="10"/>
        <rFont val="新細明體"/>
        <family val="1"/>
        <charset val="136"/>
      </rPr>
      <t>明：本表不包含未經個案調查人數</t>
    </r>
    <r>
      <rPr>
        <sz val="10"/>
        <rFont val="新細明體"/>
        <family val="1"/>
        <charset val="136"/>
      </rPr>
      <t>。</t>
    </r>
    <phoneticPr fontId="72" type="noConversion"/>
  </si>
  <si>
    <r>
      <rPr>
        <sz val="15"/>
        <rFont val="新細明體"/>
        <family val="1"/>
        <charset val="136"/>
      </rPr>
      <t>表</t>
    </r>
    <r>
      <rPr>
        <sz val="15"/>
        <rFont val="Times New Roman"/>
        <family val="1"/>
      </rPr>
      <t>3-2-15</t>
    </r>
    <r>
      <rPr>
        <sz val="15"/>
        <rFont val="新細明體"/>
        <family val="1"/>
        <charset val="136"/>
      </rPr>
      <t>　</t>
    </r>
    <r>
      <rPr>
        <sz val="15"/>
        <rFont val="Times New Roman"/>
        <family val="1"/>
      </rPr>
      <t>108</t>
    </r>
    <r>
      <rPr>
        <sz val="15"/>
        <rFont val="新細明體"/>
        <family val="1"/>
        <charset val="136"/>
      </rPr>
      <t>年少年刑事案件年齡與罪名的關係</t>
    </r>
    <r>
      <rPr>
        <sz val="15"/>
        <rFont val="Times New Roman"/>
        <family val="1"/>
      </rPr>
      <t xml:space="preserve"> </t>
    </r>
    <phoneticPr fontId="72" type="noConversion"/>
  </si>
  <si>
    <r>
      <rPr>
        <sz val="12"/>
        <color theme="1"/>
        <rFont val="新細明體"/>
        <family val="2"/>
        <scheme val="minor"/>
      </rPr>
      <t>合</t>
    </r>
    <r>
      <rPr>
        <sz val="12"/>
        <rFont val="Times New Roman"/>
        <family val="1"/>
      </rPr>
      <t xml:space="preserve"> </t>
    </r>
    <r>
      <rPr>
        <sz val="12"/>
        <color theme="1"/>
        <rFont val="新細明體"/>
        <family val="2"/>
        <scheme val="minor"/>
      </rPr>
      <t>計</t>
    </r>
    <phoneticPr fontId="72" type="noConversion"/>
  </si>
  <si>
    <r>
      <t>14</t>
    </r>
    <r>
      <rPr>
        <sz val="12"/>
        <color theme="1"/>
        <rFont val="新細明體"/>
        <family val="2"/>
        <scheme val="minor"/>
      </rPr>
      <t>歲以上</t>
    </r>
    <r>
      <rPr>
        <sz val="12"/>
        <rFont val="Times New Roman"/>
        <family val="1"/>
      </rPr>
      <t>15</t>
    </r>
    <r>
      <rPr>
        <sz val="12"/>
        <color theme="1"/>
        <rFont val="新細明體"/>
        <family val="2"/>
        <scheme val="minor"/>
      </rPr>
      <t>歲未滿</t>
    </r>
    <phoneticPr fontId="72" type="noConversion"/>
  </si>
  <si>
    <r>
      <t>15</t>
    </r>
    <r>
      <rPr>
        <sz val="12"/>
        <color theme="1"/>
        <rFont val="新細明體"/>
        <family val="2"/>
        <scheme val="minor"/>
      </rPr>
      <t>歲以上</t>
    </r>
    <r>
      <rPr>
        <sz val="12"/>
        <rFont val="Times New Roman"/>
        <family val="1"/>
      </rPr>
      <t>16</t>
    </r>
    <r>
      <rPr>
        <sz val="12"/>
        <color theme="1"/>
        <rFont val="新細明體"/>
        <family val="2"/>
        <scheme val="minor"/>
      </rPr>
      <t>歲未滿</t>
    </r>
    <phoneticPr fontId="72" type="noConversion"/>
  </si>
  <si>
    <r>
      <t>16</t>
    </r>
    <r>
      <rPr>
        <sz val="12"/>
        <color theme="1"/>
        <rFont val="新細明體"/>
        <family val="2"/>
        <scheme val="minor"/>
      </rPr>
      <t>歲以上</t>
    </r>
    <r>
      <rPr>
        <sz val="12"/>
        <rFont val="Times New Roman"/>
        <family val="1"/>
      </rPr>
      <t>17</t>
    </r>
    <r>
      <rPr>
        <sz val="12"/>
        <color theme="1"/>
        <rFont val="新細明體"/>
        <family val="2"/>
        <scheme val="minor"/>
      </rPr>
      <t>歲未滿</t>
    </r>
    <phoneticPr fontId="72" type="noConversion"/>
  </si>
  <si>
    <r>
      <t>17</t>
    </r>
    <r>
      <rPr>
        <sz val="12"/>
        <color theme="1"/>
        <rFont val="新細明體"/>
        <family val="2"/>
        <scheme val="minor"/>
      </rPr>
      <t>歲以上</t>
    </r>
    <r>
      <rPr>
        <sz val="12"/>
        <rFont val="Times New Roman"/>
        <family val="1"/>
      </rPr>
      <t>18</t>
    </r>
    <r>
      <rPr>
        <sz val="12"/>
        <color theme="1"/>
        <rFont val="新細明體"/>
        <family val="2"/>
        <scheme val="minor"/>
      </rPr>
      <t>歲未滿</t>
    </r>
    <phoneticPr fontId="72" type="noConversion"/>
  </si>
  <si>
    <r>
      <rPr>
        <sz val="12"/>
        <color theme="1"/>
        <rFont val="新細明體"/>
        <family val="2"/>
        <scheme val="minor"/>
      </rPr>
      <t>人</t>
    </r>
    <phoneticPr fontId="72" type="noConversion"/>
  </si>
  <si>
    <t>%</t>
    <phoneticPr fontId="72" type="noConversion"/>
  </si>
  <si>
    <r>
      <rPr>
        <sz val="12"/>
        <color theme="1"/>
        <rFont val="新細明體"/>
        <family val="2"/>
        <scheme val="minor"/>
      </rPr>
      <t>男</t>
    </r>
    <phoneticPr fontId="72" type="noConversion"/>
  </si>
  <si>
    <r>
      <rPr>
        <sz val="11"/>
        <rFont val="新細明體"/>
        <family val="1"/>
        <charset val="136"/>
      </rPr>
      <t>毒品危害防制條例</t>
    </r>
    <phoneticPr fontId="72" type="noConversion"/>
  </si>
  <si>
    <r>
      <rPr>
        <sz val="11"/>
        <rFont val="新細明體"/>
        <family val="1"/>
        <charset val="136"/>
      </rPr>
      <t>妨害性自主罪</t>
    </r>
    <phoneticPr fontId="72" type="noConversion"/>
  </si>
  <si>
    <r>
      <rPr>
        <sz val="11"/>
        <rFont val="新細明體"/>
        <family val="1"/>
        <charset val="136"/>
      </rPr>
      <t>傷害罪</t>
    </r>
    <phoneticPr fontId="72" type="noConversion"/>
  </si>
  <si>
    <r>
      <rPr>
        <sz val="11"/>
        <rFont val="新細明體"/>
        <family val="1"/>
        <charset val="136"/>
      </rPr>
      <t>偽造文書印文罪</t>
    </r>
    <phoneticPr fontId="72" type="noConversion"/>
  </si>
  <si>
    <r>
      <rPr>
        <sz val="11"/>
        <rFont val="新細明體"/>
        <family val="1"/>
        <charset val="136"/>
      </rPr>
      <t>詐欺罪</t>
    </r>
    <phoneticPr fontId="72" type="noConversion"/>
  </si>
  <si>
    <r>
      <rPr>
        <sz val="11"/>
        <rFont val="新細明體"/>
        <family val="1"/>
        <charset val="136"/>
      </rPr>
      <t>殺人罪</t>
    </r>
    <phoneticPr fontId="72" type="noConversion"/>
  </si>
  <si>
    <r>
      <rPr>
        <sz val="11"/>
        <rFont val="新細明體"/>
        <family val="1"/>
        <charset val="136"/>
      </rPr>
      <t>強盜罪</t>
    </r>
    <phoneticPr fontId="44" type="noConversion"/>
  </si>
  <si>
    <r>
      <rPr>
        <sz val="11"/>
        <rFont val="新細明體"/>
        <family val="1"/>
        <charset val="136"/>
      </rPr>
      <t>槍砲彈藥刀械管制條例</t>
    </r>
    <phoneticPr fontId="72" type="noConversion"/>
  </si>
  <si>
    <r>
      <rPr>
        <sz val="12"/>
        <color theme="1"/>
        <rFont val="新細明體"/>
        <family val="2"/>
        <scheme val="minor"/>
      </rPr>
      <t>兒少年性剝削防制</t>
    </r>
    <phoneticPr fontId="72" type="noConversion"/>
  </si>
  <si>
    <r>
      <rPr>
        <sz val="12"/>
        <color theme="1"/>
        <rFont val="新細明體"/>
        <family val="2"/>
        <scheme val="minor"/>
      </rPr>
      <t>偽證罪</t>
    </r>
    <phoneticPr fontId="44" type="noConversion"/>
  </si>
  <si>
    <r>
      <rPr>
        <sz val="11"/>
        <rFont val="新細明體"/>
        <family val="1"/>
        <charset val="136"/>
      </rPr>
      <t>妨害自由罪</t>
    </r>
    <phoneticPr fontId="72" type="noConversion"/>
  </si>
  <si>
    <r>
      <rPr>
        <sz val="12"/>
        <color theme="1"/>
        <rFont val="新細明體"/>
        <family val="2"/>
        <scheme val="minor"/>
      </rPr>
      <t>竊盜罪</t>
    </r>
    <phoneticPr fontId="72" type="noConversion"/>
  </si>
  <si>
    <r>
      <rPr>
        <sz val="10"/>
        <rFont val="新細明體"/>
        <family val="1"/>
        <charset val="136"/>
      </rPr>
      <t>說</t>
    </r>
    <r>
      <rPr>
        <sz val="10"/>
        <rFont val="Times New Roman"/>
        <family val="1"/>
      </rPr>
      <t xml:space="preserve">         </t>
    </r>
    <r>
      <rPr>
        <sz val="10"/>
        <rFont val="新細明體"/>
        <family val="1"/>
        <charset val="136"/>
      </rPr>
      <t>明：本表不包含未經個案調查人數</t>
    </r>
    <r>
      <rPr>
        <sz val="10"/>
        <rFont val="新細明體"/>
        <family val="1"/>
        <charset val="136"/>
      </rPr>
      <t>。</t>
    </r>
    <phoneticPr fontId="72" type="noConversion"/>
  </si>
  <si>
    <r>
      <rPr>
        <sz val="15"/>
        <rFont val="新細明體"/>
        <family val="1"/>
        <charset val="136"/>
      </rPr>
      <t>表</t>
    </r>
    <r>
      <rPr>
        <sz val="15"/>
        <rFont val="Times New Roman"/>
        <family val="1"/>
      </rPr>
      <t>3-2-16</t>
    </r>
    <r>
      <rPr>
        <sz val="15"/>
        <rFont val="新細明體"/>
        <family val="1"/>
        <charset val="136"/>
      </rPr>
      <t>　</t>
    </r>
    <r>
      <rPr>
        <sz val="15"/>
        <rFont val="Times New Roman"/>
        <family val="1"/>
      </rPr>
      <t xml:space="preserve"> </t>
    </r>
    <r>
      <rPr>
        <sz val="15"/>
        <rFont val="新細明體"/>
        <family val="1"/>
        <charset val="136"/>
      </rPr>
      <t>近</t>
    </r>
    <r>
      <rPr>
        <sz val="15"/>
        <rFont val="Times New Roman"/>
        <family val="1"/>
      </rPr>
      <t>10</t>
    </r>
    <r>
      <rPr>
        <sz val="15"/>
        <rFont val="新細明體"/>
        <family val="1"/>
        <charset val="136"/>
      </rPr>
      <t>年少年刑事案件教育程度</t>
    </r>
    <phoneticPr fontId="72" type="noConversion"/>
  </si>
  <si>
    <r>
      <rPr>
        <sz val="12"/>
        <color theme="1"/>
        <rFont val="新細明體"/>
        <family val="2"/>
        <scheme val="minor"/>
      </rPr>
      <t>不識字</t>
    </r>
    <r>
      <rPr>
        <sz val="12"/>
        <rFont val="Times New Roman"/>
        <family val="1"/>
      </rPr>
      <t xml:space="preserve"> </t>
    </r>
    <phoneticPr fontId="72" type="noConversion"/>
  </si>
  <si>
    <t>-</t>
    <phoneticPr fontId="44" type="noConversion"/>
  </si>
  <si>
    <r>
      <rPr>
        <sz val="12"/>
        <color theme="1"/>
        <rFont val="新細明體"/>
        <family val="2"/>
        <scheme val="minor"/>
      </rPr>
      <t>國小畢業</t>
    </r>
    <phoneticPr fontId="72" type="noConversion"/>
  </si>
  <si>
    <r>
      <rPr>
        <sz val="12"/>
        <color theme="1"/>
        <rFont val="新細明體"/>
        <family val="2"/>
        <scheme val="minor"/>
      </rPr>
      <t>國中畢業</t>
    </r>
    <phoneticPr fontId="72" type="noConversion"/>
  </si>
  <si>
    <r>
      <rPr>
        <sz val="12"/>
        <color theme="1"/>
        <rFont val="新細明體"/>
        <family val="2"/>
        <scheme val="minor"/>
      </rPr>
      <t>國中肄業</t>
    </r>
    <r>
      <rPr>
        <sz val="12"/>
        <rFont val="Times New Roman"/>
        <family val="1"/>
      </rPr>
      <t/>
    </r>
    <phoneticPr fontId="72" type="noConversion"/>
  </si>
  <si>
    <r>
      <rPr>
        <sz val="12"/>
        <color theme="1"/>
        <rFont val="新細明體"/>
        <family val="2"/>
        <scheme val="minor"/>
      </rPr>
      <t>高中畢業</t>
    </r>
    <phoneticPr fontId="72" type="noConversion"/>
  </si>
  <si>
    <r>
      <rPr>
        <sz val="12"/>
        <color theme="1"/>
        <rFont val="新細明體"/>
        <family val="2"/>
        <scheme val="minor"/>
      </rPr>
      <t>高中肄業</t>
    </r>
    <r>
      <rPr>
        <sz val="12"/>
        <rFont val="Times New Roman"/>
        <family val="1"/>
      </rPr>
      <t/>
    </r>
    <phoneticPr fontId="72" type="noConversion"/>
  </si>
  <si>
    <r>
      <rPr>
        <sz val="12"/>
        <color theme="1"/>
        <rFont val="新細明體"/>
        <family val="2"/>
        <scheme val="minor"/>
      </rPr>
      <t>大學</t>
    </r>
    <r>
      <rPr>
        <sz val="12"/>
        <rFont val="Times New Roman"/>
        <family val="1"/>
      </rPr>
      <t>(</t>
    </r>
    <r>
      <rPr>
        <sz val="12"/>
        <color theme="1"/>
        <rFont val="新細明體"/>
        <family val="2"/>
        <scheme val="minor"/>
      </rPr>
      <t>專</t>
    </r>
    <r>
      <rPr>
        <sz val="12"/>
        <rFont val="Times New Roman"/>
        <family val="1"/>
      </rPr>
      <t>)</t>
    </r>
    <r>
      <rPr>
        <sz val="12"/>
        <color theme="1"/>
        <rFont val="新細明體"/>
        <family val="2"/>
        <scheme val="minor"/>
      </rPr>
      <t>肄業</t>
    </r>
    <r>
      <rPr>
        <sz val="12"/>
        <rFont val="Times New Roman"/>
        <family val="1"/>
      </rPr>
      <t/>
    </r>
    <phoneticPr fontId="72" type="noConversion"/>
  </si>
  <si>
    <r>
      <t>104</t>
    </r>
    <r>
      <rPr>
        <sz val="12"/>
        <color theme="1"/>
        <rFont val="新細明體"/>
        <family val="2"/>
        <scheme val="minor"/>
      </rPr>
      <t>年</t>
    </r>
    <phoneticPr fontId="72" type="noConversion"/>
  </si>
  <si>
    <r>
      <t>105</t>
    </r>
    <r>
      <rPr>
        <sz val="12"/>
        <color theme="1"/>
        <rFont val="新細明體"/>
        <family val="2"/>
        <scheme val="minor"/>
      </rPr>
      <t>年</t>
    </r>
    <phoneticPr fontId="72" type="noConversion"/>
  </si>
  <si>
    <r>
      <t>106</t>
    </r>
    <r>
      <rPr>
        <sz val="12"/>
        <color theme="1"/>
        <rFont val="新細明體"/>
        <family val="2"/>
        <scheme val="minor"/>
      </rPr>
      <t>年</t>
    </r>
    <phoneticPr fontId="72" type="noConversion"/>
  </si>
  <si>
    <r>
      <t>107</t>
    </r>
    <r>
      <rPr>
        <sz val="12"/>
        <color theme="1"/>
        <rFont val="新細明體"/>
        <family val="2"/>
        <scheme val="minor"/>
      </rPr>
      <t>年</t>
    </r>
    <phoneticPr fontId="72" type="noConversion"/>
  </si>
  <si>
    <r>
      <t>108</t>
    </r>
    <r>
      <rPr>
        <sz val="12"/>
        <color theme="1"/>
        <rFont val="新細明體"/>
        <family val="2"/>
        <scheme val="minor"/>
      </rPr>
      <t>年</t>
    </r>
    <phoneticPr fontId="72" type="noConversion"/>
  </si>
  <si>
    <r>
      <rPr>
        <sz val="12"/>
        <color theme="1"/>
        <rFont val="新細明體"/>
        <family val="2"/>
        <scheme val="minor"/>
      </rPr>
      <t>人</t>
    </r>
    <phoneticPr fontId="72" type="noConversion"/>
  </si>
  <si>
    <t>%</t>
    <phoneticPr fontId="72" type="noConversion"/>
  </si>
  <si>
    <r>
      <rPr>
        <sz val="12"/>
        <color theme="1"/>
        <rFont val="新細明體"/>
        <family val="2"/>
        <scheme val="minor"/>
      </rPr>
      <t>國小畢業</t>
    </r>
    <phoneticPr fontId="72" type="noConversion"/>
  </si>
  <si>
    <t>-</t>
    <phoneticPr fontId="44" type="noConversion"/>
  </si>
  <si>
    <r>
      <rPr>
        <sz val="12"/>
        <color theme="1"/>
        <rFont val="新細明體"/>
        <family val="2"/>
        <scheme val="minor"/>
      </rPr>
      <t>國中畢業</t>
    </r>
    <phoneticPr fontId="72" type="noConversion"/>
  </si>
  <si>
    <r>
      <rPr>
        <sz val="12"/>
        <color theme="1"/>
        <rFont val="新細明體"/>
        <family val="2"/>
        <scheme val="minor"/>
      </rPr>
      <t>高中畢業</t>
    </r>
    <phoneticPr fontId="72" type="noConversion"/>
  </si>
  <si>
    <r>
      <rPr>
        <sz val="12"/>
        <color theme="1"/>
        <rFont val="新細明體"/>
        <family val="2"/>
        <scheme val="minor"/>
      </rPr>
      <t>大學</t>
    </r>
    <r>
      <rPr>
        <sz val="12"/>
        <rFont val="Times New Roman"/>
        <family val="1"/>
      </rPr>
      <t>(</t>
    </r>
    <r>
      <rPr>
        <sz val="12"/>
        <color theme="1"/>
        <rFont val="新細明體"/>
        <family val="2"/>
        <scheme val="minor"/>
      </rPr>
      <t>專</t>
    </r>
    <r>
      <rPr>
        <sz val="12"/>
        <rFont val="Times New Roman"/>
        <family val="1"/>
      </rPr>
      <t>)</t>
    </r>
    <r>
      <rPr>
        <sz val="12"/>
        <color theme="1"/>
        <rFont val="新細明體"/>
        <family val="2"/>
        <scheme val="minor"/>
      </rPr>
      <t>肄業</t>
    </r>
    <r>
      <rPr>
        <sz val="12"/>
        <rFont val="Times New Roman"/>
        <family val="1"/>
      </rPr>
      <t/>
    </r>
    <phoneticPr fontId="72" type="noConversion"/>
  </si>
  <si>
    <r>
      <rPr>
        <sz val="10"/>
        <rFont val="新細明體"/>
        <family val="1"/>
        <charset val="136"/>
      </rPr>
      <t>資料來源：司法院</t>
    </r>
    <r>
      <rPr>
        <sz val="10"/>
        <rFont val="Times New Roman"/>
        <family val="1"/>
      </rPr>
      <t>(</t>
    </r>
    <r>
      <rPr>
        <sz val="10"/>
        <rFont val="新細明體"/>
        <family val="1"/>
        <charset val="136"/>
      </rPr>
      <t>表</t>
    </r>
    <r>
      <rPr>
        <sz val="10"/>
        <rFont val="Times New Roman"/>
        <family val="1"/>
      </rPr>
      <t xml:space="preserve">10914-02-06-05) </t>
    </r>
    <r>
      <rPr>
        <sz val="10"/>
        <rFont val="新細明體"/>
        <family val="1"/>
        <charset val="136"/>
      </rPr>
      <t>。</t>
    </r>
    <phoneticPr fontId="72" type="noConversion"/>
  </si>
  <si>
    <r>
      <t>說　　明：</t>
    </r>
    <r>
      <rPr>
        <sz val="10"/>
        <rFont val="Times New Roman"/>
        <family val="1"/>
      </rPr>
      <t>1.</t>
    </r>
    <r>
      <rPr>
        <sz val="10"/>
        <rFont val="新細明體"/>
        <family val="1"/>
        <charset val="136"/>
      </rPr>
      <t>肄業含在校及離校。
　　　　　</t>
    </r>
    <r>
      <rPr>
        <sz val="10"/>
        <rFont val="Times New Roman"/>
        <family val="1"/>
      </rPr>
      <t>2.</t>
    </r>
    <r>
      <rPr>
        <sz val="10"/>
        <rFont val="新細明體"/>
        <family val="1"/>
        <charset val="136"/>
      </rPr>
      <t>本表不包含未經個案調查人數。</t>
    </r>
    <phoneticPr fontId="44" type="noConversion"/>
  </si>
  <si>
    <r>
      <rPr>
        <sz val="15"/>
        <rFont val="新細明體"/>
        <family val="1"/>
        <charset val="136"/>
      </rPr>
      <t>表</t>
    </r>
    <r>
      <rPr>
        <sz val="15"/>
        <rFont val="Times New Roman"/>
        <family val="1"/>
      </rPr>
      <t>3-2-17</t>
    </r>
    <r>
      <rPr>
        <sz val="15"/>
        <rFont val="新細明體"/>
        <family val="1"/>
        <charset val="136"/>
      </rPr>
      <t>　近</t>
    </r>
    <r>
      <rPr>
        <sz val="15"/>
        <rFont val="Times New Roman"/>
        <family val="1"/>
      </rPr>
      <t>10</t>
    </r>
    <r>
      <rPr>
        <sz val="15"/>
        <rFont val="新細明體"/>
        <family val="1"/>
        <charset val="136"/>
      </rPr>
      <t>年少年刑事案件就業情形</t>
    </r>
    <phoneticPr fontId="72" type="noConversion"/>
  </si>
  <si>
    <r>
      <t>99</t>
    </r>
    <r>
      <rPr>
        <sz val="12"/>
        <color theme="1"/>
        <rFont val="新細明體"/>
        <family val="2"/>
        <scheme val="minor"/>
      </rPr>
      <t>年</t>
    </r>
    <phoneticPr fontId="72" type="noConversion"/>
  </si>
  <si>
    <r>
      <t>100</t>
    </r>
    <r>
      <rPr>
        <sz val="12"/>
        <color theme="1"/>
        <rFont val="新細明體"/>
        <family val="2"/>
        <scheme val="minor"/>
      </rPr>
      <t>年</t>
    </r>
    <phoneticPr fontId="72" type="noConversion"/>
  </si>
  <si>
    <r>
      <t>101</t>
    </r>
    <r>
      <rPr>
        <sz val="12"/>
        <color theme="1"/>
        <rFont val="新細明體"/>
        <family val="2"/>
        <scheme val="minor"/>
      </rPr>
      <t>年</t>
    </r>
    <phoneticPr fontId="72" type="noConversion"/>
  </si>
  <si>
    <r>
      <t>102</t>
    </r>
    <r>
      <rPr>
        <sz val="12"/>
        <color theme="1"/>
        <rFont val="新細明體"/>
        <family val="2"/>
        <scheme val="minor"/>
      </rPr>
      <t>年</t>
    </r>
    <phoneticPr fontId="72" type="noConversion"/>
  </si>
  <si>
    <r>
      <t>103</t>
    </r>
    <r>
      <rPr>
        <sz val="12"/>
        <color theme="1"/>
        <rFont val="新細明體"/>
        <family val="2"/>
        <scheme val="minor"/>
      </rPr>
      <t>年</t>
    </r>
    <phoneticPr fontId="72" type="noConversion"/>
  </si>
  <si>
    <r>
      <rPr>
        <sz val="12"/>
        <color theme="1"/>
        <rFont val="新細明體"/>
        <family val="2"/>
        <scheme val="minor"/>
      </rPr>
      <t>人數</t>
    </r>
    <phoneticPr fontId="72" type="noConversion"/>
  </si>
  <si>
    <r>
      <rPr>
        <sz val="12"/>
        <color theme="1"/>
        <rFont val="新細明體"/>
        <family val="2"/>
        <scheme val="minor"/>
      </rPr>
      <t>百分比</t>
    </r>
    <phoneticPr fontId="72" type="noConversion"/>
  </si>
  <si>
    <r>
      <rPr>
        <sz val="12"/>
        <color theme="1"/>
        <rFont val="新細明體"/>
        <family val="2"/>
        <scheme val="minor"/>
      </rPr>
      <t>總計</t>
    </r>
    <phoneticPr fontId="72" type="noConversion"/>
  </si>
  <si>
    <r>
      <rPr>
        <sz val="12"/>
        <color theme="1"/>
        <rFont val="新細明體"/>
        <family val="2"/>
        <scheme val="minor"/>
      </rPr>
      <t>男性</t>
    </r>
    <phoneticPr fontId="72" type="noConversion"/>
  </si>
  <si>
    <r>
      <rPr>
        <sz val="12"/>
        <color theme="1"/>
        <rFont val="新細明體"/>
        <family val="2"/>
        <scheme val="minor"/>
      </rPr>
      <t>女性</t>
    </r>
    <phoneticPr fontId="72" type="noConversion"/>
  </si>
  <si>
    <r>
      <rPr>
        <sz val="12"/>
        <color theme="1"/>
        <rFont val="新細明體"/>
        <family val="2"/>
        <scheme val="minor"/>
      </rPr>
      <t>輟學未就業</t>
    </r>
    <phoneticPr fontId="72" type="noConversion"/>
  </si>
  <si>
    <r>
      <rPr>
        <sz val="12"/>
        <color theme="1"/>
        <rFont val="新細明體"/>
        <family val="2"/>
        <scheme val="minor"/>
      </rPr>
      <t>在校生</t>
    </r>
    <phoneticPr fontId="72" type="noConversion"/>
  </si>
  <si>
    <r>
      <rPr>
        <sz val="12"/>
        <color theme="1"/>
        <rFont val="新細明體"/>
        <family val="2"/>
        <scheme val="minor"/>
      </rPr>
      <t>就業</t>
    </r>
    <phoneticPr fontId="72" type="noConversion"/>
  </si>
  <si>
    <r>
      <rPr>
        <sz val="12"/>
        <color theme="1"/>
        <rFont val="新細明體"/>
        <family val="2"/>
        <scheme val="minor"/>
      </rPr>
      <t>半工半讀</t>
    </r>
    <phoneticPr fontId="72" type="noConversion"/>
  </si>
  <si>
    <r>
      <t>106</t>
    </r>
    <r>
      <rPr>
        <sz val="12"/>
        <color theme="1"/>
        <rFont val="新細明體"/>
        <family val="2"/>
        <scheme val="minor"/>
      </rPr>
      <t>年</t>
    </r>
    <phoneticPr fontId="72" type="noConversion"/>
  </si>
  <si>
    <r>
      <t>108</t>
    </r>
    <r>
      <rPr>
        <sz val="12"/>
        <color theme="1"/>
        <rFont val="新細明體"/>
        <family val="2"/>
        <scheme val="minor"/>
      </rPr>
      <t>年</t>
    </r>
    <phoneticPr fontId="72" type="noConversion"/>
  </si>
  <si>
    <r>
      <rPr>
        <sz val="12"/>
        <color theme="1"/>
        <rFont val="新細明體"/>
        <family val="2"/>
        <scheme val="minor"/>
      </rPr>
      <t>輟學未就業</t>
    </r>
    <phoneticPr fontId="72" type="noConversion"/>
  </si>
  <si>
    <r>
      <rPr>
        <sz val="12"/>
        <color theme="1"/>
        <rFont val="新細明體"/>
        <family val="2"/>
        <scheme val="minor"/>
      </rPr>
      <t>在校生</t>
    </r>
    <phoneticPr fontId="72" type="noConversion"/>
  </si>
  <si>
    <r>
      <rPr>
        <sz val="12"/>
        <color theme="1"/>
        <rFont val="新細明體"/>
        <family val="2"/>
        <scheme val="minor"/>
      </rPr>
      <t>就業</t>
    </r>
    <phoneticPr fontId="72" type="noConversion"/>
  </si>
  <si>
    <r>
      <rPr>
        <sz val="10"/>
        <rFont val="新細明體"/>
        <family val="1"/>
        <charset val="136"/>
      </rPr>
      <t>資料來源：司法院</t>
    </r>
    <r>
      <rPr>
        <sz val="10"/>
        <rFont val="Times New Roman"/>
        <family val="1"/>
      </rPr>
      <t>(</t>
    </r>
    <r>
      <rPr>
        <sz val="10"/>
        <rFont val="新細明體"/>
        <family val="1"/>
        <charset val="136"/>
      </rPr>
      <t>表</t>
    </r>
    <r>
      <rPr>
        <sz val="10"/>
        <rFont val="Times New Roman"/>
        <family val="1"/>
      </rPr>
      <t xml:space="preserve">10914-02-07-05) </t>
    </r>
    <r>
      <rPr>
        <sz val="10"/>
        <rFont val="新細明體"/>
        <family val="1"/>
        <charset val="136"/>
      </rPr>
      <t>。</t>
    </r>
    <phoneticPr fontId="72" type="noConversion"/>
  </si>
  <si>
    <r>
      <rPr>
        <sz val="15"/>
        <rFont val="新細明體"/>
        <family val="1"/>
        <charset val="136"/>
      </rPr>
      <t>表</t>
    </r>
    <r>
      <rPr>
        <sz val="15"/>
        <rFont val="Times New Roman"/>
        <family val="1"/>
      </rPr>
      <t>3-2-18</t>
    </r>
    <r>
      <rPr>
        <sz val="15"/>
        <rFont val="新細明體"/>
        <family val="1"/>
        <charset val="136"/>
      </rPr>
      <t>　近</t>
    </r>
    <r>
      <rPr>
        <sz val="15"/>
        <rFont val="Times New Roman"/>
        <family val="1"/>
      </rPr>
      <t>10</t>
    </r>
    <r>
      <rPr>
        <sz val="15"/>
        <rFont val="新細明體"/>
        <family val="1"/>
        <charset val="136"/>
      </rPr>
      <t>年少年刑事案件家庭經濟狀況</t>
    </r>
    <phoneticPr fontId="72" type="noConversion"/>
  </si>
  <si>
    <r>
      <t>101</t>
    </r>
    <r>
      <rPr>
        <sz val="12"/>
        <color theme="1"/>
        <rFont val="新細明體"/>
        <family val="2"/>
        <scheme val="minor"/>
      </rPr>
      <t>年</t>
    </r>
    <phoneticPr fontId="72" type="noConversion"/>
  </si>
  <si>
    <r>
      <t>102</t>
    </r>
    <r>
      <rPr>
        <sz val="12"/>
        <color theme="1"/>
        <rFont val="新細明體"/>
        <family val="2"/>
        <scheme val="minor"/>
      </rPr>
      <t>年</t>
    </r>
    <phoneticPr fontId="72" type="noConversion"/>
  </si>
  <si>
    <r>
      <t>103</t>
    </r>
    <r>
      <rPr>
        <sz val="12"/>
        <color theme="1"/>
        <rFont val="新細明體"/>
        <family val="2"/>
        <scheme val="minor"/>
      </rPr>
      <t>年</t>
    </r>
    <phoneticPr fontId="72" type="noConversion"/>
  </si>
  <si>
    <t>%</t>
    <phoneticPr fontId="72" type="noConversion"/>
  </si>
  <si>
    <t>%</t>
    <phoneticPr fontId="72" type="noConversion"/>
  </si>
  <si>
    <r>
      <rPr>
        <sz val="12"/>
        <color theme="1"/>
        <rFont val="新細明體"/>
        <family val="2"/>
        <scheme val="minor"/>
      </rPr>
      <t>男</t>
    </r>
    <phoneticPr fontId="72" type="noConversion"/>
  </si>
  <si>
    <r>
      <rPr>
        <sz val="12"/>
        <color theme="1"/>
        <rFont val="新細明體"/>
        <family val="2"/>
        <scheme val="minor"/>
      </rPr>
      <t>女</t>
    </r>
    <phoneticPr fontId="72" type="noConversion"/>
  </si>
  <si>
    <r>
      <rPr>
        <sz val="12"/>
        <color theme="1"/>
        <rFont val="新細明體"/>
        <family val="2"/>
        <scheme val="minor"/>
      </rPr>
      <t>小康之家</t>
    </r>
    <phoneticPr fontId="72" type="noConversion"/>
  </si>
  <si>
    <r>
      <rPr>
        <sz val="12"/>
        <color theme="1"/>
        <rFont val="新細明體"/>
        <family val="2"/>
        <scheme val="minor"/>
      </rPr>
      <t>中產以上</t>
    </r>
    <phoneticPr fontId="72" type="noConversion"/>
  </si>
  <si>
    <r>
      <rPr>
        <sz val="12"/>
        <color theme="1"/>
        <rFont val="新細明體"/>
        <family val="2"/>
        <scheme val="minor"/>
      </rPr>
      <t>不詳</t>
    </r>
    <phoneticPr fontId="72" type="noConversion"/>
  </si>
  <si>
    <t>-</t>
    <phoneticPr fontId="72" type="noConversion"/>
  </si>
  <si>
    <r>
      <rPr>
        <sz val="12"/>
        <color theme="1"/>
        <rFont val="新細明體"/>
        <family val="2"/>
        <scheme val="minor"/>
      </rPr>
      <t>男</t>
    </r>
    <phoneticPr fontId="72" type="noConversion"/>
  </si>
  <si>
    <r>
      <rPr>
        <sz val="12"/>
        <color theme="1"/>
        <rFont val="新細明體"/>
        <family val="2"/>
        <scheme val="minor"/>
      </rPr>
      <t>女</t>
    </r>
    <phoneticPr fontId="72" type="noConversion"/>
  </si>
  <si>
    <t xml:space="preserve"> </t>
    <phoneticPr fontId="72" type="noConversion"/>
  </si>
  <si>
    <r>
      <rPr>
        <sz val="12"/>
        <color theme="1"/>
        <rFont val="新細明體"/>
        <family val="2"/>
        <scheme val="minor"/>
      </rPr>
      <t>勉足維持生活</t>
    </r>
    <phoneticPr fontId="72" type="noConversion"/>
  </si>
  <si>
    <r>
      <rPr>
        <sz val="12"/>
        <color theme="1"/>
        <rFont val="新細明體"/>
        <family val="2"/>
        <scheme val="minor"/>
      </rPr>
      <t>低收入戶</t>
    </r>
    <phoneticPr fontId="72" type="noConversion"/>
  </si>
  <si>
    <r>
      <rPr>
        <sz val="12"/>
        <color theme="1"/>
        <rFont val="新細明體"/>
        <family val="2"/>
        <scheme val="minor"/>
      </rPr>
      <t>中產以上</t>
    </r>
    <phoneticPr fontId="72" type="noConversion"/>
  </si>
  <si>
    <r>
      <rPr>
        <sz val="12"/>
        <color theme="1"/>
        <rFont val="新細明體"/>
        <family val="2"/>
        <scheme val="minor"/>
      </rPr>
      <t>不詳</t>
    </r>
    <phoneticPr fontId="72" type="noConversion"/>
  </si>
  <si>
    <r>
      <rPr>
        <sz val="10"/>
        <rFont val="細明體"/>
        <family val="3"/>
        <charset val="136"/>
      </rPr>
      <t>說　　明：</t>
    </r>
    <r>
      <rPr>
        <sz val="10"/>
        <rFont val="Times New Roman"/>
        <family val="1"/>
      </rPr>
      <t>1.</t>
    </r>
    <r>
      <rPr>
        <sz val="10"/>
        <rFont val="細明體"/>
        <family val="3"/>
        <charset val="136"/>
      </rPr>
      <t>本表原始檔案總計人數和前表不同，敬請留意。
　　　　　</t>
    </r>
    <r>
      <rPr>
        <sz val="10"/>
        <rFont val="Times New Roman"/>
        <family val="1"/>
      </rPr>
      <t>2.</t>
    </r>
    <r>
      <rPr>
        <sz val="10"/>
        <rFont val="細明體"/>
        <family val="3"/>
        <charset val="136"/>
      </rPr>
      <t>本表不包含未經個案調查人數。</t>
    </r>
    <phoneticPr fontId="72" type="noConversion"/>
  </si>
  <si>
    <r>
      <rPr>
        <sz val="15"/>
        <rFont val="新細明體"/>
        <family val="1"/>
        <charset val="136"/>
      </rPr>
      <t>表</t>
    </r>
    <r>
      <rPr>
        <sz val="15"/>
        <rFont val="Times New Roman"/>
        <family val="1"/>
      </rPr>
      <t>3-2-19</t>
    </r>
    <r>
      <rPr>
        <sz val="15"/>
        <rFont val="新細明體"/>
        <family val="1"/>
        <charset val="136"/>
      </rPr>
      <t>　</t>
    </r>
    <r>
      <rPr>
        <sz val="15"/>
        <rFont val="Times New Roman"/>
        <family val="1"/>
      </rPr>
      <t xml:space="preserve"> </t>
    </r>
    <r>
      <rPr>
        <sz val="15"/>
        <rFont val="新細明體"/>
        <family val="1"/>
        <charset val="136"/>
      </rPr>
      <t>近</t>
    </r>
    <r>
      <rPr>
        <sz val="15"/>
        <rFont val="Times New Roman"/>
        <family val="1"/>
      </rPr>
      <t>10</t>
    </r>
    <r>
      <rPr>
        <sz val="15"/>
        <rFont val="新細明體"/>
        <family val="1"/>
        <charset val="136"/>
      </rPr>
      <t>年少年刑事案件父母現況</t>
    </r>
    <phoneticPr fontId="72" type="noConversion"/>
  </si>
  <si>
    <r>
      <t>99</t>
    </r>
    <r>
      <rPr>
        <sz val="12"/>
        <color theme="1"/>
        <rFont val="新細明體"/>
        <family val="2"/>
        <scheme val="minor"/>
      </rPr>
      <t>年</t>
    </r>
    <phoneticPr fontId="72" type="noConversion"/>
  </si>
  <si>
    <r>
      <t>100</t>
    </r>
    <r>
      <rPr>
        <sz val="12"/>
        <color theme="1"/>
        <rFont val="新細明體"/>
        <family val="2"/>
        <scheme val="minor"/>
      </rPr>
      <t>年</t>
    </r>
    <phoneticPr fontId="72" type="noConversion"/>
  </si>
  <si>
    <r>
      <t>101</t>
    </r>
    <r>
      <rPr>
        <sz val="12"/>
        <color theme="1"/>
        <rFont val="新細明體"/>
        <family val="2"/>
        <scheme val="minor"/>
      </rPr>
      <t>年</t>
    </r>
    <phoneticPr fontId="72" type="noConversion"/>
  </si>
  <si>
    <r>
      <rPr>
        <sz val="12"/>
        <color theme="1"/>
        <rFont val="新細明體"/>
        <family val="2"/>
        <scheme val="minor"/>
      </rPr>
      <t>年</t>
    </r>
    <phoneticPr fontId="72" type="noConversion"/>
  </si>
  <si>
    <r>
      <t>102</t>
    </r>
    <r>
      <rPr>
        <sz val="12"/>
        <color theme="1"/>
        <rFont val="新細明體"/>
        <family val="2"/>
        <scheme val="minor"/>
      </rPr>
      <t>年</t>
    </r>
    <phoneticPr fontId="72" type="noConversion"/>
  </si>
  <si>
    <r>
      <t>103</t>
    </r>
    <r>
      <rPr>
        <sz val="12"/>
        <color theme="1"/>
        <rFont val="新細明體"/>
        <family val="2"/>
        <scheme val="minor"/>
      </rPr>
      <t>年</t>
    </r>
    <phoneticPr fontId="72" type="noConversion"/>
  </si>
  <si>
    <r>
      <rPr>
        <sz val="12"/>
        <color theme="1"/>
        <rFont val="新細明體"/>
        <family val="2"/>
        <scheme val="minor"/>
      </rPr>
      <t>人</t>
    </r>
    <phoneticPr fontId="72" type="noConversion"/>
  </si>
  <si>
    <t>%</t>
    <phoneticPr fontId="72" type="noConversion"/>
  </si>
  <si>
    <r>
      <rPr>
        <sz val="12"/>
        <color theme="1"/>
        <rFont val="新細明體"/>
        <family val="2"/>
        <scheme val="minor"/>
      </rPr>
      <t>總計</t>
    </r>
    <phoneticPr fontId="72" type="noConversion"/>
  </si>
  <si>
    <r>
      <rPr>
        <sz val="12"/>
        <color theme="1"/>
        <rFont val="新細明體"/>
        <family val="2"/>
        <scheme val="minor"/>
      </rPr>
      <t>父母俱存</t>
    </r>
    <phoneticPr fontId="72" type="noConversion"/>
  </si>
  <si>
    <r>
      <rPr>
        <sz val="12"/>
        <color theme="1"/>
        <rFont val="新細明體"/>
        <family val="2"/>
        <scheme val="minor"/>
      </rPr>
      <t>母存父亡</t>
    </r>
    <phoneticPr fontId="72" type="noConversion"/>
  </si>
  <si>
    <r>
      <rPr>
        <sz val="12"/>
        <color theme="1"/>
        <rFont val="新細明體"/>
        <family val="2"/>
        <scheme val="minor"/>
      </rPr>
      <t>父存母亡</t>
    </r>
    <phoneticPr fontId="72" type="noConversion"/>
  </si>
  <si>
    <r>
      <rPr>
        <sz val="12"/>
        <color theme="1"/>
        <rFont val="新細明體"/>
        <family val="2"/>
        <scheme val="minor"/>
      </rPr>
      <t>父或母不詳</t>
    </r>
    <r>
      <rPr>
        <sz val="12"/>
        <rFont val="Times New Roman"/>
        <family val="1"/>
      </rPr>
      <t xml:space="preserve"> </t>
    </r>
    <phoneticPr fontId="72" type="noConversion"/>
  </si>
  <si>
    <r>
      <rPr>
        <sz val="12"/>
        <color theme="1"/>
        <rFont val="新細明體"/>
        <family val="2"/>
        <scheme val="minor"/>
      </rPr>
      <t>父母俱亡</t>
    </r>
    <phoneticPr fontId="72" type="noConversion"/>
  </si>
  <si>
    <t>-</t>
    <phoneticPr fontId="72" type="noConversion"/>
  </si>
  <si>
    <r>
      <t>104</t>
    </r>
    <r>
      <rPr>
        <sz val="12"/>
        <color theme="1"/>
        <rFont val="新細明體"/>
        <family val="2"/>
        <scheme val="minor"/>
      </rPr>
      <t>年</t>
    </r>
    <phoneticPr fontId="72" type="noConversion"/>
  </si>
  <si>
    <r>
      <t>105</t>
    </r>
    <r>
      <rPr>
        <sz val="12"/>
        <color theme="1"/>
        <rFont val="新細明體"/>
        <family val="2"/>
        <scheme val="minor"/>
      </rPr>
      <t>年</t>
    </r>
    <phoneticPr fontId="72" type="noConversion"/>
  </si>
  <si>
    <r>
      <t>106</t>
    </r>
    <r>
      <rPr>
        <sz val="12"/>
        <color theme="1"/>
        <rFont val="新細明體"/>
        <family val="2"/>
        <scheme val="minor"/>
      </rPr>
      <t>年</t>
    </r>
    <phoneticPr fontId="72" type="noConversion"/>
  </si>
  <si>
    <r>
      <t>107</t>
    </r>
    <r>
      <rPr>
        <sz val="12"/>
        <color theme="1"/>
        <rFont val="新細明體"/>
        <family val="2"/>
        <scheme val="minor"/>
      </rPr>
      <t>年</t>
    </r>
    <phoneticPr fontId="72" type="noConversion"/>
  </si>
  <si>
    <r>
      <t>108</t>
    </r>
    <r>
      <rPr>
        <sz val="12"/>
        <color theme="1"/>
        <rFont val="新細明體"/>
        <family val="2"/>
        <scheme val="minor"/>
      </rPr>
      <t>年</t>
    </r>
    <phoneticPr fontId="72" type="noConversion"/>
  </si>
  <si>
    <t>%</t>
    <phoneticPr fontId="72" type="noConversion"/>
  </si>
  <si>
    <r>
      <rPr>
        <sz val="12"/>
        <color theme="1"/>
        <rFont val="新細明體"/>
        <family val="2"/>
        <scheme val="minor"/>
      </rPr>
      <t>人</t>
    </r>
    <phoneticPr fontId="72" type="noConversion"/>
  </si>
  <si>
    <r>
      <rPr>
        <sz val="12"/>
        <color theme="1"/>
        <rFont val="新細明體"/>
        <family val="2"/>
        <scheme val="minor"/>
      </rPr>
      <t>總計</t>
    </r>
    <phoneticPr fontId="72" type="noConversion"/>
  </si>
  <si>
    <r>
      <rPr>
        <sz val="10"/>
        <rFont val="新細明體"/>
        <family val="1"/>
        <charset val="136"/>
      </rPr>
      <t>資料來源：司法院</t>
    </r>
    <r>
      <rPr>
        <sz val="10"/>
        <rFont val="Times New Roman"/>
        <family val="1"/>
      </rPr>
      <t>(</t>
    </r>
    <r>
      <rPr>
        <sz val="10"/>
        <rFont val="新細明體"/>
        <family val="1"/>
        <charset val="136"/>
      </rPr>
      <t>表</t>
    </r>
    <r>
      <rPr>
        <sz val="10"/>
        <rFont val="Times New Roman"/>
        <family val="1"/>
      </rPr>
      <t>10914-02-05-05)</t>
    </r>
    <r>
      <rPr>
        <sz val="10"/>
        <rFont val="新細明體"/>
        <family val="1"/>
        <charset val="136"/>
      </rPr>
      <t>。</t>
    </r>
    <phoneticPr fontId="72" type="noConversion"/>
  </si>
  <si>
    <r>
      <rPr>
        <sz val="10"/>
        <rFont val="新細明體"/>
        <family val="1"/>
        <charset val="136"/>
      </rPr>
      <t>說</t>
    </r>
    <r>
      <rPr>
        <sz val="10"/>
        <rFont val="Times New Roman"/>
        <family val="1"/>
      </rPr>
      <t xml:space="preserve">         </t>
    </r>
    <r>
      <rPr>
        <sz val="10"/>
        <rFont val="新細明體"/>
        <family val="1"/>
        <charset val="136"/>
      </rPr>
      <t>明：本表不包含未經個案調查人數</t>
    </r>
    <r>
      <rPr>
        <sz val="10"/>
        <rFont val="新細明體"/>
        <family val="1"/>
        <charset val="136"/>
      </rPr>
      <t>。</t>
    </r>
    <phoneticPr fontId="72" type="noConversion"/>
  </si>
  <si>
    <r>
      <rPr>
        <sz val="15"/>
        <rFont val="新細明體"/>
        <family val="1"/>
        <charset val="136"/>
      </rPr>
      <t>表</t>
    </r>
    <r>
      <rPr>
        <sz val="15"/>
        <rFont val="Times New Roman"/>
        <family val="1"/>
      </rPr>
      <t xml:space="preserve">3-2-20     </t>
    </r>
    <r>
      <rPr>
        <sz val="15"/>
        <rFont val="新細明體"/>
        <family val="1"/>
        <charset val="136"/>
      </rPr>
      <t>近</t>
    </r>
    <r>
      <rPr>
        <sz val="15"/>
        <rFont val="Times New Roman"/>
        <family val="1"/>
      </rPr>
      <t>10</t>
    </r>
    <r>
      <rPr>
        <sz val="15"/>
        <rFont val="新細明體"/>
        <family val="1"/>
        <charset val="136"/>
      </rPr>
      <t>年少年刑事案件父母婚姻狀況</t>
    </r>
    <phoneticPr fontId="72" type="noConversion"/>
  </si>
  <si>
    <r>
      <rPr>
        <sz val="12"/>
        <color theme="1"/>
        <rFont val="新細明體"/>
        <family val="2"/>
        <scheme val="minor"/>
      </rPr>
      <t>父母離婚</t>
    </r>
    <phoneticPr fontId="72" type="noConversion"/>
  </si>
  <si>
    <r>
      <rPr>
        <sz val="12"/>
        <color theme="1"/>
        <rFont val="新細明體"/>
        <family val="2"/>
        <scheme val="minor"/>
      </rPr>
      <t>喪偶</t>
    </r>
    <phoneticPr fontId="72" type="noConversion"/>
  </si>
  <si>
    <r>
      <rPr>
        <sz val="12"/>
        <color theme="1"/>
        <rFont val="新細明體"/>
        <family val="2"/>
        <scheme val="minor"/>
      </rPr>
      <t>離婚再婚</t>
    </r>
    <phoneticPr fontId="72" type="noConversion"/>
  </si>
  <si>
    <r>
      <rPr>
        <sz val="12"/>
        <color theme="1"/>
        <rFont val="新細明體"/>
        <family val="2"/>
        <scheme val="minor"/>
      </rPr>
      <t>父母分居</t>
    </r>
    <phoneticPr fontId="72" type="noConversion"/>
  </si>
  <si>
    <r>
      <rPr>
        <sz val="12"/>
        <color theme="1"/>
        <rFont val="新細明體"/>
        <family val="2"/>
        <scheme val="minor"/>
      </rPr>
      <t>父母離婚</t>
    </r>
    <phoneticPr fontId="72" type="noConversion"/>
  </si>
  <si>
    <r>
      <rPr>
        <sz val="12"/>
        <color theme="1"/>
        <rFont val="新細明體"/>
        <family val="2"/>
        <scheme val="minor"/>
      </rPr>
      <t>正常</t>
    </r>
    <phoneticPr fontId="72" type="noConversion"/>
  </si>
  <si>
    <r>
      <rPr>
        <sz val="12"/>
        <color theme="1"/>
        <rFont val="新細明體"/>
        <family val="2"/>
        <scheme val="minor"/>
      </rPr>
      <t>離婚再婚</t>
    </r>
    <phoneticPr fontId="72" type="noConversion"/>
  </si>
  <si>
    <r>
      <rPr>
        <sz val="12"/>
        <color theme="1"/>
        <rFont val="新細明體"/>
        <family val="2"/>
        <scheme val="minor"/>
      </rPr>
      <t>喪偶</t>
    </r>
    <phoneticPr fontId="72" type="noConversion"/>
  </si>
  <si>
    <r>
      <rPr>
        <sz val="12"/>
        <color theme="1"/>
        <rFont val="新細明體"/>
        <family val="2"/>
        <scheme val="minor"/>
      </rPr>
      <t>其他</t>
    </r>
    <phoneticPr fontId="72" type="noConversion"/>
  </si>
  <si>
    <r>
      <rPr>
        <sz val="10"/>
        <rFont val="新細明體"/>
        <family val="1"/>
        <charset val="136"/>
      </rPr>
      <t>資料來源：司法院</t>
    </r>
    <r>
      <rPr>
        <sz val="10"/>
        <rFont val="Times New Roman"/>
        <family val="1"/>
      </rPr>
      <t>(</t>
    </r>
    <r>
      <rPr>
        <sz val="10"/>
        <rFont val="新細明體"/>
        <family val="1"/>
        <charset val="136"/>
      </rPr>
      <t>表</t>
    </r>
    <r>
      <rPr>
        <sz val="10"/>
        <rFont val="Times New Roman"/>
        <family val="1"/>
      </rPr>
      <t>10914-02-05-05)</t>
    </r>
    <r>
      <rPr>
        <sz val="10"/>
        <rFont val="新細明體"/>
        <family val="1"/>
        <charset val="136"/>
      </rPr>
      <t>。</t>
    </r>
    <phoneticPr fontId="72" type="noConversion"/>
  </si>
  <si>
    <r>
      <rPr>
        <sz val="15"/>
        <color theme="1"/>
        <rFont val="新細明體"/>
        <family val="1"/>
        <charset val="136"/>
      </rPr>
      <t>表</t>
    </r>
    <r>
      <rPr>
        <sz val="15"/>
        <color theme="1"/>
        <rFont val="Times New Roman"/>
        <family val="1"/>
      </rPr>
      <t>3-2-21</t>
    </r>
    <r>
      <rPr>
        <sz val="15"/>
        <color theme="1"/>
        <rFont val="新細明體"/>
        <family val="1"/>
        <charset val="136"/>
      </rPr>
      <t>　近</t>
    </r>
    <r>
      <rPr>
        <sz val="15"/>
        <color theme="1"/>
        <rFont val="Times New Roman"/>
        <family val="1"/>
      </rPr>
      <t>10</t>
    </r>
    <r>
      <rPr>
        <sz val="15"/>
        <color theme="1"/>
        <rFont val="新細明體"/>
        <family val="1"/>
        <charset val="136"/>
      </rPr>
      <t>年虞犯</t>
    </r>
    <r>
      <rPr>
        <sz val="15"/>
        <color theme="1"/>
        <rFont val="Times New Roman"/>
        <family val="1"/>
      </rPr>
      <t>/</t>
    </r>
    <r>
      <rPr>
        <sz val="15"/>
        <color theme="1"/>
        <rFont val="新細明體"/>
        <family val="1"/>
        <charset val="136"/>
      </rPr>
      <t>曝險少年之性別與行為</t>
    </r>
    <phoneticPr fontId="72" type="noConversion"/>
  </si>
  <si>
    <r>
      <t>99</t>
    </r>
    <r>
      <rPr>
        <sz val="12"/>
        <color theme="1"/>
        <rFont val="新細明體"/>
        <family val="1"/>
        <charset val="136"/>
      </rPr>
      <t>年</t>
    </r>
    <phoneticPr fontId="72" type="noConversion"/>
  </si>
  <si>
    <r>
      <t>100</t>
    </r>
    <r>
      <rPr>
        <sz val="12"/>
        <color theme="1"/>
        <rFont val="新細明體"/>
        <family val="1"/>
        <charset val="136"/>
      </rPr>
      <t>年</t>
    </r>
    <phoneticPr fontId="72" type="noConversion"/>
  </si>
  <si>
    <r>
      <t>101</t>
    </r>
    <r>
      <rPr>
        <sz val="12"/>
        <color theme="1"/>
        <rFont val="新細明體"/>
        <family val="1"/>
        <charset val="136"/>
      </rPr>
      <t>年</t>
    </r>
    <phoneticPr fontId="72" type="noConversion"/>
  </si>
  <si>
    <r>
      <t>102</t>
    </r>
    <r>
      <rPr>
        <sz val="12"/>
        <color theme="1"/>
        <rFont val="新細明體"/>
        <family val="1"/>
        <charset val="136"/>
      </rPr>
      <t>年</t>
    </r>
    <phoneticPr fontId="72" type="noConversion"/>
  </si>
  <si>
    <r>
      <t>103</t>
    </r>
    <r>
      <rPr>
        <sz val="12"/>
        <color theme="1"/>
        <rFont val="新細明體"/>
        <family val="1"/>
        <charset val="136"/>
      </rPr>
      <t>年</t>
    </r>
    <phoneticPr fontId="72" type="noConversion"/>
  </si>
  <si>
    <r>
      <rPr>
        <sz val="12"/>
        <color theme="1"/>
        <rFont val="新細明體"/>
        <family val="1"/>
        <charset val="136"/>
      </rPr>
      <t>人數</t>
    </r>
    <phoneticPr fontId="72" type="noConversion"/>
  </si>
  <si>
    <r>
      <rPr>
        <sz val="12"/>
        <color theme="1"/>
        <rFont val="新細明體"/>
        <family val="1"/>
        <charset val="136"/>
      </rPr>
      <t>百分比</t>
    </r>
    <phoneticPr fontId="72" type="noConversion"/>
  </si>
  <si>
    <r>
      <rPr>
        <sz val="12"/>
        <color theme="1"/>
        <rFont val="新細明體"/>
        <family val="1"/>
        <charset val="136"/>
      </rPr>
      <t>人數</t>
    </r>
    <phoneticPr fontId="72" type="noConversion"/>
  </si>
  <si>
    <r>
      <rPr>
        <sz val="12"/>
        <color theme="1"/>
        <rFont val="新細明體"/>
        <family val="1"/>
        <charset val="136"/>
      </rPr>
      <t>總計</t>
    </r>
    <phoneticPr fontId="72" type="noConversion"/>
  </si>
  <si>
    <r>
      <rPr>
        <sz val="12"/>
        <color theme="1"/>
        <rFont val="新細明體"/>
        <family val="1"/>
        <charset val="136"/>
      </rPr>
      <t>男性</t>
    </r>
    <phoneticPr fontId="72" type="noConversion"/>
  </si>
  <si>
    <r>
      <rPr>
        <sz val="12"/>
        <color theme="1"/>
        <rFont val="新細明體"/>
        <family val="1"/>
        <charset val="136"/>
      </rPr>
      <t>女性</t>
    </r>
    <phoneticPr fontId="72" type="noConversion"/>
  </si>
  <si>
    <r>
      <rPr>
        <sz val="12"/>
        <color theme="1"/>
        <rFont val="新細明體"/>
        <family val="1"/>
        <charset val="136"/>
      </rPr>
      <t>總計</t>
    </r>
    <phoneticPr fontId="72" type="noConversion"/>
  </si>
  <si>
    <t>總計</t>
    <phoneticPr fontId="44" type="noConversion"/>
  </si>
  <si>
    <r>
      <rPr>
        <sz val="11"/>
        <color theme="1"/>
        <rFont val="新細明體"/>
        <family val="1"/>
        <charset val="136"/>
        <scheme val="major"/>
      </rPr>
      <t>經常與有犯罪習性之人交往者</t>
    </r>
    <phoneticPr fontId="72" type="noConversion"/>
  </si>
  <si>
    <r>
      <rPr>
        <sz val="11"/>
        <color theme="1"/>
        <rFont val="新細明體"/>
        <family val="1"/>
        <charset val="136"/>
        <scheme val="major"/>
      </rPr>
      <t>經常出入少年不當進入之場所者</t>
    </r>
    <phoneticPr fontId="72" type="noConversion"/>
  </si>
  <si>
    <r>
      <rPr>
        <sz val="11"/>
        <color theme="1"/>
        <rFont val="新細明體"/>
        <family val="1"/>
        <charset val="136"/>
        <scheme val="major"/>
      </rPr>
      <t>經常逃學或逃家者</t>
    </r>
    <phoneticPr fontId="72" type="noConversion"/>
  </si>
  <si>
    <r>
      <rPr>
        <sz val="11"/>
        <color theme="1"/>
        <rFont val="新細明體"/>
        <family val="1"/>
        <charset val="136"/>
        <scheme val="major"/>
      </rPr>
      <t>參加不良組織者</t>
    </r>
    <phoneticPr fontId="72" type="noConversion"/>
  </si>
  <si>
    <t>-</t>
    <phoneticPr fontId="44" type="noConversion"/>
  </si>
  <si>
    <t>無正當理由經常攜帶刀械者</t>
  </si>
  <si>
    <t>吸食或施打煙毒或麻醉藥品以外之迷幻物品者</t>
  </si>
  <si>
    <t>有預備犯罪或犯罪未遂而為法所不罰之行為者</t>
  </si>
  <si>
    <r>
      <t>104</t>
    </r>
    <r>
      <rPr>
        <sz val="12"/>
        <color theme="1"/>
        <rFont val="新細明體"/>
        <family val="1"/>
        <charset val="136"/>
      </rPr>
      <t>年</t>
    </r>
    <phoneticPr fontId="72" type="noConversion"/>
  </si>
  <si>
    <r>
      <t>105</t>
    </r>
    <r>
      <rPr>
        <sz val="12"/>
        <color theme="1"/>
        <rFont val="新細明體"/>
        <family val="1"/>
        <charset val="136"/>
      </rPr>
      <t>年</t>
    </r>
    <phoneticPr fontId="72" type="noConversion"/>
  </si>
  <si>
    <r>
      <t>106</t>
    </r>
    <r>
      <rPr>
        <sz val="12"/>
        <color theme="1"/>
        <rFont val="新細明體"/>
        <family val="1"/>
        <charset val="136"/>
      </rPr>
      <t>年</t>
    </r>
    <phoneticPr fontId="72" type="noConversion"/>
  </si>
  <si>
    <r>
      <t>107</t>
    </r>
    <r>
      <rPr>
        <sz val="12"/>
        <color theme="1"/>
        <rFont val="新細明體"/>
        <family val="1"/>
        <charset val="136"/>
      </rPr>
      <t>年</t>
    </r>
    <phoneticPr fontId="72" type="noConversion"/>
  </si>
  <si>
    <r>
      <t>108</t>
    </r>
    <r>
      <rPr>
        <sz val="12"/>
        <color theme="1"/>
        <rFont val="新細明體"/>
        <family val="1"/>
        <charset val="136"/>
      </rPr>
      <t>年</t>
    </r>
    <phoneticPr fontId="72" type="noConversion"/>
  </si>
  <si>
    <r>
      <rPr>
        <sz val="12"/>
        <color theme="1"/>
        <rFont val="新細明體"/>
        <family val="1"/>
        <charset val="136"/>
      </rPr>
      <t>百分比</t>
    </r>
    <phoneticPr fontId="72" type="noConversion"/>
  </si>
  <si>
    <r>
      <rPr>
        <sz val="12"/>
        <color theme="1"/>
        <rFont val="新細明體"/>
        <family val="1"/>
        <charset val="136"/>
      </rPr>
      <t>百分比</t>
    </r>
    <phoneticPr fontId="72" type="noConversion"/>
  </si>
  <si>
    <r>
      <rPr>
        <sz val="12"/>
        <color theme="1"/>
        <rFont val="新細明體"/>
        <family val="1"/>
        <charset val="136"/>
      </rPr>
      <t>人數</t>
    </r>
    <phoneticPr fontId="72" type="noConversion"/>
  </si>
  <si>
    <r>
      <rPr>
        <sz val="12"/>
        <color theme="1"/>
        <rFont val="新細明體"/>
        <family val="1"/>
        <charset val="136"/>
      </rPr>
      <t>女性</t>
    </r>
    <phoneticPr fontId="72" type="noConversion"/>
  </si>
  <si>
    <r>
      <rPr>
        <sz val="12"/>
        <color theme="1"/>
        <rFont val="新細明體"/>
        <family val="1"/>
        <charset val="136"/>
      </rPr>
      <t>男性</t>
    </r>
    <phoneticPr fontId="72" type="noConversion"/>
  </si>
  <si>
    <r>
      <rPr>
        <sz val="12"/>
        <color theme="1"/>
        <rFont val="新細明體"/>
        <family val="1"/>
        <charset val="136"/>
      </rPr>
      <t>男性</t>
    </r>
    <phoneticPr fontId="72" type="noConversion"/>
  </si>
  <si>
    <r>
      <rPr>
        <sz val="11"/>
        <color theme="1"/>
        <rFont val="新細明體"/>
        <family val="1"/>
        <charset val="136"/>
        <scheme val="major"/>
      </rPr>
      <t>經常與有犯罪習性之人交往者</t>
    </r>
    <phoneticPr fontId="72" type="noConversion"/>
  </si>
  <si>
    <r>
      <rPr>
        <sz val="11"/>
        <color theme="1"/>
        <rFont val="新細明體"/>
        <family val="1"/>
        <charset val="136"/>
        <scheme val="major"/>
      </rPr>
      <t>經常出入少年不當進入之場所者</t>
    </r>
    <phoneticPr fontId="72" type="noConversion"/>
  </si>
  <si>
    <r>
      <rPr>
        <sz val="11"/>
        <color theme="1"/>
        <rFont val="新細明體"/>
        <family val="1"/>
        <charset val="136"/>
        <scheme val="major"/>
      </rPr>
      <t>參加不良組織者</t>
    </r>
    <phoneticPr fontId="72" type="noConversion"/>
  </si>
  <si>
    <t>無正當理由經常攜帶刀械者</t>
    <phoneticPr fontId="72" type="noConversion"/>
  </si>
  <si>
    <r>
      <rPr>
        <sz val="10"/>
        <color theme="1"/>
        <rFont val="新細明體"/>
        <family val="1"/>
        <charset val="136"/>
      </rPr>
      <t>資料來源：司法院</t>
    </r>
    <r>
      <rPr>
        <sz val="10"/>
        <color theme="1"/>
        <rFont val="Times New Roman"/>
        <family val="1"/>
      </rPr>
      <t>(</t>
    </r>
    <r>
      <rPr>
        <sz val="10"/>
        <color theme="1"/>
        <rFont val="新細明體"/>
        <family val="1"/>
        <charset val="136"/>
      </rPr>
      <t>表</t>
    </r>
    <r>
      <rPr>
        <sz val="10"/>
        <color theme="1"/>
        <rFont val="Times New Roman"/>
        <family val="1"/>
      </rPr>
      <t>10914-03-03-05)</t>
    </r>
    <r>
      <rPr>
        <sz val="10"/>
        <color theme="1"/>
        <rFont val="新細明體"/>
        <family val="1"/>
        <charset val="136"/>
      </rPr>
      <t>。</t>
    </r>
    <phoneticPr fontId="72" type="noConversion"/>
  </si>
  <si>
    <t>說　　明：本表係以108年6月19日修法施行前條文為分類基準，且不含未經個案調查人數。</t>
    <phoneticPr fontId="44" type="noConversion"/>
  </si>
  <si>
    <r>
      <rPr>
        <sz val="15"/>
        <rFont val="新細明體"/>
        <family val="1"/>
        <charset val="136"/>
      </rPr>
      <t>表</t>
    </r>
    <r>
      <rPr>
        <sz val="15"/>
        <rFont val="Times New Roman"/>
        <family val="1"/>
      </rPr>
      <t>3-2-22</t>
    </r>
    <r>
      <rPr>
        <sz val="15"/>
        <rFont val="新細明體"/>
        <family val="1"/>
        <charset val="136"/>
      </rPr>
      <t>　近</t>
    </r>
    <r>
      <rPr>
        <sz val="15"/>
        <rFont val="Times New Roman"/>
        <family val="1"/>
      </rPr>
      <t>10</t>
    </r>
    <r>
      <rPr>
        <sz val="15"/>
        <rFont val="新細明體"/>
        <family val="1"/>
        <charset val="136"/>
      </rPr>
      <t>年虞犯</t>
    </r>
    <r>
      <rPr>
        <sz val="15"/>
        <rFont val="Times New Roman"/>
        <family val="1"/>
      </rPr>
      <t>/</t>
    </r>
    <r>
      <rPr>
        <sz val="15"/>
        <rFont val="新細明體"/>
        <family val="1"/>
        <charset val="136"/>
      </rPr>
      <t>曝險少年性別與年齡</t>
    </r>
    <phoneticPr fontId="72" type="noConversion"/>
  </si>
  <si>
    <r>
      <rPr>
        <sz val="12"/>
        <color theme="1"/>
        <rFont val="新細明體"/>
        <family val="2"/>
        <scheme val="minor"/>
      </rPr>
      <t>男</t>
    </r>
    <phoneticPr fontId="72" type="noConversion"/>
  </si>
  <si>
    <r>
      <t>12</t>
    </r>
    <r>
      <rPr>
        <sz val="12"/>
        <color theme="1"/>
        <rFont val="新細明體"/>
        <family val="2"/>
        <scheme val="minor"/>
      </rPr>
      <t>歲未滿</t>
    </r>
    <phoneticPr fontId="72" type="noConversion"/>
  </si>
  <si>
    <r>
      <t>12</t>
    </r>
    <r>
      <rPr>
        <sz val="12"/>
        <color theme="1"/>
        <rFont val="新細明體"/>
        <family val="2"/>
        <scheme val="minor"/>
      </rPr>
      <t>歲以上</t>
    </r>
    <r>
      <rPr>
        <sz val="12"/>
        <rFont val="Times New Roman"/>
        <family val="1"/>
      </rPr>
      <t>13</t>
    </r>
    <r>
      <rPr>
        <sz val="12"/>
        <color theme="1"/>
        <rFont val="新細明體"/>
        <family val="2"/>
        <scheme val="minor"/>
      </rPr>
      <t>歲未滿</t>
    </r>
    <phoneticPr fontId="72" type="noConversion"/>
  </si>
  <si>
    <r>
      <t>13</t>
    </r>
    <r>
      <rPr>
        <sz val="12"/>
        <color theme="1"/>
        <rFont val="新細明體"/>
        <family val="2"/>
        <scheme val="minor"/>
      </rPr>
      <t>歲以上</t>
    </r>
    <r>
      <rPr>
        <sz val="12"/>
        <rFont val="Times New Roman"/>
        <family val="1"/>
      </rPr>
      <t>14</t>
    </r>
    <r>
      <rPr>
        <sz val="12"/>
        <color theme="1"/>
        <rFont val="新細明體"/>
        <family val="2"/>
        <scheme val="minor"/>
      </rPr>
      <t>歲未滿</t>
    </r>
    <phoneticPr fontId="72" type="noConversion"/>
  </si>
  <si>
    <r>
      <t>14</t>
    </r>
    <r>
      <rPr>
        <sz val="12"/>
        <color theme="1"/>
        <rFont val="新細明體"/>
        <family val="2"/>
        <scheme val="minor"/>
      </rPr>
      <t>歲以上</t>
    </r>
    <r>
      <rPr>
        <sz val="12"/>
        <rFont val="Times New Roman"/>
        <family val="1"/>
      </rPr>
      <t>15</t>
    </r>
    <r>
      <rPr>
        <sz val="12"/>
        <color theme="1"/>
        <rFont val="新細明體"/>
        <family val="2"/>
        <scheme val="minor"/>
      </rPr>
      <t>歲未滿</t>
    </r>
    <phoneticPr fontId="72" type="noConversion"/>
  </si>
  <si>
    <r>
      <t>15</t>
    </r>
    <r>
      <rPr>
        <sz val="12"/>
        <color theme="1"/>
        <rFont val="新細明體"/>
        <family val="2"/>
        <scheme val="minor"/>
      </rPr>
      <t>歲以上</t>
    </r>
    <r>
      <rPr>
        <sz val="12"/>
        <rFont val="Times New Roman"/>
        <family val="1"/>
      </rPr>
      <t>16</t>
    </r>
    <r>
      <rPr>
        <sz val="12"/>
        <color theme="1"/>
        <rFont val="新細明體"/>
        <family val="2"/>
        <scheme val="minor"/>
      </rPr>
      <t>歲未滿</t>
    </r>
    <phoneticPr fontId="72" type="noConversion"/>
  </si>
  <si>
    <r>
      <t>16</t>
    </r>
    <r>
      <rPr>
        <sz val="12"/>
        <color theme="1"/>
        <rFont val="新細明體"/>
        <family val="2"/>
        <scheme val="minor"/>
      </rPr>
      <t>歲以上</t>
    </r>
    <r>
      <rPr>
        <sz val="12"/>
        <rFont val="Times New Roman"/>
        <family val="1"/>
      </rPr>
      <t>17</t>
    </r>
    <r>
      <rPr>
        <sz val="12"/>
        <color theme="1"/>
        <rFont val="新細明體"/>
        <family val="2"/>
        <scheme val="minor"/>
      </rPr>
      <t>歲未滿</t>
    </r>
    <phoneticPr fontId="72" type="noConversion"/>
  </si>
  <si>
    <r>
      <t>17</t>
    </r>
    <r>
      <rPr>
        <sz val="12"/>
        <color theme="1"/>
        <rFont val="新細明體"/>
        <family val="2"/>
        <scheme val="minor"/>
      </rPr>
      <t>歲以上</t>
    </r>
    <r>
      <rPr>
        <sz val="12"/>
        <rFont val="Times New Roman"/>
        <family val="1"/>
      </rPr>
      <t>18</t>
    </r>
    <r>
      <rPr>
        <sz val="12"/>
        <color theme="1"/>
        <rFont val="新細明體"/>
        <family val="2"/>
        <scheme val="minor"/>
      </rPr>
      <t>歲未滿</t>
    </r>
    <phoneticPr fontId="72" type="noConversion"/>
  </si>
  <si>
    <r>
      <rPr>
        <sz val="12"/>
        <color theme="1"/>
        <rFont val="新細明體"/>
        <family val="2"/>
        <scheme val="minor"/>
      </rPr>
      <t>女</t>
    </r>
    <phoneticPr fontId="72" type="noConversion"/>
  </si>
  <si>
    <t>-</t>
    <phoneticPr fontId="72" type="noConversion"/>
  </si>
  <si>
    <r>
      <t>12</t>
    </r>
    <r>
      <rPr>
        <sz val="12"/>
        <color theme="1"/>
        <rFont val="新細明體"/>
        <family val="2"/>
        <scheme val="minor"/>
      </rPr>
      <t>歲以上</t>
    </r>
    <r>
      <rPr>
        <sz val="12"/>
        <rFont val="Times New Roman"/>
        <family val="1"/>
      </rPr>
      <t>13</t>
    </r>
    <r>
      <rPr>
        <sz val="12"/>
        <color theme="1"/>
        <rFont val="新細明體"/>
        <family val="2"/>
        <scheme val="minor"/>
      </rPr>
      <t>歲未滿</t>
    </r>
    <phoneticPr fontId="72" type="noConversion"/>
  </si>
  <si>
    <r>
      <rPr>
        <sz val="10"/>
        <rFont val="新細明體"/>
        <family val="1"/>
        <charset val="136"/>
      </rPr>
      <t>說　　明：</t>
    </r>
    <r>
      <rPr>
        <sz val="10"/>
        <rFont val="Times New Roman"/>
        <family val="1"/>
      </rPr>
      <t xml:space="preserve">1. </t>
    </r>
    <r>
      <rPr>
        <sz val="10"/>
        <rFont val="新細明體"/>
        <family val="1"/>
        <charset val="136"/>
      </rPr>
      <t>被歸類為</t>
    </r>
    <r>
      <rPr>
        <sz val="10"/>
        <rFont val="Times New Roman"/>
        <family val="1"/>
      </rPr>
      <t>12</t>
    </r>
    <r>
      <rPr>
        <sz val="10"/>
        <rFont val="新細明體"/>
        <family val="1"/>
        <charset val="136"/>
      </rPr>
      <t>歲未滿的少年，係於移送時為</t>
    </r>
    <r>
      <rPr>
        <sz val="10"/>
        <rFont val="Times New Roman"/>
        <family val="1"/>
      </rPr>
      <t>12</t>
    </r>
    <r>
      <rPr>
        <sz val="10"/>
        <rFont val="新細明體"/>
        <family val="1"/>
        <charset val="136"/>
      </rPr>
      <t>歲以上，但在調查或審理階段時，始得知該少年觸法時未滿</t>
    </r>
    <r>
      <rPr>
        <sz val="10"/>
        <rFont val="Times New Roman"/>
        <family val="1"/>
      </rPr>
      <t>12</t>
    </r>
    <r>
      <rPr>
        <sz val="10"/>
        <rFont val="新細明體"/>
        <family val="1"/>
        <charset val="136"/>
      </rPr>
      <t>歲而言。
　　　　　</t>
    </r>
    <r>
      <rPr>
        <sz val="10"/>
        <rFont val="Times New Roman"/>
        <family val="1"/>
      </rPr>
      <t xml:space="preserve">2. </t>
    </r>
    <r>
      <rPr>
        <sz val="10"/>
        <rFont val="新細明體"/>
        <family val="1"/>
        <charset val="136"/>
      </rPr>
      <t>本表不包含未經個案調查人數。</t>
    </r>
    <phoneticPr fontId="44" type="noConversion"/>
  </si>
  <si>
    <r>
      <rPr>
        <sz val="15"/>
        <rFont val="新細明體"/>
        <family val="1"/>
        <charset val="136"/>
      </rPr>
      <t>表</t>
    </r>
    <r>
      <rPr>
        <sz val="15"/>
        <rFont val="Times New Roman"/>
        <family val="1"/>
      </rPr>
      <t>3-2-23</t>
    </r>
    <r>
      <rPr>
        <sz val="15"/>
        <rFont val="新細明體"/>
        <family val="1"/>
        <charset val="136"/>
      </rPr>
      <t>　近</t>
    </r>
    <r>
      <rPr>
        <sz val="15"/>
        <rFont val="Times New Roman"/>
        <family val="1"/>
      </rPr>
      <t>10</t>
    </r>
    <r>
      <rPr>
        <sz val="15"/>
        <rFont val="新細明體"/>
        <family val="1"/>
        <charset val="136"/>
      </rPr>
      <t>年虞犯</t>
    </r>
    <r>
      <rPr>
        <sz val="15"/>
        <rFont val="Times New Roman"/>
        <family val="1"/>
      </rPr>
      <t>/</t>
    </r>
    <r>
      <rPr>
        <sz val="15"/>
        <rFont val="新細明體"/>
        <family val="1"/>
        <charset val="136"/>
      </rPr>
      <t>曝險少年教育程度</t>
    </r>
    <phoneticPr fontId="72" type="noConversion"/>
  </si>
  <si>
    <r>
      <t>100</t>
    </r>
    <r>
      <rPr>
        <sz val="12"/>
        <color theme="1"/>
        <rFont val="新細明體"/>
        <family val="2"/>
        <scheme val="minor"/>
      </rPr>
      <t>年</t>
    </r>
    <phoneticPr fontId="72" type="noConversion"/>
  </si>
  <si>
    <r>
      <rPr>
        <sz val="12"/>
        <color theme="1"/>
        <rFont val="新細明體"/>
        <family val="2"/>
        <scheme val="minor"/>
      </rPr>
      <t>年</t>
    </r>
    <phoneticPr fontId="72" type="noConversion"/>
  </si>
  <si>
    <r>
      <t>103</t>
    </r>
    <r>
      <rPr>
        <sz val="12"/>
        <color theme="1"/>
        <rFont val="新細明體"/>
        <family val="2"/>
        <scheme val="minor"/>
      </rPr>
      <t>年</t>
    </r>
    <phoneticPr fontId="72" type="noConversion"/>
  </si>
  <si>
    <r>
      <rPr>
        <sz val="12"/>
        <color theme="1"/>
        <rFont val="新細明體"/>
        <family val="2"/>
        <scheme val="minor"/>
      </rPr>
      <t>國小畢業</t>
    </r>
    <phoneticPr fontId="72" type="noConversion"/>
  </si>
  <si>
    <r>
      <rPr>
        <sz val="12"/>
        <color theme="1"/>
        <rFont val="新細明體"/>
        <family val="2"/>
        <scheme val="minor"/>
      </rPr>
      <t>國小肄業</t>
    </r>
    <phoneticPr fontId="72" type="noConversion"/>
  </si>
  <si>
    <r>
      <rPr>
        <sz val="12"/>
        <color theme="1"/>
        <rFont val="新細明體"/>
        <family val="2"/>
        <scheme val="minor"/>
      </rPr>
      <t>高中</t>
    </r>
    <r>
      <rPr>
        <sz val="12"/>
        <rFont val="Times New Roman"/>
        <family val="1"/>
      </rPr>
      <t>(</t>
    </r>
    <r>
      <rPr>
        <sz val="12"/>
        <color theme="1"/>
        <rFont val="新細明體"/>
        <family val="2"/>
        <scheme val="minor"/>
      </rPr>
      <t>職</t>
    </r>
    <r>
      <rPr>
        <sz val="12"/>
        <rFont val="Times New Roman"/>
        <family val="1"/>
      </rPr>
      <t>)</t>
    </r>
    <r>
      <rPr>
        <sz val="12"/>
        <color theme="1"/>
        <rFont val="新細明體"/>
        <family val="2"/>
        <scheme val="minor"/>
      </rPr>
      <t>畢業</t>
    </r>
    <phoneticPr fontId="72" type="noConversion"/>
  </si>
  <si>
    <r>
      <rPr>
        <sz val="12"/>
        <color theme="1"/>
        <rFont val="新細明體"/>
        <family val="2"/>
        <scheme val="minor"/>
      </rPr>
      <t>高中</t>
    </r>
    <r>
      <rPr>
        <sz val="12"/>
        <rFont val="Times New Roman"/>
        <family val="1"/>
      </rPr>
      <t>(</t>
    </r>
    <r>
      <rPr>
        <sz val="12"/>
        <color theme="1"/>
        <rFont val="新細明體"/>
        <family val="2"/>
        <scheme val="minor"/>
      </rPr>
      <t>職</t>
    </r>
    <r>
      <rPr>
        <sz val="12"/>
        <rFont val="Times New Roman"/>
        <family val="1"/>
      </rPr>
      <t>)</t>
    </r>
    <r>
      <rPr>
        <sz val="12"/>
        <color theme="1"/>
        <rFont val="新細明體"/>
        <family val="2"/>
        <scheme val="minor"/>
      </rPr>
      <t>肄業</t>
    </r>
    <r>
      <rPr>
        <sz val="12"/>
        <rFont val="Times New Roman"/>
        <family val="1"/>
      </rPr>
      <t/>
    </r>
    <phoneticPr fontId="72" type="noConversion"/>
  </si>
  <si>
    <r>
      <rPr>
        <sz val="12"/>
        <color theme="1"/>
        <rFont val="新細明體"/>
        <family val="2"/>
        <scheme val="minor"/>
      </rPr>
      <t>大學</t>
    </r>
    <r>
      <rPr>
        <sz val="12"/>
        <rFont val="Times New Roman"/>
        <family val="1"/>
      </rPr>
      <t>(</t>
    </r>
    <r>
      <rPr>
        <sz val="12"/>
        <color theme="1"/>
        <rFont val="新細明體"/>
        <family val="2"/>
        <scheme val="minor"/>
      </rPr>
      <t>專</t>
    </r>
    <r>
      <rPr>
        <sz val="12"/>
        <rFont val="Times New Roman"/>
        <family val="1"/>
      </rPr>
      <t>)</t>
    </r>
    <r>
      <rPr>
        <sz val="12"/>
        <color theme="1"/>
        <rFont val="新細明體"/>
        <family val="2"/>
        <scheme val="minor"/>
      </rPr>
      <t>肄業</t>
    </r>
    <r>
      <rPr>
        <sz val="12"/>
        <rFont val="Times New Roman"/>
        <family val="1"/>
      </rPr>
      <t/>
    </r>
    <phoneticPr fontId="72" type="noConversion"/>
  </si>
  <si>
    <r>
      <t>104</t>
    </r>
    <r>
      <rPr>
        <sz val="12"/>
        <color theme="1"/>
        <rFont val="新細明體"/>
        <family val="2"/>
        <scheme val="minor"/>
      </rPr>
      <t>年</t>
    </r>
    <phoneticPr fontId="72" type="noConversion"/>
  </si>
  <si>
    <r>
      <rPr>
        <sz val="12"/>
        <color theme="1"/>
        <rFont val="新細明體"/>
        <family val="2"/>
        <scheme val="minor"/>
      </rPr>
      <t>國小肄業</t>
    </r>
    <phoneticPr fontId="72" type="noConversion"/>
  </si>
  <si>
    <r>
      <rPr>
        <sz val="12"/>
        <color theme="1"/>
        <rFont val="新細明體"/>
        <family val="2"/>
        <scheme val="minor"/>
      </rPr>
      <t>高中</t>
    </r>
    <r>
      <rPr>
        <sz val="12"/>
        <rFont val="Times New Roman"/>
        <family val="1"/>
      </rPr>
      <t>(</t>
    </r>
    <r>
      <rPr>
        <sz val="12"/>
        <color theme="1"/>
        <rFont val="新細明體"/>
        <family val="2"/>
        <scheme val="minor"/>
      </rPr>
      <t>職</t>
    </r>
    <r>
      <rPr>
        <sz val="12"/>
        <rFont val="Times New Roman"/>
        <family val="1"/>
      </rPr>
      <t>)</t>
    </r>
    <r>
      <rPr>
        <sz val="12"/>
        <color theme="1"/>
        <rFont val="新細明體"/>
        <family val="2"/>
        <scheme val="minor"/>
      </rPr>
      <t>畢業</t>
    </r>
    <phoneticPr fontId="72" type="noConversion"/>
  </si>
  <si>
    <r>
      <rPr>
        <sz val="12"/>
        <color theme="1"/>
        <rFont val="新細明體"/>
        <family val="2"/>
        <scheme val="minor"/>
      </rPr>
      <t>高中</t>
    </r>
    <r>
      <rPr>
        <sz val="12"/>
        <rFont val="Times New Roman"/>
        <family val="1"/>
      </rPr>
      <t>(</t>
    </r>
    <r>
      <rPr>
        <sz val="12"/>
        <color theme="1"/>
        <rFont val="新細明體"/>
        <family val="2"/>
        <scheme val="minor"/>
      </rPr>
      <t>職</t>
    </r>
    <r>
      <rPr>
        <sz val="12"/>
        <rFont val="Times New Roman"/>
        <family val="1"/>
      </rPr>
      <t>)</t>
    </r>
    <r>
      <rPr>
        <sz val="12"/>
        <color theme="1"/>
        <rFont val="新細明體"/>
        <family val="2"/>
        <scheme val="minor"/>
      </rPr>
      <t>肄業</t>
    </r>
    <r>
      <rPr>
        <sz val="12"/>
        <rFont val="Times New Roman"/>
        <family val="1"/>
      </rPr>
      <t/>
    </r>
    <phoneticPr fontId="72" type="noConversion"/>
  </si>
  <si>
    <r>
      <rPr>
        <sz val="12"/>
        <color theme="1"/>
        <rFont val="新細明體"/>
        <family val="2"/>
        <scheme val="minor"/>
      </rPr>
      <t>自修</t>
    </r>
    <phoneticPr fontId="72" type="noConversion"/>
  </si>
  <si>
    <r>
      <rPr>
        <sz val="10"/>
        <rFont val="新細明體"/>
        <family val="1"/>
        <charset val="136"/>
      </rPr>
      <t>資料來源：司法院</t>
    </r>
    <r>
      <rPr>
        <sz val="10"/>
        <rFont val="Times New Roman"/>
        <family val="1"/>
      </rPr>
      <t>(</t>
    </r>
    <r>
      <rPr>
        <sz val="10"/>
        <rFont val="新細明體"/>
        <family val="1"/>
        <charset val="136"/>
      </rPr>
      <t>表</t>
    </r>
    <r>
      <rPr>
        <sz val="10"/>
        <rFont val="Times New Roman"/>
        <family val="1"/>
      </rPr>
      <t xml:space="preserve">10914-03-05-05) </t>
    </r>
    <r>
      <rPr>
        <sz val="10"/>
        <rFont val="新細明體"/>
        <family val="1"/>
        <charset val="136"/>
      </rPr>
      <t>。</t>
    </r>
    <phoneticPr fontId="72" type="noConversion"/>
  </si>
  <si>
    <t>說　　明：1. 肄業含在校及離校。
　　　　　2. 本表不包含未經個案調查人數。</t>
    <phoneticPr fontId="44" type="noConversion"/>
  </si>
  <si>
    <r>
      <rPr>
        <sz val="15"/>
        <rFont val="新細明體"/>
        <family val="1"/>
        <charset val="136"/>
      </rPr>
      <t>表</t>
    </r>
    <r>
      <rPr>
        <sz val="15"/>
        <rFont val="Times New Roman"/>
        <family val="1"/>
      </rPr>
      <t>3-2-24</t>
    </r>
    <r>
      <rPr>
        <sz val="15"/>
        <rFont val="新細明體"/>
        <family val="1"/>
        <charset val="136"/>
      </rPr>
      <t>　近</t>
    </r>
    <r>
      <rPr>
        <sz val="15"/>
        <rFont val="Times New Roman"/>
        <family val="1"/>
      </rPr>
      <t>10</t>
    </r>
    <r>
      <rPr>
        <sz val="15"/>
        <rFont val="新細明體"/>
        <family val="1"/>
        <charset val="136"/>
      </rPr>
      <t>年虞犯</t>
    </r>
    <r>
      <rPr>
        <sz val="15"/>
        <rFont val="Times New Roman"/>
        <family val="1"/>
      </rPr>
      <t>/</t>
    </r>
    <r>
      <rPr>
        <sz val="15"/>
        <rFont val="新細明體"/>
        <family val="1"/>
        <charset val="136"/>
      </rPr>
      <t>曝險少年就業情形</t>
    </r>
    <phoneticPr fontId="72" type="noConversion"/>
  </si>
  <si>
    <r>
      <rPr>
        <sz val="12"/>
        <color theme="1"/>
        <rFont val="新細明體"/>
        <family val="2"/>
        <scheme val="minor"/>
      </rPr>
      <t>人數</t>
    </r>
    <phoneticPr fontId="72" type="noConversion"/>
  </si>
  <si>
    <r>
      <rPr>
        <sz val="12"/>
        <color theme="1"/>
        <rFont val="新細明體"/>
        <family val="2"/>
        <scheme val="minor"/>
      </rPr>
      <t>百分比</t>
    </r>
    <phoneticPr fontId="72" type="noConversion"/>
  </si>
  <si>
    <r>
      <rPr>
        <sz val="12"/>
        <color theme="1"/>
        <rFont val="新細明體"/>
        <family val="2"/>
        <scheme val="minor"/>
      </rPr>
      <t>百分比</t>
    </r>
    <phoneticPr fontId="72" type="noConversion"/>
  </si>
  <si>
    <r>
      <rPr>
        <sz val="12"/>
        <color theme="1"/>
        <rFont val="新細明體"/>
        <family val="2"/>
        <scheme val="minor"/>
      </rPr>
      <t>男性</t>
    </r>
    <phoneticPr fontId="72" type="noConversion"/>
  </si>
  <si>
    <r>
      <rPr>
        <sz val="12"/>
        <color theme="1"/>
        <rFont val="新細明體"/>
        <family val="2"/>
        <scheme val="minor"/>
      </rPr>
      <t>女性</t>
    </r>
    <phoneticPr fontId="72" type="noConversion"/>
  </si>
  <si>
    <r>
      <rPr>
        <sz val="12"/>
        <color theme="1"/>
        <rFont val="新細明體"/>
        <family val="2"/>
        <scheme val="minor"/>
      </rPr>
      <t>女性</t>
    </r>
    <phoneticPr fontId="72" type="noConversion"/>
  </si>
  <si>
    <r>
      <rPr>
        <sz val="12"/>
        <color theme="1"/>
        <rFont val="新細明體"/>
        <family val="2"/>
        <scheme val="minor"/>
      </rPr>
      <t>在校生</t>
    </r>
    <phoneticPr fontId="72" type="noConversion"/>
  </si>
  <si>
    <r>
      <rPr>
        <sz val="12"/>
        <color theme="1"/>
        <rFont val="新細明體"/>
        <family val="2"/>
        <scheme val="minor"/>
      </rPr>
      <t>輟學未就業</t>
    </r>
    <phoneticPr fontId="72" type="noConversion"/>
  </si>
  <si>
    <r>
      <rPr>
        <sz val="12"/>
        <color theme="1"/>
        <rFont val="新細明體"/>
        <family val="2"/>
        <scheme val="minor"/>
      </rPr>
      <t>無業</t>
    </r>
    <phoneticPr fontId="72" type="noConversion"/>
  </si>
  <si>
    <r>
      <t>106</t>
    </r>
    <r>
      <rPr>
        <sz val="12"/>
        <color theme="1"/>
        <rFont val="新細明體"/>
        <family val="2"/>
        <scheme val="minor"/>
      </rPr>
      <t>年</t>
    </r>
    <phoneticPr fontId="72" type="noConversion"/>
  </si>
  <si>
    <r>
      <t>107</t>
    </r>
    <r>
      <rPr>
        <sz val="12"/>
        <color theme="1"/>
        <rFont val="新細明體"/>
        <family val="2"/>
        <scheme val="minor"/>
      </rPr>
      <t>年</t>
    </r>
    <phoneticPr fontId="72" type="noConversion"/>
  </si>
  <si>
    <r>
      <rPr>
        <sz val="12"/>
        <color theme="1"/>
        <rFont val="新細明體"/>
        <family val="2"/>
        <scheme val="minor"/>
      </rPr>
      <t>百分比</t>
    </r>
    <phoneticPr fontId="72" type="noConversion"/>
  </si>
  <si>
    <r>
      <rPr>
        <sz val="12"/>
        <color theme="1"/>
        <rFont val="新細明體"/>
        <family val="2"/>
        <scheme val="minor"/>
      </rPr>
      <t>人數</t>
    </r>
    <phoneticPr fontId="72" type="noConversion"/>
  </si>
  <si>
    <r>
      <rPr>
        <sz val="12"/>
        <color theme="1"/>
        <rFont val="新細明體"/>
        <family val="2"/>
        <scheme val="minor"/>
      </rPr>
      <t>男性</t>
    </r>
    <phoneticPr fontId="72" type="noConversion"/>
  </si>
  <si>
    <r>
      <rPr>
        <sz val="12"/>
        <color theme="1"/>
        <rFont val="新細明體"/>
        <family val="2"/>
        <scheme val="minor"/>
      </rPr>
      <t>男性</t>
    </r>
    <phoneticPr fontId="72" type="noConversion"/>
  </si>
  <si>
    <r>
      <rPr>
        <sz val="12"/>
        <color theme="1"/>
        <rFont val="新細明體"/>
        <family val="2"/>
        <scheme val="minor"/>
      </rPr>
      <t>就業</t>
    </r>
    <phoneticPr fontId="72" type="noConversion"/>
  </si>
  <si>
    <r>
      <rPr>
        <sz val="10"/>
        <rFont val="新細明體"/>
        <family val="1"/>
        <charset val="136"/>
      </rPr>
      <t>資料來源：司法院</t>
    </r>
    <r>
      <rPr>
        <sz val="10"/>
        <rFont val="Times New Roman"/>
        <family val="1"/>
      </rPr>
      <t>(</t>
    </r>
    <r>
      <rPr>
        <sz val="10"/>
        <rFont val="新細明體"/>
        <family val="1"/>
        <charset val="136"/>
      </rPr>
      <t>表</t>
    </r>
    <r>
      <rPr>
        <sz val="10"/>
        <rFont val="Times New Roman"/>
        <family val="1"/>
      </rPr>
      <t xml:space="preserve">10914-03-06-05) </t>
    </r>
    <r>
      <rPr>
        <sz val="10"/>
        <rFont val="新細明體"/>
        <family val="1"/>
        <charset val="136"/>
      </rPr>
      <t>。
說　　明：本表不包含未經個案調查人數。</t>
    </r>
    <phoneticPr fontId="72" type="noConversion"/>
  </si>
  <si>
    <r>
      <rPr>
        <sz val="15"/>
        <rFont val="新細明體"/>
        <family val="1"/>
        <charset val="136"/>
      </rPr>
      <t>表</t>
    </r>
    <r>
      <rPr>
        <sz val="15"/>
        <rFont val="Times New Roman"/>
        <family val="1"/>
      </rPr>
      <t>3-2-25</t>
    </r>
    <r>
      <rPr>
        <sz val="15"/>
        <rFont val="新細明體"/>
        <family val="1"/>
        <charset val="136"/>
      </rPr>
      <t>　近</t>
    </r>
    <r>
      <rPr>
        <sz val="15"/>
        <rFont val="Times New Roman"/>
        <family val="1"/>
      </rPr>
      <t>10</t>
    </r>
    <r>
      <rPr>
        <sz val="15"/>
        <rFont val="新細明體"/>
        <family val="1"/>
        <charset val="136"/>
      </rPr>
      <t>年虞犯</t>
    </r>
    <r>
      <rPr>
        <sz val="15"/>
        <rFont val="Times New Roman"/>
        <family val="1"/>
      </rPr>
      <t>/</t>
    </r>
    <r>
      <rPr>
        <sz val="15"/>
        <rFont val="新細明體"/>
        <family val="1"/>
        <charset val="136"/>
      </rPr>
      <t>曝險少年家庭經濟狀況</t>
    </r>
    <phoneticPr fontId="72" type="noConversion"/>
  </si>
  <si>
    <r>
      <t>99</t>
    </r>
    <r>
      <rPr>
        <sz val="12"/>
        <color theme="1"/>
        <rFont val="新細明體"/>
        <family val="2"/>
        <scheme val="minor"/>
      </rPr>
      <t>年</t>
    </r>
    <phoneticPr fontId="72" type="noConversion"/>
  </si>
  <si>
    <r>
      <t>102</t>
    </r>
    <r>
      <rPr>
        <sz val="12"/>
        <color theme="1"/>
        <rFont val="新細明體"/>
        <family val="2"/>
        <scheme val="minor"/>
      </rPr>
      <t>年</t>
    </r>
    <phoneticPr fontId="72" type="noConversion"/>
  </si>
  <si>
    <r>
      <rPr>
        <sz val="12"/>
        <color theme="1"/>
        <rFont val="新細明體"/>
        <family val="2"/>
        <scheme val="minor"/>
      </rPr>
      <t>男</t>
    </r>
    <phoneticPr fontId="72" type="noConversion"/>
  </si>
  <si>
    <r>
      <rPr>
        <sz val="12"/>
        <color theme="1"/>
        <rFont val="新細明體"/>
        <family val="2"/>
        <scheme val="minor"/>
      </rPr>
      <t>勉足維持生活</t>
    </r>
    <phoneticPr fontId="72" type="noConversion"/>
  </si>
  <si>
    <r>
      <rPr>
        <sz val="12"/>
        <color theme="1"/>
        <rFont val="新細明體"/>
        <family val="2"/>
        <scheme val="minor"/>
      </rPr>
      <t>小康之家</t>
    </r>
    <phoneticPr fontId="72" type="noConversion"/>
  </si>
  <si>
    <r>
      <rPr>
        <sz val="12"/>
        <color theme="1"/>
        <rFont val="新細明體"/>
        <family val="2"/>
        <scheme val="minor"/>
      </rPr>
      <t>低收入戶</t>
    </r>
    <phoneticPr fontId="72" type="noConversion"/>
  </si>
  <si>
    <r>
      <rPr>
        <sz val="12"/>
        <color theme="1"/>
        <rFont val="新細明體"/>
        <family val="2"/>
        <scheme val="minor"/>
      </rPr>
      <t>中產以上</t>
    </r>
    <phoneticPr fontId="72" type="noConversion"/>
  </si>
  <si>
    <r>
      <rPr>
        <sz val="12"/>
        <color theme="1"/>
        <rFont val="新細明體"/>
        <family val="2"/>
        <scheme val="minor"/>
      </rPr>
      <t>不詳</t>
    </r>
    <phoneticPr fontId="72" type="noConversion"/>
  </si>
  <si>
    <r>
      <t>108</t>
    </r>
    <r>
      <rPr>
        <sz val="12"/>
        <color theme="1"/>
        <rFont val="新細明體"/>
        <family val="2"/>
        <scheme val="minor"/>
      </rPr>
      <t>年</t>
    </r>
    <phoneticPr fontId="72" type="noConversion"/>
  </si>
  <si>
    <r>
      <rPr>
        <sz val="12"/>
        <color theme="1"/>
        <rFont val="新細明體"/>
        <family val="2"/>
        <scheme val="minor"/>
      </rPr>
      <t>低收入戶</t>
    </r>
    <phoneticPr fontId="72" type="noConversion"/>
  </si>
  <si>
    <r>
      <rPr>
        <sz val="12"/>
        <color theme="1"/>
        <rFont val="新細明體"/>
        <family val="2"/>
        <scheme val="minor"/>
      </rPr>
      <t>不詳</t>
    </r>
    <phoneticPr fontId="72" type="noConversion"/>
  </si>
  <si>
    <t>說　　明：1. 本表原始檔案總計人數和前表不同，敬請留意。
　　　　　2. 本表不包含未經個案調查人數。</t>
    <phoneticPr fontId="44" type="noConversion"/>
  </si>
  <si>
    <r>
      <rPr>
        <sz val="15"/>
        <rFont val="新細明體"/>
        <family val="1"/>
        <charset val="136"/>
      </rPr>
      <t>表</t>
    </r>
    <r>
      <rPr>
        <sz val="15"/>
        <rFont val="Times New Roman"/>
        <family val="1"/>
      </rPr>
      <t>3-2-26</t>
    </r>
    <r>
      <rPr>
        <sz val="15"/>
        <rFont val="新細明體"/>
        <family val="1"/>
        <charset val="136"/>
      </rPr>
      <t>　近</t>
    </r>
    <r>
      <rPr>
        <sz val="15"/>
        <rFont val="Times New Roman"/>
        <family val="1"/>
      </rPr>
      <t>10</t>
    </r>
    <r>
      <rPr>
        <sz val="15"/>
        <rFont val="新細明體"/>
        <family val="1"/>
        <charset val="136"/>
      </rPr>
      <t>年虞犯</t>
    </r>
    <r>
      <rPr>
        <sz val="15"/>
        <rFont val="Times New Roman"/>
        <family val="1"/>
      </rPr>
      <t>/</t>
    </r>
    <r>
      <rPr>
        <sz val="15"/>
        <rFont val="新細明體"/>
        <family val="1"/>
        <charset val="136"/>
      </rPr>
      <t>曝險少年之父母現況</t>
    </r>
    <phoneticPr fontId="72" type="noConversion"/>
  </si>
  <si>
    <r>
      <t>101</t>
    </r>
    <r>
      <rPr>
        <sz val="12"/>
        <color theme="1"/>
        <rFont val="新細明體"/>
        <family val="2"/>
        <scheme val="minor"/>
      </rPr>
      <t>年</t>
    </r>
    <phoneticPr fontId="72" type="noConversion"/>
  </si>
  <si>
    <r>
      <rPr>
        <sz val="12"/>
        <color theme="1"/>
        <rFont val="新細明體"/>
        <family val="2"/>
        <scheme val="minor"/>
      </rPr>
      <t>父母俱存</t>
    </r>
    <phoneticPr fontId="72" type="noConversion"/>
  </si>
  <si>
    <r>
      <rPr>
        <sz val="12"/>
        <color theme="1"/>
        <rFont val="新細明體"/>
        <family val="2"/>
        <scheme val="minor"/>
      </rPr>
      <t>父存母亡</t>
    </r>
    <phoneticPr fontId="72" type="noConversion"/>
  </si>
  <si>
    <r>
      <rPr>
        <sz val="12"/>
        <color theme="1"/>
        <rFont val="新細明體"/>
        <family val="2"/>
        <scheme val="minor"/>
      </rPr>
      <t>母存父亡</t>
    </r>
    <phoneticPr fontId="72" type="noConversion"/>
  </si>
  <si>
    <r>
      <rPr>
        <sz val="12"/>
        <color theme="1"/>
        <rFont val="新細明體"/>
        <family val="2"/>
        <scheme val="minor"/>
      </rPr>
      <t>父母俱亡</t>
    </r>
    <phoneticPr fontId="72" type="noConversion"/>
  </si>
  <si>
    <r>
      <rPr>
        <sz val="10"/>
        <rFont val="新細明體"/>
        <family val="1"/>
        <charset val="136"/>
      </rPr>
      <t>資料來源：司法院</t>
    </r>
    <r>
      <rPr>
        <sz val="10"/>
        <rFont val="Times New Roman"/>
        <family val="1"/>
      </rPr>
      <t>(</t>
    </r>
    <r>
      <rPr>
        <sz val="10"/>
        <rFont val="新細明體"/>
        <family val="1"/>
        <charset val="136"/>
      </rPr>
      <t>表</t>
    </r>
    <r>
      <rPr>
        <sz val="10"/>
        <rFont val="Times New Roman"/>
        <family val="1"/>
      </rPr>
      <t>10914-03-04-05)</t>
    </r>
    <r>
      <rPr>
        <sz val="10"/>
        <rFont val="新細明體"/>
        <family val="1"/>
        <charset val="136"/>
      </rPr>
      <t>。
說　　明：本表不包含未經個案調查人數。</t>
    </r>
    <phoneticPr fontId="72" type="noConversion"/>
  </si>
  <si>
    <r>
      <rPr>
        <sz val="15"/>
        <rFont val="新細明體"/>
        <family val="1"/>
        <charset val="136"/>
      </rPr>
      <t>表</t>
    </r>
    <r>
      <rPr>
        <sz val="15"/>
        <rFont val="Times New Roman"/>
        <family val="1"/>
      </rPr>
      <t xml:space="preserve">3-2-27 </t>
    </r>
    <r>
      <rPr>
        <sz val="15"/>
        <rFont val="新細明體"/>
        <family val="1"/>
        <charset val="136"/>
      </rPr>
      <t>　近</t>
    </r>
    <r>
      <rPr>
        <sz val="15"/>
        <rFont val="Times New Roman"/>
        <family val="1"/>
      </rPr>
      <t>10</t>
    </r>
    <r>
      <rPr>
        <sz val="15"/>
        <rFont val="新細明體"/>
        <family val="1"/>
        <charset val="136"/>
      </rPr>
      <t>年虞犯</t>
    </r>
    <r>
      <rPr>
        <sz val="15"/>
        <rFont val="Times New Roman"/>
        <family val="1"/>
      </rPr>
      <t>/</t>
    </r>
    <r>
      <rPr>
        <sz val="15"/>
        <rFont val="新細明體"/>
        <family val="1"/>
        <charset val="136"/>
      </rPr>
      <t>曝險少年之父母婚姻狀況</t>
    </r>
    <phoneticPr fontId="72" type="noConversion"/>
  </si>
  <si>
    <r>
      <rPr>
        <sz val="12"/>
        <color theme="1"/>
        <rFont val="新細明體"/>
        <family val="2"/>
        <scheme val="minor"/>
      </rPr>
      <t>父母分居</t>
    </r>
    <phoneticPr fontId="72" type="noConversion"/>
  </si>
  <si>
    <r>
      <rPr>
        <sz val="12"/>
        <color theme="1"/>
        <rFont val="新細明體"/>
        <family val="2"/>
        <scheme val="minor"/>
      </rPr>
      <t>喪偶再婚</t>
    </r>
    <phoneticPr fontId="72" type="noConversion"/>
  </si>
  <si>
    <r>
      <rPr>
        <sz val="12"/>
        <color theme="1"/>
        <rFont val="新細明體"/>
        <family val="2"/>
        <scheme val="minor"/>
      </rPr>
      <t>父母分居</t>
    </r>
    <phoneticPr fontId="72" type="noConversion"/>
  </si>
  <si>
    <r>
      <rPr>
        <sz val="15"/>
        <rFont val="新細明體"/>
        <family val="1"/>
        <charset val="136"/>
      </rPr>
      <t>表</t>
    </r>
    <r>
      <rPr>
        <sz val="15"/>
        <rFont val="Times New Roman"/>
        <family val="1"/>
      </rPr>
      <t xml:space="preserve">3-2-28  </t>
    </r>
    <r>
      <rPr>
        <sz val="15"/>
        <rFont val="新細明體"/>
        <family val="1"/>
        <charset val="136"/>
      </rPr>
      <t>近</t>
    </r>
    <r>
      <rPr>
        <sz val="15"/>
        <rFont val="Times New Roman"/>
        <family val="1"/>
      </rPr>
      <t>10</t>
    </r>
    <r>
      <rPr>
        <sz val="15"/>
        <rFont val="新細明體"/>
        <family val="1"/>
        <charset val="136"/>
      </rPr>
      <t>年少年刑事案件及交付保護處分事件之觸法原因</t>
    </r>
    <phoneticPr fontId="72" type="noConversion"/>
  </si>
  <si>
    <r>
      <rPr>
        <sz val="12"/>
        <color theme="1"/>
        <rFont val="新細明體"/>
        <family val="2"/>
        <scheme val="minor"/>
      </rPr>
      <t>人數</t>
    </r>
    <phoneticPr fontId="72" type="noConversion"/>
  </si>
  <si>
    <r>
      <rPr>
        <sz val="12"/>
        <color theme="1"/>
        <rFont val="新細明體"/>
        <family val="2"/>
        <scheme val="minor"/>
      </rPr>
      <t>生理因素</t>
    </r>
    <phoneticPr fontId="72" type="noConversion"/>
  </si>
  <si>
    <r>
      <rPr>
        <sz val="12"/>
        <color theme="1"/>
        <rFont val="新細明體"/>
        <family val="2"/>
        <scheme val="minor"/>
      </rPr>
      <t>心理因素</t>
    </r>
    <phoneticPr fontId="72" type="noConversion"/>
  </si>
  <si>
    <r>
      <rPr>
        <sz val="12"/>
        <color theme="1"/>
        <rFont val="新細明體"/>
        <family val="2"/>
        <scheme val="minor"/>
      </rPr>
      <t>家庭因素</t>
    </r>
    <phoneticPr fontId="72" type="noConversion"/>
  </si>
  <si>
    <r>
      <rPr>
        <sz val="12"/>
        <color theme="1"/>
        <rFont val="新細明體"/>
        <family val="2"/>
        <scheme val="minor"/>
      </rPr>
      <t>社會因素</t>
    </r>
    <phoneticPr fontId="72" type="noConversion"/>
  </si>
  <si>
    <r>
      <rPr>
        <sz val="12"/>
        <color theme="1"/>
        <rFont val="新細明體"/>
        <family val="2"/>
        <scheme val="minor"/>
      </rPr>
      <t>學校因素</t>
    </r>
    <phoneticPr fontId="72" type="noConversion"/>
  </si>
  <si>
    <r>
      <rPr>
        <sz val="12"/>
        <color theme="1"/>
        <rFont val="新細明體"/>
        <family val="2"/>
        <scheme val="minor"/>
      </rPr>
      <t>其他因素</t>
    </r>
    <phoneticPr fontId="72" type="noConversion"/>
  </si>
  <si>
    <r>
      <t>94</t>
    </r>
    <r>
      <rPr>
        <sz val="12"/>
        <color theme="1"/>
        <rFont val="新細明體"/>
        <family val="2"/>
        <scheme val="minor"/>
      </rPr>
      <t>年</t>
    </r>
    <r>
      <rPr>
        <sz val="12"/>
        <rFont val="細明體"/>
        <family val="3"/>
        <charset val="136"/>
      </rPr>
      <t/>
    </r>
  </si>
  <si>
    <r>
      <t>95</t>
    </r>
    <r>
      <rPr>
        <sz val="12"/>
        <color theme="1"/>
        <rFont val="新細明體"/>
        <family val="2"/>
        <scheme val="minor"/>
      </rPr>
      <t>年</t>
    </r>
    <r>
      <rPr>
        <sz val="12"/>
        <rFont val="細明體"/>
        <family val="3"/>
        <charset val="136"/>
      </rPr>
      <t/>
    </r>
  </si>
  <si>
    <r>
      <t>99</t>
    </r>
    <r>
      <rPr>
        <sz val="12"/>
        <color theme="1"/>
        <rFont val="新細明體"/>
        <family val="2"/>
        <scheme val="minor"/>
      </rPr>
      <t>年</t>
    </r>
    <r>
      <rPr>
        <sz val="12"/>
        <rFont val="細明體"/>
        <family val="3"/>
        <charset val="136"/>
      </rPr>
      <t/>
    </r>
  </si>
  <si>
    <r>
      <t>105</t>
    </r>
    <r>
      <rPr>
        <sz val="12"/>
        <color theme="1"/>
        <rFont val="新細明體"/>
        <family val="2"/>
        <scheme val="minor"/>
      </rPr>
      <t>年</t>
    </r>
    <r>
      <rPr>
        <sz val="12"/>
        <rFont val="DFKai-SB"/>
        <family val="4"/>
        <charset val="136"/>
      </rPr>
      <t/>
    </r>
  </si>
  <si>
    <r>
      <t>106</t>
    </r>
    <r>
      <rPr>
        <sz val="12"/>
        <color theme="1"/>
        <rFont val="新細明體"/>
        <family val="2"/>
        <scheme val="minor"/>
      </rPr>
      <t>年</t>
    </r>
    <r>
      <rPr>
        <sz val="12"/>
        <rFont val="DFKai-SB"/>
        <family val="4"/>
        <charset val="136"/>
      </rPr>
      <t/>
    </r>
  </si>
  <si>
    <r>
      <rPr>
        <sz val="10"/>
        <rFont val="新細明體"/>
        <family val="1"/>
        <charset val="136"/>
      </rPr>
      <t>資料來源：司法院（表</t>
    </r>
    <r>
      <rPr>
        <sz val="10"/>
        <rFont val="Times New Roman"/>
        <family val="1"/>
      </rPr>
      <t>10914-02-04-05</t>
    </r>
    <r>
      <rPr>
        <sz val="10"/>
        <rFont val="新細明體"/>
        <family val="1"/>
        <charset val="136"/>
      </rPr>
      <t>及表</t>
    </r>
    <r>
      <rPr>
        <sz val="10"/>
        <rFont val="Times New Roman"/>
        <family val="1"/>
      </rPr>
      <t>10914-03-03-05</t>
    </r>
    <r>
      <rPr>
        <sz val="10"/>
        <rFont val="新細明體"/>
        <family val="1"/>
        <charset val="136"/>
      </rPr>
      <t>）。</t>
    </r>
    <phoneticPr fontId="72" type="noConversion"/>
  </si>
  <si>
    <r>
      <rPr>
        <sz val="10"/>
        <color theme="1"/>
        <rFont val="新細明體"/>
        <family val="1"/>
        <charset val="136"/>
      </rPr>
      <t>說　　明：</t>
    </r>
    <r>
      <rPr>
        <sz val="10"/>
        <color theme="1"/>
        <rFont val="Times New Roman"/>
        <family val="1"/>
      </rPr>
      <t xml:space="preserve">1. </t>
    </r>
    <r>
      <rPr>
        <sz val="10"/>
        <color theme="1"/>
        <rFont val="新細明體"/>
        <family val="1"/>
        <charset val="136"/>
      </rPr>
      <t>本表不包含未經個案調查人數及虞犯</t>
    </r>
    <r>
      <rPr>
        <sz val="10"/>
        <color theme="1"/>
        <rFont val="Times New Roman"/>
        <family val="1"/>
      </rPr>
      <t>/</t>
    </r>
    <r>
      <rPr>
        <sz val="10"/>
        <color theme="1"/>
        <rFont val="新細明體"/>
        <family val="1"/>
        <charset val="136"/>
      </rPr>
      <t>曝險少年。
　　　　　</t>
    </r>
    <r>
      <rPr>
        <sz val="10"/>
        <color theme="1"/>
        <rFont val="Times New Roman"/>
        <family val="1"/>
      </rPr>
      <t xml:space="preserve">2. </t>
    </r>
    <r>
      <rPr>
        <sz val="10"/>
        <color theme="1"/>
        <rFont val="新細明體"/>
        <family val="1"/>
        <charset val="136"/>
      </rPr>
      <t>生理因素含：殘障、畸形、遺傳疾病或痼疾、性衝動、精力過剩等。
　　　　　</t>
    </r>
    <r>
      <rPr>
        <sz val="10"/>
        <color theme="1"/>
        <rFont val="Times New Roman"/>
        <family val="1"/>
      </rPr>
      <t xml:space="preserve">3. </t>
    </r>
    <r>
      <rPr>
        <sz val="10"/>
        <color theme="1"/>
        <rFont val="新細明體"/>
        <family val="1"/>
        <charset val="136"/>
      </rPr>
      <t>心理因素含：個性頑劣、自制力不足、精神病症、智能障礙等。
　　　　　</t>
    </r>
    <r>
      <rPr>
        <sz val="10"/>
        <color theme="1"/>
        <rFont val="Times New Roman"/>
        <family val="1"/>
      </rPr>
      <t xml:space="preserve">4. </t>
    </r>
    <r>
      <rPr>
        <sz val="10"/>
        <color theme="1"/>
        <rFont val="新細明體"/>
        <family val="1"/>
        <charset val="136"/>
      </rPr>
      <t>家庭因素含：犯罪家庭、破碎家庭、家庭關係不和諧、親子關係不正常、子女眾多、管教不當、經濟困難等。
　　　　　</t>
    </r>
    <r>
      <rPr>
        <sz val="10"/>
        <color theme="1"/>
        <rFont val="Times New Roman"/>
        <family val="1"/>
      </rPr>
      <t xml:space="preserve">5. </t>
    </r>
    <r>
      <rPr>
        <sz val="10"/>
        <color theme="1"/>
        <rFont val="新細明體"/>
        <family val="1"/>
        <charset val="136"/>
      </rPr>
      <t>社會因素含：社會環境不良、參加不良幫派、交友不慎、受不良書刊或傳播影響、失業等。
　　　　　</t>
    </r>
    <r>
      <rPr>
        <sz val="10"/>
        <color theme="1"/>
        <rFont val="Times New Roman"/>
        <family val="1"/>
      </rPr>
      <t xml:space="preserve">6. </t>
    </r>
    <r>
      <rPr>
        <sz val="10"/>
        <color theme="1"/>
        <rFont val="新細明體"/>
        <family val="1"/>
        <charset val="136"/>
      </rPr>
      <t>學校因素含：適應不良、處理不當、失學等。
　　　　　</t>
    </r>
    <r>
      <rPr>
        <sz val="10"/>
        <color theme="1"/>
        <rFont val="Times New Roman"/>
        <family val="1"/>
      </rPr>
      <t xml:space="preserve">7. </t>
    </r>
    <r>
      <rPr>
        <sz val="10"/>
        <color theme="1"/>
        <rFont val="新細明體"/>
        <family val="1"/>
        <charset val="136"/>
      </rPr>
      <t>其他因素含：好奇心驅使、愛慕虛榮、懶惰遊蕩、外力壓迫、缺乏法律常識等。</t>
    </r>
    <phoneticPr fontId="72" type="noConversion"/>
  </si>
  <si>
    <r>
      <rPr>
        <sz val="15"/>
        <rFont val="新細明體"/>
        <family val="1"/>
        <charset val="136"/>
      </rPr>
      <t>表</t>
    </r>
    <r>
      <rPr>
        <sz val="15"/>
        <rFont val="Times New Roman"/>
        <family val="1"/>
      </rPr>
      <t>3-2-29</t>
    </r>
    <r>
      <rPr>
        <sz val="15"/>
        <rFont val="新細明體"/>
        <family val="1"/>
        <charset val="136"/>
      </rPr>
      <t>　</t>
    </r>
    <r>
      <rPr>
        <sz val="15"/>
        <rFont val="Times New Roman"/>
        <family val="1"/>
      </rPr>
      <t>108</t>
    </r>
    <r>
      <rPr>
        <sz val="15"/>
        <rFont val="新細明體"/>
        <family val="1"/>
        <charset val="136"/>
      </rPr>
      <t>年少年刑事案件及交付保護處分事件之觸法原因細項</t>
    </r>
    <phoneticPr fontId="44" type="noConversion"/>
  </si>
  <si>
    <r>
      <rPr>
        <sz val="12"/>
        <color theme="1"/>
        <rFont val="新細明體"/>
        <family val="2"/>
        <scheme val="minor"/>
      </rPr>
      <t>單位：人</t>
    </r>
    <phoneticPr fontId="44" type="noConversion"/>
  </si>
  <si>
    <r>
      <rPr>
        <sz val="12"/>
        <color theme="1"/>
        <rFont val="新細明體"/>
        <family val="2"/>
        <scheme val="minor"/>
      </rPr>
      <t>生理因素</t>
    </r>
    <phoneticPr fontId="44" type="noConversion"/>
  </si>
  <si>
    <r>
      <rPr>
        <sz val="12"/>
        <color theme="1"/>
        <rFont val="新細明體"/>
        <family val="2"/>
        <scheme val="minor"/>
      </rPr>
      <t>心理因素</t>
    </r>
    <phoneticPr fontId="44" type="noConversion"/>
  </si>
  <si>
    <r>
      <rPr>
        <sz val="12"/>
        <color theme="1"/>
        <rFont val="新細明體"/>
        <family val="2"/>
        <scheme val="minor"/>
      </rPr>
      <t>總計</t>
    </r>
    <phoneticPr fontId="44" type="noConversion"/>
  </si>
  <si>
    <r>
      <rPr>
        <sz val="12"/>
        <color theme="1"/>
        <rFont val="新細明體"/>
        <family val="2"/>
        <scheme val="minor"/>
      </rPr>
      <t>殘障</t>
    </r>
    <phoneticPr fontId="44" type="noConversion"/>
  </si>
  <si>
    <r>
      <rPr>
        <sz val="12"/>
        <color theme="1"/>
        <rFont val="新細明體"/>
        <family val="2"/>
        <scheme val="minor"/>
      </rPr>
      <t>畸形</t>
    </r>
    <phoneticPr fontId="44" type="noConversion"/>
  </si>
  <si>
    <r>
      <rPr>
        <sz val="12"/>
        <color theme="1"/>
        <rFont val="新細明體"/>
        <family val="2"/>
        <scheme val="minor"/>
      </rPr>
      <t>遺傳疾病或痼疾</t>
    </r>
    <phoneticPr fontId="44" type="noConversion"/>
  </si>
  <si>
    <r>
      <rPr>
        <sz val="12"/>
        <color theme="1"/>
        <rFont val="新細明體"/>
        <family val="2"/>
        <scheme val="minor"/>
      </rPr>
      <t>性衝動</t>
    </r>
    <phoneticPr fontId="44" type="noConversion"/>
  </si>
  <si>
    <r>
      <rPr>
        <sz val="12"/>
        <color theme="1"/>
        <rFont val="新細明體"/>
        <family val="2"/>
        <scheme val="minor"/>
      </rPr>
      <t>精力過剩</t>
    </r>
  </si>
  <si>
    <r>
      <rPr>
        <sz val="12"/>
        <color theme="1"/>
        <rFont val="新細明體"/>
        <family val="2"/>
        <scheme val="minor"/>
      </rPr>
      <t>其他</t>
    </r>
    <phoneticPr fontId="44" type="noConversion"/>
  </si>
  <si>
    <r>
      <rPr>
        <sz val="12"/>
        <color theme="1"/>
        <rFont val="新細明體"/>
        <family val="2"/>
        <scheme val="minor"/>
      </rPr>
      <t>個性頑劣</t>
    </r>
    <phoneticPr fontId="44" type="noConversion"/>
  </si>
  <si>
    <r>
      <rPr>
        <sz val="12"/>
        <color theme="1"/>
        <rFont val="新細明體"/>
        <family val="2"/>
        <scheme val="minor"/>
      </rPr>
      <t>自制力　不足</t>
    </r>
    <phoneticPr fontId="44" type="noConversion"/>
  </si>
  <si>
    <r>
      <rPr>
        <sz val="12"/>
        <color theme="1"/>
        <rFont val="新細明體"/>
        <family val="2"/>
        <scheme val="minor"/>
      </rPr>
      <t>精神病症</t>
    </r>
    <phoneticPr fontId="44" type="noConversion"/>
  </si>
  <si>
    <r>
      <rPr>
        <sz val="12"/>
        <color theme="1"/>
        <rFont val="新細明體"/>
        <family val="2"/>
        <scheme val="minor"/>
      </rPr>
      <t>智能障礙</t>
    </r>
  </si>
  <si>
    <r>
      <rPr>
        <sz val="12"/>
        <color theme="1"/>
        <rFont val="新細明體"/>
        <family val="2"/>
        <scheme val="minor"/>
      </rPr>
      <t>家庭因素</t>
    </r>
    <phoneticPr fontId="44" type="noConversion"/>
  </si>
  <si>
    <r>
      <rPr>
        <sz val="12"/>
        <color theme="1"/>
        <rFont val="新細明體"/>
        <family val="2"/>
        <scheme val="minor"/>
      </rPr>
      <t>犯罪家庭</t>
    </r>
    <phoneticPr fontId="44" type="noConversion"/>
  </si>
  <si>
    <r>
      <rPr>
        <sz val="12"/>
        <color theme="1"/>
        <rFont val="新細明體"/>
        <family val="2"/>
        <scheme val="minor"/>
      </rPr>
      <t>破碎家庭</t>
    </r>
    <phoneticPr fontId="44" type="noConversion"/>
  </si>
  <si>
    <t>家庭關係不和諧</t>
    <phoneticPr fontId="44" type="noConversion"/>
  </si>
  <si>
    <t>親子關係不正常</t>
    <phoneticPr fontId="44" type="noConversion"/>
  </si>
  <si>
    <r>
      <rPr>
        <sz val="12"/>
        <color theme="1"/>
        <rFont val="新細明體"/>
        <family val="2"/>
        <scheme val="minor"/>
      </rPr>
      <t>子女眾多</t>
    </r>
  </si>
  <si>
    <r>
      <rPr>
        <sz val="12"/>
        <color theme="1"/>
        <rFont val="新細明體"/>
        <family val="2"/>
        <scheme val="minor"/>
      </rPr>
      <t>管教不當</t>
    </r>
  </si>
  <si>
    <r>
      <rPr>
        <sz val="12"/>
        <color theme="1"/>
        <rFont val="新細明體"/>
        <family val="2"/>
        <scheme val="minor"/>
      </rPr>
      <t>經濟困難</t>
    </r>
  </si>
  <si>
    <r>
      <rPr>
        <sz val="12"/>
        <color theme="1"/>
        <rFont val="新細明體"/>
        <family val="2"/>
        <scheme val="minor"/>
      </rPr>
      <t>社會因素</t>
    </r>
    <phoneticPr fontId="44" type="noConversion"/>
  </si>
  <si>
    <r>
      <rPr>
        <sz val="12"/>
        <color theme="1"/>
        <rFont val="新細明體"/>
        <family val="2"/>
        <scheme val="minor"/>
      </rPr>
      <t>社會環境不良</t>
    </r>
  </si>
  <si>
    <r>
      <rPr>
        <sz val="12"/>
        <color theme="1"/>
        <rFont val="新細明體"/>
        <family val="2"/>
        <scheme val="minor"/>
      </rPr>
      <t>參加不良幫派</t>
    </r>
  </si>
  <si>
    <r>
      <rPr>
        <sz val="12"/>
        <color theme="1"/>
        <rFont val="新細明體"/>
        <family val="2"/>
        <scheme val="minor"/>
      </rPr>
      <t>交友不慎</t>
    </r>
  </si>
  <si>
    <r>
      <rPr>
        <sz val="12"/>
        <color theme="1"/>
        <rFont val="新細明體"/>
        <family val="2"/>
        <scheme val="minor"/>
      </rPr>
      <t>受不良書刊或傳播影響</t>
    </r>
  </si>
  <si>
    <r>
      <rPr>
        <sz val="12"/>
        <color theme="1"/>
        <rFont val="新細明體"/>
        <family val="2"/>
        <scheme val="minor"/>
      </rPr>
      <t>失業</t>
    </r>
  </si>
  <si>
    <r>
      <rPr>
        <sz val="12"/>
        <color theme="1"/>
        <rFont val="新細明體"/>
        <family val="2"/>
        <scheme val="minor"/>
      </rPr>
      <t>其他</t>
    </r>
    <phoneticPr fontId="44" type="noConversion"/>
  </si>
  <si>
    <r>
      <rPr>
        <sz val="12"/>
        <color theme="1"/>
        <rFont val="新細明體"/>
        <family val="2"/>
        <scheme val="minor"/>
      </rPr>
      <t>學校因素</t>
    </r>
    <phoneticPr fontId="44" type="noConversion"/>
  </si>
  <si>
    <r>
      <rPr>
        <sz val="12"/>
        <color theme="1"/>
        <rFont val="新細明體"/>
        <family val="2"/>
        <scheme val="minor"/>
      </rPr>
      <t>其他因素</t>
    </r>
    <phoneticPr fontId="44" type="noConversion"/>
  </si>
  <si>
    <r>
      <rPr>
        <sz val="12"/>
        <color theme="1"/>
        <rFont val="新細明體"/>
        <family val="2"/>
        <scheme val="minor"/>
      </rPr>
      <t>適應不良</t>
    </r>
  </si>
  <si>
    <r>
      <rPr>
        <sz val="12"/>
        <color theme="1"/>
        <rFont val="新細明體"/>
        <family val="2"/>
        <scheme val="minor"/>
      </rPr>
      <t>處理不當</t>
    </r>
  </si>
  <si>
    <r>
      <rPr>
        <sz val="12"/>
        <color theme="1"/>
        <rFont val="新細明體"/>
        <family val="2"/>
        <scheme val="minor"/>
      </rPr>
      <t>失學</t>
    </r>
  </si>
  <si>
    <t>好奇心
驅使</t>
    <phoneticPr fontId="44" type="noConversion"/>
  </si>
  <si>
    <r>
      <rPr>
        <sz val="12"/>
        <color theme="1"/>
        <rFont val="新細明體"/>
        <family val="2"/>
        <scheme val="minor"/>
      </rPr>
      <t>愛慕虛榮</t>
    </r>
  </si>
  <si>
    <r>
      <rPr>
        <sz val="12"/>
        <color theme="1"/>
        <rFont val="新細明體"/>
        <family val="2"/>
        <scheme val="minor"/>
      </rPr>
      <t>懶惰遊蕩</t>
    </r>
  </si>
  <si>
    <r>
      <rPr>
        <sz val="12"/>
        <color theme="1"/>
        <rFont val="新細明體"/>
        <family val="2"/>
        <scheme val="minor"/>
      </rPr>
      <t>外力壓迫</t>
    </r>
  </si>
  <si>
    <r>
      <rPr>
        <sz val="12"/>
        <color theme="1"/>
        <rFont val="新細明體"/>
        <family val="2"/>
        <scheme val="minor"/>
      </rPr>
      <t>缺乏法律常識</t>
    </r>
  </si>
  <si>
    <r>
      <rPr>
        <sz val="12"/>
        <color theme="1"/>
        <rFont val="新細明體"/>
        <family val="2"/>
        <scheme val="minor"/>
      </rPr>
      <t>其他</t>
    </r>
    <phoneticPr fontId="44" type="noConversion"/>
  </si>
  <si>
    <r>
      <rPr>
        <sz val="15"/>
        <rFont val="新細明體"/>
        <family val="1"/>
        <charset val="136"/>
      </rPr>
      <t>表</t>
    </r>
    <r>
      <rPr>
        <sz val="15"/>
        <rFont val="Times New Roman"/>
        <family val="1"/>
      </rPr>
      <t xml:space="preserve"> 3-3-1</t>
    </r>
    <r>
      <rPr>
        <sz val="15"/>
        <rFont val="新細明體"/>
        <family val="1"/>
        <charset val="136"/>
      </rPr>
      <t>　近</t>
    </r>
    <r>
      <rPr>
        <sz val="15"/>
        <rFont val="Times New Roman"/>
        <family val="1"/>
      </rPr>
      <t>5</t>
    </r>
    <r>
      <rPr>
        <sz val="15"/>
        <rFont val="新細明體"/>
        <family val="1"/>
        <charset val="136"/>
      </rPr>
      <t>年少年觀護所新入所收容</t>
    </r>
    <r>
      <rPr>
        <sz val="15"/>
        <rFont val="Times New Roman"/>
        <family val="1"/>
      </rPr>
      <t>/</t>
    </r>
    <r>
      <rPr>
        <sz val="15"/>
        <rFont val="新細明體"/>
        <family val="1"/>
        <charset val="136"/>
      </rPr>
      <t>羈押人數與性別</t>
    </r>
    <phoneticPr fontId="44" type="noConversion"/>
  </si>
  <si>
    <r>
      <t>104</t>
    </r>
    <r>
      <rPr>
        <sz val="12"/>
        <color theme="1"/>
        <rFont val="新細明體"/>
        <family val="2"/>
        <scheme val="minor"/>
      </rPr>
      <t>年</t>
    </r>
    <phoneticPr fontId="44" type="noConversion"/>
  </si>
  <si>
    <r>
      <t>105</t>
    </r>
    <r>
      <rPr>
        <sz val="12"/>
        <color theme="1"/>
        <rFont val="新細明體"/>
        <family val="2"/>
        <scheme val="minor"/>
      </rPr>
      <t>年</t>
    </r>
    <phoneticPr fontId="44" type="noConversion"/>
  </si>
  <si>
    <r>
      <t>106</t>
    </r>
    <r>
      <rPr>
        <sz val="12"/>
        <color theme="1"/>
        <rFont val="新細明體"/>
        <family val="2"/>
        <scheme val="minor"/>
      </rPr>
      <t>年</t>
    </r>
    <phoneticPr fontId="44" type="noConversion"/>
  </si>
  <si>
    <r>
      <t>107</t>
    </r>
    <r>
      <rPr>
        <sz val="12"/>
        <color theme="1"/>
        <rFont val="新細明體"/>
        <family val="2"/>
        <scheme val="minor"/>
      </rPr>
      <t>年</t>
    </r>
    <phoneticPr fontId="44" type="noConversion"/>
  </si>
  <si>
    <r>
      <t>108</t>
    </r>
    <r>
      <rPr>
        <sz val="12"/>
        <color theme="1"/>
        <rFont val="新細明體"/>
        <family val="2"/>
        <scheme val="minor"/>
      </rPr>
      <t>年</t>
    </r>
    <phoneticPr fontId="44" type="noConversion"/>
  </si>
  <si>
    <r>
      <t xml:space="preserve"> </t>
    </r>
    <r>
      <rPr>
        <sz val="12"/>
        <color theme="1"/>
        <rFont val="新細明體"/>
        <family val="2"/>
        <scheme val="minor"/>
      </rPr>
      <t>人</t>
    </r>
    <phoneticPr fontId="44" type="noConversion"/>
  </si>
  <si>
    <t xml:space="preserve"> %</t>
    <phoneticPr fontId="44" type="noConversion"/>
  </si>
  <si>
    <r>
      <rPr>
        <sz val="12"/>
        <color theme="1"/>
        <rFont val="新細明體"/>
        <family val="2"/>
        <scheme val="minor"/>
      </rPr>
      <t>　　　男</t>
    </r>
    <r>
      <rPr>
        <sz val="12"/>
        <rFont val="Times New Roman"/>
        <family val="1"/>
      </rPr>
      <t xml:space="preserve">           </t>
    </r>
    <phoneticPr fontId="44" type="noConversion"/>
  </si>
  <si>
    <r>
      <t xml:space="preserve"> </t>
    </r>
    <r>
      <rPr>
        <sz val="12"/>
        <color theme="1"/>
        <rFont val="新細明體"/>
        <family val="2"/>
        <scheme val="minor"/>
      </rPr>
      <t>人</t>
    </r>
    <phoneticPr fontId="44" type="noConversion"/>
  </si>
  <si>
    <r>
      <rPr>
        <sz val="12"/>
        <color theme="1"/>
        <rFont val="新細明體"/>
        <family val="2"/>
        <scheme val="minor"/>
      </rPr>
      <t>　　　女</t>
    </r>
    <r>
      <rPr>
        <sz val="12"/>
        <rFont val="Times New Roman"/>
        <family val="1"/>
      </rPr>
      <t xml:space="preserve">         </t>
    </r>
    <phoneticPr fontId="44" type="noConversion"/>
  </si>
  <si>
    <r>
      <rPr>
        <sz val="12"/>
        <color theme="1"/>
        <rFont val="新細明體"/>
        <family val="2"/>
        <scheme val="minor"/>
      </rPr>
      <t>收容少年</t>
    </r>
    <phoneticPr fontId="44" type="noConversion"/>
  </si>
  <si>
    <r>
      <rPr>
        <sz val="12"/>
        <color theme="1"/>
        <rFont val="新細明體"/>
        <family val="2"/>
        <scheme val="minor"/>
      </rPr>
      <t>　　　計</t>
    </r>
    <phoneticPr fontId="44" type="noConversion"/>
  </si>
  <si>
    <r>
      <rPr>
        <sz val="12"/>
        <color theme="1"/>
        <rFont val="新細明體"/>
        <family val="2"/>
        <scheme val="minor"/>
      </rPr>
      <t>　　　男</t>
    </r>
    <r>
      <rPr>
        <sz val="12"/>
        <rFont val="Times New Roman"/>
        <family val="1"/>
      </rPr>
      <t xml:space="preserve">           </t>
    </r>
    <phoneticPr fontId="44" type="noConversion"/>
  </si>
  <si>
    <t xml:space="preserve"> %</t>
    <phoneticPr fontId="44" type="noConversion"/>
  </si>
  <si>
    <r>
      <rPr>
        <sz val="12"/>
        <color theme="1"/>
        <rFont val="新細明體"/>
        <family val="2"/>
        <scheme val="minor"/>
      </rPr>
      <t>羈押少年</t>
    </r>
    <phoneticPr fontId="44" type="noConversion"/>
  </si>
  <si>
    <r>
      <rPr>
        <sz val="12"/>
        <color theme="1"/>
        <rFont val="新細明體"/>
        <family val="2"/>
        <scheme val="minor"/>
      </rPr>
      <t>　　　計</t>
    </r>
    <phoneticPr fontId="44" type="noConversion"/>
  </si>
  <si>
    <r>
      <rPr>
        <sz val="12"/>
        <color theme="1"/>
        <rFont val="新細明體"/>
        <family val="2"/>
        <scheme val="minor"/>
      </rPr>
      <t>　　　女</t>
    </r>
    <r>
      <rPr>
        <sz val="12"/>
        <rFont val="Times New Roman"/>
        <family val="1"/>
      </rPr>
      <t xml:space="preserve">         </t>
    </r>
    <phoneticPr fontId="44" type="noConversion"/>
  </si>
  <si>
    <r>
      <t xml:space="preserve"> </t>
    </r>
    <r>
      <rPr>
        <sz val="12"/>
        <color theme="1"/>
        <rFont val="新細明體"/>
        <family val="2"/>
        <scheme val="minor"/>
      </rPr>
      <t>人</t>
    </r>
    <phoneticPr fontId="44" type="noConversion"/>
  </si>
  <si>
    <r>
      <rPr>
        <sz val="10"/>
        <rFont val="新細明體"/>
        <family val="1"/>
        <charset val="136"/>
      </rPr>
      <t>說　　明：本表不含待執行感化教育、留置觀察及保護管束之少年人數。</t>
    </r>
    <phoneticPr fontId="44" type="noConversion"/>
  </si>
  <si>
    <r>
      <rPr>
        <sz val="15"/>
        <rFont val="新細明體"/>
        <family val="1"/>
        <charset val="136"/>
      </rPr>
      <t>表</t>
    </r>
    <r>
      <rPr>
        <sz val="15"/>
        <rFont val="Times New Roman"/>
        <family val="1"/>
      </rPr>
      <t xml:space="preserve"> 3-3-2</t>
    </r>
    <r>
      <rPr>
        <sz val="15"/>
        <rFont val="新細明體"/>
        <family val="1"/>
        <charset val="136"/>
      </rPr>
      <t>　近</t>
    </r>
    <r>
      <rPr>
        <sz val="15"/>
        <rFont val="Times New Roman"/>
        <family val="1"/>
      </rPr>
      <t>5</t>
    </r>
    <r>
      <rPr>
        <sz val="15"/>
        <rFont val="新細明體"/>
        <family val="1"/>
        <charset val="136"/>
      </rPr>
      <t>年少年觀護所新入所收容</t>
    </r>
    <r>
      <rPr>
        <sz val="15"/>
        <rFont val="Times New Roman"/>
        <family val="1"/>
      </rPr>
      <t>/</t>
    </r>
    <r>
      <rPr>
        <sz val="15"/>
        <rFont val="新細明體"/>
        <family val="1"/>
        <charset val="136"/>
      </rPr>
      <t>羈押少年年齡</t>
    </r>
    <phoneticPr fontId="44" type="noConversion"/>
  </si>
  <si>
    <r>
      <t>105</t>
    </r>
    <r>
      <rPr>
        <sz val="12"/>
        <color theme="1"/>
        <rFont val="新細明體"/>
        <family val="2"/>
        <scheme val="minor"/>
      </rPr>
      <t>年</t>
    </r>
    <phoneticPr fontId="44" type="noConversion"/>
  </si>
  <si>
    <r>
      <rPr>
        <sz val="12"/>
        <color theme="1"/>
        <rFont val="新細明體"/>
        <family val="2"/>
        <scheme val="minor"/>
      </rPr>
      <t>計</t>
    </r>
    <phoneticPr fontId="44" type="noConversion"/>
  </si>
  <si>
    <r>
      <rPr>
        <sz val="12"/>
        <color theme="1"/>
        <rFont val="新細明體"/>
        <family val="2"/>
        <scheme val="minor"/>
      </rPr>
      <t>男</t>
    </r>
    <phoneticPr fontId="44" type="noConversion"/>
  </si>
  <si>
    <r>
      <rPr>
        <sz val="12"/>
        <color theme="1"/>
        <rFont val="新細明體"/>
        <family val="2"/>
        <scheme val="minor"/>
      </rPr>
      <t>女</t>
    </r>
    <phoneticPr fontId="44" type="noConversion"/>
  </si>
  <si>
    <r>
      <rPr>
        <sz val="12"/>
        <color theme="1"/>
        <rFont val="新細明體"/>
        <family val="2"/>
        <scheme val="minor"/>
      </rPr>
      <t>男</t>
    </r>
    <phoneticPr fontId="44" type="noConversion"/>
  </si>
  <si>
    <r>
      <rPr>
        <sz val="12"/>
        <color theme="1"/>
        <rFont val="新細明體"/>
        <family val="2"/>
        <scheme val="minor"/>
      </rPr>
      <t>人</t>
    </r>
    <phoneticPr fontId="44" type="noConversion"/>
  </si>
  <si>
    <r>
      <t>12</t>
    </r>
    <r>
      <rPr>
        <sz val="12"/>
        <color theme="1"/>
        <rFont val="新細明體"/>
        <family val="2"/>
        <scheme val="minor"/>
      </rPr>
      <t>歲未滿</t>
    </r>
    <phoneticPr fontId="44" type="noConversion"/>
  </si>
  <si>
    <t>-</t>
    <phoneticPr fontId="6" type="noConversion"/>
  </si>
  <si>
    <r>
      <t>12</t>
    </r>
    <r>
      <rPr>
        <sz val="12"/>
        <color theme="1"/>
        <rFont val="新細明體"/>
        <family val="2"/>
        <scheme val="minor"/>
      </rPr>
      <t>歲至</t>
    </r>
    <r>
      <rPr>
        <sz val="12"/>
        <rFont val="Times New Roman"/>
        <family val="1"/>
      </rPr>
      <t>13</t>
    </r>
    <r>
      <rPr>
        <sz val="12"/>
        <color theme="1"/>
        <rFont val="新細明體"/>
        <family val="2"/>
        <scheme val="minor"/>
      </rPr>
      <t>歲未滿</t>
    </r>
    <r>
      <rPr>
        <sz val="12"/>
        <rFont val="Times New Roman"/>
        <family val="1"/>
      </rPr>
      <t xml:space="preserve">    </t>
    </r>
  </si>
  <si>
    <r>
      <t>13</t>
    </r>
    <r>
      <rPr>
        <sz val="12"/>
        <color theme="1"/>
        <rFont val="新細明體"/>
        <family val="2"/>
        <scheme val="minor"/>
      </rPr>
      <t>歲至</t>
    </r>
    <r>
      <rPr>
        <sz val="12"/>
        <rFont val="Times New Roman"/>
        <family val="1"/>
      </rPr>
      <t>14</t>
    </r>
    <r>
      <rPr>
        <sz val="12"/>
        <color theme="1"/>
        <rFont val="新細明體"/>
        <family val="2"/>
        <scheme val="minor"/>
      </rPr>
      <t>歲未滿</t>
    </r>
    <r>
      <rPr>
        <sz val="12"/>
        <rFont val="Times New Roman"/>
        <family val="1"/>
      </rPr>
      <t xml:space="preserve">        </t>
    </r>
  </si>
  <si>
    <r>
      <t>14</t>
    </r>
    <r>
      <rPr>
        <sz val="12"/>
        <color theme="1"/>
        <rFont val="新細明體"/>
        <family val="2"/>
        <scheme val="minor"/>
      </rPr>
      <t>歲至</t>
    </r>
    <r>
      <rPr>
        <sz val="12"/>
        <rFont val="Times New Roman"/>
        <family val="1"/>
      </rPr>
      <t>15</t>
    </r>
    <r>
      <rPr>
        <sz val="12"/>
        <color theme="1"/>
        <rFont val="新細明體"/>
        <family val="2"/>
        <scheme val="minor"/>
      </rPr>
      <t>歲未滿</t>
    </r>
    <r>
      <rPr>
        <sz val="12"/>
        <rFont val="Times New Roman"/>
        <family val="1"/>
      </rPr>
      <t xml:space="preserve">       </t>
    </r>
  </si>
  <si>
    <r>
      <t>15</t>
    </r>
    <r>
      <rPr>
        <sz val="12"/>
        <color theme="1"/>
        <rFont val="新細明體"/>
        <family val="2"/>
        <scheme val="minor"/>
      </rPr>
      <t>歲至</t>
    </r>
    <r>
      <rPr>
        <sz val="12"/>
        <rFont val="Times New Roman"/>
        <family val="1"/>
      </rPr>
      <t>16</t>
    </r>
    <r>
      <rPr>
        <sz val="12"/>
        <color theme="1"/>
        <rFont val="新細明體"/>
        <family val="2"/>
        <scheme val="minor"/>
      </rPr>
      <t>歲未滿</t>
    </r>
    <r>
      <rPr>
        <sz val="12"/>
        <rFont val="Times New Roman"/>
        <family val="1"/>
      </rPr>
      <t xml:space="preserve">    </t>
    </r>
  </si>
  <si>
    <r>
      <t>16</t>
    </r>
    <r>
      <rPr>
        <sz val="12"/>
        <color theme="1"/>
        <rFont val="新細明體"/>
        <family val="2"/>
        <scheme val="minor"/>
      </rPr>
      <t>歲至</t>
    </r>
    <r>
      <rPr>
        <sz val="12"/>
        <rFont val="Times New Roman"/>
        <family val="1"/>
      </rPr>
      <t>17</t>
    </r>
    <r>
      <rPr>
        <sz val="12"/>
        <color theme="1"/>
        <rFont val="新細明體"/>
        <family val="2"/>
        <scheme val="minor"/>
      </rPr>
      <t>歲未滿</t>
    </r>
    <r>
      <rPr>
        <sz val="12"/>
        <rFont val="Times New Roman"/>
        <family val="1"/>
      </rPr>
      <t xml:space="preserve">      </t>
    </r>
  </si>
  <si>
    <r>
      <t>17</t>
    </r>
    <r>
      <rPr>
        <sz val="12"/>
        <color theme="1"/>
        <rFont val="新細明體"/>
        <family val="2"/>
        <scheme val="minor"/>
      </rPr>
      <t>歲至</t>
    </r>
    <r>
      <rPr>
        <sz val="12"/>
        <rFont val="Times New Roman"/>
        <family val="1"/>
      </rPr>
      <t>18</t>
    </r>
    <r>
      <rPr>
        <sz val="12"/>
        <color theme="1"/>
        <rFont val="新細明體"/>
        <family val="2"/>
        <scheme val="minor"/>
      </rPr>
      <t>歲未滿</t>
    </r>
    <r>
      <rPr>
        <sz val="12"/>
        <rFont val="Times New Roman"/>
        <family val="1"/>
      </rPr>
      <t xml:space="preserve">      </t>
    </r>
  </si>
  <si>
    <r>
      <t>18</t>
    </r>
    <r>
      <rPr>
        <sz val="12"/>
        <color theme="1"/>
        <rFont val="新細明體"/>
        <family val="2"/>
        <scheme val="minor"/>
      </rPr>
      <t>歲以上</t>
    </r>
    <r>
      <rPr>
        <sz val="12"/>
        <rFont val="Times New Roman"/>
        <family val="1"/>
      </rPr>
      <t xml:space="preserve">  </t>
    </r>
    <phoneticPr fontId="44" type="noConversion"/>
  </si>
  <si>
    <r>
      <rPr>
        <sz val="10"/>
        <rFont val="新細明體"/>
        <family val="1"/>
        <charset val="136"/>
      </rPr>
      <t>說　　明：本表不含待執行感化教育、留置觀察及保護管束之少年人數。</t>
    </r>
    <phoneticPr fontId="44" type="noConversion"/>
  </si>
  <si>
    <r>
      <rPr>
        <sz val="15"/>
        <rFont val="新細明體"/>
        <family val="1"/>
        <charset val="136"/>
      </rPr>
      <t>表</t>
    </r>
    <r>
      <rPr>
        <sz val="15"/>
        <rFont val="Times New Roman"/>
        <family val="1"/>
      </rPr>
      <t xml:space="preserve"> 3-3-3</t>
    </r>
    <r>
      <rPr>
        <sz val="15"/>
        <rFont val="新細明體"/>
        <family val="1"/>
        <charset val="136"/>
      </rPr>
      <t>　近</t>
    </r>
    <r>
      <rPr>
        <sz val="15"/>
        <rFont val="Times New Roman"/>
        <family val="1"/>
      </rPr>
      <t>5</t>
    </r>
    <r>
      <rPr>
        <sz val="15"/>
        <rFont val="新細明體"/>
        <family val="1"/>
        <charset val="136"/>
      </rPr>
      <t>年少年觀護所新入所收容</t>
    </r>
    <r>
      <rPr>
        <sz val="15"/>
        <rFont val="Times New Roman"/>
        <family val="1"/>
      </rPr>
      <t>/</t>
    </r>
    <r>
      <rPr>
        <sz val="15"/>
        <rFont val="新細明體"/>
        <family val="1"/>
        <charset val="136"/>
      </rPr>
      <t>羈押少年教育程度</t>
    </r>
    <phoneticPr fontId="44" type="noConversion"/>
  </si>
  <si>
    <r>
      <rPr>
        <sz val="12"/>
        <color theme="1"/>
        <rFont val="新細明體"/>
        <family val="2"/>
        <scheme val="minor"/>
      </rPr>
      <t>女</t>
    </r>
    <phoneticPr fontId="44" type="noConversion"/>
  </si>
  <si>
    <r>
      <rPr>
        <sz val="12"/>
        <color theme="1"/>
        <rFont val="新細明體"/>
        <family val="2"/>
        <scheme val="minor"/>
      </rPr>
      <t>男</t>
    </r>
    <phoneticPr fontId="44" type="noConversion"/>
  </si>
  <si>
    <r>
      <rPr>
        <sz val="12"/>
        <color theme="1"/>
        <rFont val="新細明體"/>
        <family val="2"/>
        <scheme val="minor"/>
      </rPr>
      <t>計</t>
    </r>
    <phoneticPr fontId="44" type="noConversion"/>
  </si>
  <si>
    <r>
      <rPr>
        <sz val="12"/>
        <color theme="1"/>
        <rFont val="新細明體"/>
        <family val="2"/>
        <scheme val="minor"/>
      </rPr>
      <t>總計</t>
    </r>
    <r>
      <rPr>
        <sz val="12"/>
        <rFont val="Times New Roman"/>
        <family val="1"/>
      </rPr>
      <t xml:space="preserve"> </t>
    </r>
  </si>
  <si>
    <r>
      <rPr>
        <sz val="12"/>
        <color theme="1"/>
        <rFont val="新細明體"/>
        <family val="2"/>
        <scheme val="minor"/>
      </rPr>
      <t>不識字</t>
    </r>
  </si>
  <si>
    <r>
      <rPr>
        <sz val="12"/>
        <color theme="1"/>
        <rFont val="新細明體"/>
        <family val="2"/>
        <scheme val="minor"/>
      </rPr>
      <t>人</t>
    </r>
    <phoneticPr fontId="44" type="noConversion"/>
  </si>
  <si>
    <t>-</t>
    <phoneticPr fontId="6" type="noConversion"/>
  </si>
  <si>
    <t>-</t>
    <phoneticPr fontId="6" type="noConversion"/>
  </si>
  <si>
    <r>
      <rPr>
        <sz val="12"/>
        <color theme="1"/>
        <rFont val="新細明體"/>
        <family val="2"/>
        <scheme val="minor"/>
      </rPr>
      <t>國小</t>
    </r>
    <r>
      <rPr>
        <sz val="12"/>
        <rFont val="Times New Roman"/>
        <family val="1"/>
      </rPr>
      <t xml:space="preserve">         </t>
    </r>
    <phoneticPr fontId="44" type="noConversion"/>
  </si>
  <si>
    <r>
      <rPr>
        <sz val="12"/>
        <color theme="1"/>
        <rFont val="新細明體"/>
        <family val="2"/>
        <scheme val="minor"/>
      </rPr>
      <t>人</t>
    </r>
    <phoneticPr fontId="44" type="noConversion"/>
  </si>
  <si>
    <r>
      <rPr>
        <sz val="12"/>
        <color theme="1"/>
        <rFont val="新細明體"/>
        <family val="2"/>
        <scheme val="minor"/>
      </rPr>
      <t>國中</t>
    </r>
    <r>
      <rPr>
        <sz val="12"/>
        <rFont val="Times New Roman"/>
        <family val="1"/>
      </rPr>
      <t xml:space="preserve">       </t>
    </r>
    <phoneticPr fontId="44" type="noConversion"/>
  </si>
  <si>
    <r>
      <rPr>
        <sz val="12"/>
        <color theme="1"/>
        <rFont val="新細明體"/>
        <family val="2"/>
        <scheme val="minor"/>
      </rPr>
      <t>高中</t>
    </r>
    <r>
      <rPr>
        <sz val="12"/>
        <rFont val="Times New Roman"/>
        <family val="1"/>
      </rPr>
      <t>(</t>
    </r>
    <r>
      <rPr>
        <sz val="12"/>
        <color theme="1"/>
        <rFont val="新細明體"/>
        <family val="2"/>
        <scheme val="minor"/>
      </rPr>
      <t>職</t>
    </r>
    <r>
      <rPr>
        <sz val="12"/>
        <rFont val="Times New Roman"/>
        <family val="1"/>
      </rPr>
      <t xml:space="preserve">)     </t>
    </r>
    <phoneticPr fontId="44" type="noConversion"/>
  </si>
  <si>
    <r>
      <rPr>
        <sz val="12"/>
        <color theme="1"/>
        <rFont val="新細明體"/>
        <family val="2"/>
        <scheme val="minor"/>
      </rPr>
      <t>大專以上</t>
    </r>
    <r>
      <rPr>
        <sz val="12"/>
        <rFont val="Times New Roman"/>
        <family val="1"/>
      </rPr>
      <t xml:space="preserve">    </t>
    </r>
    <phoneticPr fontId="44" type="noConversion"/>
  </si>
  <si>
    <r>
      <rPr>
        <sz val="12"/>
        <color theme="1"/>
        <rFont val="新細明體"/>
        <family val="2"/>
        <scheme val="minor"/>
      </rPr>
      <t>自修</t>
    </r>
    <phoneticPr fontId="44" type="noConversion"/>
  </si>
  <si>
    <t>-</t>
    <phoneticPr fontId="6" type="noConversion"/>
  </si>
  <si>
    <r>
      <rPr>
        <sz val="12"/>
        <color theme="1"/>
        <rFont val="新細明體"/>
        <family val="2"/>
        <scheme val="minor"/>
      </rPr>
      <t>不詳</t>
    </r>
    <phoneticPr fontId="44" type="noConversion"/>
  </si>
  <si>
    <r>
      <rPr>
        <sz val="15"/>
        <rFont val="新細明體"/>
        <family val="1"/>
        <charset val="136"/>
      </rPr>
      <t>表</t>
    </r>
    <r>
      <rPr>
        <sz val="15"/>
        <rFont val="Times New Roman"/>
        <family val="1"/>
      </rPr>
      <t xml:space="preserve"> 3-3-4</t>
    </r>
    <r>
      <rPr>
        <sz val="15"/>
        <rFont val="新細明體"/>
        <family val="1"/>
        <charset val="136"/>
      </rPr>
      <t>　近</t>
    </r>
    <r>
      <rPr>
        <sz val="15"/>
        <rFont val="Times New Roman"/>
        <family val="1"/>
      </rPr>
      <t>5</t>
    </r>
    <r>
      <rPr>
        <sz val="15"/>
        <rFont val="新細明體"/>
        <family val="1"/>
        <charset val="136"/>
      </rPr>
      <t>年少年觀護所新入所收容</t>
    </r>
    <r>
      <rPr>
        <sz val="15"/>
        <rFont val="Times New Roman"/>
        <family val="1"/>
      </rPr>
      <t>/</t>
    </r>
    <r>
      <rPr>
        <sz val="15"/>
        <rFont val="新細明體"/>
        <family val="1"/>
        <charset val="136"/>
      </rPr>
      <t>羈押少年家庭經濟狀況</t>
    </r>
    <phoneticPr fontId="44" type="noConversion"/>
  </si>
  <si>
    <r>
      <t>104</t>
    </r>
    <r>
      <rPr>
        <sz val="12"/>
        <color theme="1"/>
        <rFont val="新細明體"/>
        <family val="2"/>
        <scheme val="minor"/>
      </rPr>
      <t>年</t>
    </r>
    <phoneticPr fontId="44" type="noConversion"/>
  </si>
  <si>
    <r>
      <t>106</t>
    </r>
    <r>
      <rPr>
        <sz val="12"/>
        <color theme="1"/>
        <rFont val="新細明體"/>
        <family val="2"/>
        <scheme val="minor"/>
      </rPr>
      <t>年</t>
    </r>
    <phoneticPr fontId="44" type="noConversion"/>
  </si>
  <si>
    <r>
      <t>108</t>
    </r>
    <r>
      <rPr>
        <sz val="12"/>
        <color theme="1"/>
        <rFont val="新細明體"/>
        <family val="2"/>
        <scheme val="minor"/>
      </rPr>
      <t>年</t>
    </r>
    <phoneticPr fontId="44" type="noConversion"/>
  </si>
  <si>
    <r>
      <rPr>
        <sz val="12"/>
        <color theme="1"/>
        <rFont val="新細明體"/>
        <family val="2"/>
        <scheme val="minor"/>
      </rPr>
      <t>女</t>
    </r>
    <phoneticPr fontId="44" type="noConversion"/>
  </si>
  <si>
    <r>
      <rPr>
        <sz val="12"/>
        <color theme="1"/>
        <rFont val="新細明體"/>
        <family val="2"/>
        <scheme val="minor"/>
      </rPr>
      <t>貧困無以維生</t>
    </r>
  </si>
  <si>
    <r>
      <rPr>
        <sz val="12"/>
        <color theme="1"/>
        <rFont val="新細明體"/>
        <family val="2"/>
        <scheme val="minor"/>
      </rPr>
      <t>勉足維持生活</t>
    </r>
  </si>
  <si>
    <r>
      <rPr>
        <sz val="12"/>
        <color theme="1"/>
        <rFont val="新細明體"/>
        <family val="2"/>
        <scheme val="minor"/>
      </rPr>
      <t>小康之家</t>
    </r>
  </si>
  <si>
    <r>
      <rPr>
        <sz val="12"/>
        <color theme="1"/>
        <rFont val="新細明體"/>
        <family val="2"/>
        <scheme val="minor"/>
      </rPr>
      <t>中產以上</t>
    </r>
  </si>
  <si>
    <r>
      <rPr>
        <sz val="12"/>
        <color theme="1"/>
        <rFont val="新細明體"/>
        <family val="2"/>
        <scheme val="minor"/>
      </rPr>
      <t>人</t>
    </r>
    <phoneticPr fontId="44" type="noConversion"/>
  </si>
  <si>
    <r>
      <rPr>
        <sz val="12"/>
        <color theme="1"/>
        <rFont val="新細明體"/>
        <family val="2"/>
        <scheme val="minor"/>
      </rPr>
      <t>不詳</t>
    </r>
  </si>
  <si>
    <t>-</t>
    <phoneticPr fontId="6" type="noConversion"/>
  </si>
  <si>
    <r>
      <t xml:space="preserve"> </t>
    </r>
    <r>
      <rPr>
        <sz val="15"/>
        <rFont val="新細明體"/>
        <family val="1"/>
        <charset val="136"/>
      </rPr>
      <t>表</t>
    </r>
    <r>
      <rPr>
        <sz val="15"/>
        <rFont val="Times New Roman"/>
        <family val="1"/>
      </rPr>
      <t xml:space="preserve"> 3-3-5</t>
    </r>
    <r>
      <rPr>
        <sz val="15"/>
        <rFont val="新細明體"/>
        <family val="1"/>
        <charset val="136"/>
      </rPr>
      <t>　近</t>
    </r>
    <r>
      <rPr>
        <sz val="15"/>
        <rFont val="Times New Roman"/>
        <family val="1"/>
      </rPr>
      <t>5</t>
    </r>
    <r>
      <rPr>
        <sz val="15"/>
        <rFont val="新細明體"/>
        <family val="1"/>
        <charset val="136"/>
      </rPr>
      <t>年少年觀護所新入所收容</t>
    </r>
    <r>
      <rPr>
        <sz val="15"/>
        <rFont val="Times New Roman"/>
        <family val="1"/>
      </rPr>
      <t>/</t>
    </r>
    <r>
      <rPr>
        <sz val="15"/>
        <rFont val="新細明體"/>
        <family val="1"/>
        <charset val="136"/>
      </rPr>
      <t>羈押少年罪名</t>
    </r>
    <phoneticPr fontId="44" type="noConversion"/>
  </si>
  <si>
    <r>
      <rPr>
        <sz val="12"/>
        <color theme="1"/>
        <rFont val="新細明體"/>
        <family val="2"/>
        <scheme val="minor"/>
      </rPr>
      <t>男</t>
    </r>
    <phoneticPr fontId="44" type="noConversion"/>
  </si>
  <si>
    <r>
      <rPr>
        <sz val="12"/>
        <color theme="1"/>
        <rFont val="新細明體"/>
        <family val="2"/>
        <scheme val="minor"/>
      </rPr>
      <t>男</t>
    </r>
    <phoneticPr fontId="44" type="noConversion"/>
  </si>
  <si>
    <r>
      <rPr>
        <sz val="12"/>
        <color theme="1"/>
        <rFont val="新細明體"/>
        <family val="2"/>
        <scheme val="minor"/>
      </rPr>
      <t>詐欺罪</t>
    </r>
    <phoneticPr fontId="44" type="noConversion"/>
  </si>
  <si>
    <r>
      <rPr>
        <sz val="12"/>
        <color theme="1"/>
        <rFont val="新細明體"/>
        <family val="2"/>
        <scheme val="minor"/>
      </rPr>
      <t>竊盜罪</t>
    </r>
    <phoneticPr fontId="44" type="noConversion"/>
  </si>
  <si>
    <r>
      <rPr>
        <sz val="12"/>
        <color theme="1"/>
        <rFont val="新細明體"/>
        <family val="2"/>
        <scheme val="minor"/>
      </rPr>
      <t>毒品危害防制條例</t>
    </r>
    <phoneticPr fontId="44" type="noConversion"/>
  </si>
  <si>
    <r>
      <rPr>
        <sz val="12"/>
        <color theme="1"/>
        <rFont val="新細明體"/>
        <family val="2"/>
        <scheme val="minor"/>
      </rPr>
      <t>傷害罪</t>
    </r>
    <phoneticPr fontId="44" type="noConversion"/>
  </si>
  <si>
    <r>
      <rPr>
        <sz val="12"/>
        <color theme="1"/>
        <rFont val="新細明體"/>
        <family val="2"/>
        <scheme val="minor"/>
      </rPr>
      <t>妨害性自主
及妨害風化罪</t>
    </r>
    <phoneticPr fontId="44" type="noConversion"/>
  </si>
  <si>
    <r>
      <rPr>
        <sz val="12"/>
        <color theme="1"/>
        <rFont val="新細明體"/>
        <family val="2"/>
        <scheme val="minor"/>
      </rPr>
      <t>公共危險罪</t>
    </r>
    <phoneticPr fontId="44" type="noConversion"/>
  </si>
  <si>
    <r>
      <rPr>
        <sz val="12"/>
        <color theme="1"/>
        <rFont val="新細明體"/>
        <family val="2"/>
        <scheme val="minor"/>
      </rPr>
      <t>殺人罪</t>
    </r>
    <phoneticPr fontId="44" type="noConversion"/>
  </si>
  <si>
    <r>
      <rPr>
        <sz val="12"/>
        <color theme="1"/>
        <rFont val="新細明體"/>
        <family val="2"/>
        <scheme val="minor"/>
      </rPr>
      <t>人</t>
    </r>
    <phoneticPr fontId="44" type="noConversion"/>
  </si>
  <si>
    <r>
      <rPr>
        <sz val="12"/>
        <color theme="1"/>
        <rFont val="新細明體"/>
        <family val="2"/>
        <scheme val="minor"/>
      </rPr>
      <t>妨害自由罪</t>
    </r>
    <phoneticPr fontId="44" type="noConversion"/>
  </si>
  <si>
    <r>
      <rPr>
        <sz val="12"/>
        <color theme="1"/>
        <rFont val="新細明體"/>
        <family val="2"/>
        <scheme val="minor"/>
      </rPr>
      <t>人</t>
    </r>
    <phoneticPr fontId="44" type="noConversion"/>
  </si>
  <si>
    <r>
      <rPr>
        <sz val="12"/>
        <color theme="1"/>
        <rFont val="新細明體"/>
        <family val="2"/>
        <scheme val="minor"/>
      </rPr>
      <t>恐嚇及擄人勒贖罪</t>
    </r>
    <phoneticPr fontId="44" type="noConversion"/>
  </si>
  <si>
    <r>
      <rPr>
        <sz val="12"/>
        <color theme="1"/>
        <rFont val="新細明體"/>
        <family val="2"/>
        <scheme val="minor"/>
      </rPr>
      <t>強盜及海盜罪</t>
    </r>
    <phoneticPr fontId="44" type="noConversion"/>
  </si>
  <si>
    <r>
      <rPr>
        <sz val="12"/>
        <color theme="1"/>
        <rFont val="新細明體"/>
        <family val="2"/>
        <scheme val="minor"/>
      </rPr>
      <t>槍砲彈藥刀械管制條例</t>
    </r>
    <phoneticPr fontId="44" type="noConversion"/>
  </si>
  <si>
    <r>
      <rPr>
        <sz val="12"/>
        <color theme="1"/>
        <rFont val="新細明體"/>
        <family val="2"/>
        <scheme val="minor"/>
      </rPr>
      <t>搶奪罪</t>
    </r>
    <phoneticPr fontId="44" type="noConversion"/>
  </si>
  <si>
    <r>
      <rPr>
        <sz val="12"/>
        <color theme="1"/>
        <rFont val="新細明體"/>
        <family val="2"/>
        <scheme val="minor"/>
      </rPr>
      <t>贓物罪</t>
    </r>
    <phoneticPr fontId="44" type="noConversion"/>
  </si>
  <si>
    <r>
      <rPr>
        <sz val="12"/>
        <color theme="1"/>
        <rFont val="新細明體"/>
        <family val="2"/>
        <scheme val="minor"/>
      </rPr>
      <t>其他罪名</t>
    </r>
    <phoneticPr fontId="44" type="noConversion"/>
  </si>
  <si>
    <r>
      <rPr>
        <sz val="12"/>
        <color theme="1"/>
        <rFont val="新細明體"/>
        <family val="2"/>
        <scheme val="minor"/>
      </rPr>
      <t>曝險行為</t>
    </r>
    <phoneticPr fontId="44" type="noConversion"/>
  </si>
  <si>
    <r>
      <rPr>
        <sz val="12"/>
        <color theme="1"/>
        <rFont val="新細明體"/>
        <family val="2"/>
        <scheme val="minor"/>
      </rPr>
      <t>人</t>
    </r>
    <phoneticPr fontId="44" type="noConversion"/>
  </si>
  <si>
    <r>
      <rPr>
        <sz val="10"/>
        <rFont val="新細明體"/>
        <family val="1"/>
        <charset val="136"/>
      </rPr>
      <t>說　　明：</t>
    </r>
    <r>
      <rPr>
        <sz val="10"/>
        <rFont val="Times New Roman"/>
        <family val="1"/>
      </rPr>
      <t>1.</t>
    </r>
    <r>
      <rPr>
        <sz val="10"/>
        <rFont val="新細明體"/>
        <family val="1"/>
        <charset val="136"/>
      </rPr>
      <t>本表不含待執行感化教育、留置觀察及保護管束之少年人數。</t>
    </r>
    <phoneticPr fontId="44" type="noConversion"/>
  </si>
  <si>
    <r>
      <rPr>
        <sz val="10"/>
        <rFont val="新細明體"/>
        <family val="1"/>
        <charset val="136"/>
      </rPr>
      <t>　　　　　</t>
    </r>
    <r>
      <rPr>
        <sz val="10"/>
        <rFont val="Times New Roman"/>
        <family val="1"/>
      </rPr>
      <t>2.</t>
    </r>
    <r>
      <rPr>
        <sz val="10"/>
        <rFont val="新細明體"/>
        <family val="1"/>
        <charset val="136"/>
      </rPr>
      <t>因應少年事件處理法部分條文修正，原虞犯行為停止適用，改為曝險行為。</t>
    </r>
    <phoneticPr fontId="44" type="noConversion"/>
  </si>
  <si>
    <r>
      <rPr>
        <sz val="15"/>
        <rFont val="新細明體"/>
        <family val="1"/>
        <charset val="136"/>
      </rPr>
      <t>表</t>
    </r>
    <r>
      <rPr>
        <sz val="15"/>
        <rFont val="Times New Roman"/>
        <family val="1"/>
      </rPr>
      <t xml:space="preserve"> 3-3-6</t>
    </r>
    <r>
      <rPr>
        <sz val="15"/>
        <rFont val="新細明體"/>
        <family val="1"/>
        <charset val="136"/>
      </rPr>
      <t>　近</t>
    </r>
    <r>
      <rPr>
        <sz val="15"/>
        <rFont val="Times New Roman"/>
        <family val="1"/>
      </rPr>
      <t>5</t>
    </r>
    <r>
      <rPr>
        <sz val="15"/>
        <rFont val="新細明體"/>
        <family val="1"/>
        <charset val="136"/>
      </rPr>
      <t>年少年輔育院及少年矯正學校新入院</t>
    </r>
    <r>
      <rPr>
        <sz val="15"/>
        <rFont val="Times New Roman"/>
        <family val="1"/>
      </rPr>
      <t>(</t>
    </r>
    <r>
      <rPr>
        <sz val="15"/>
        <rFont val="新細明體"/>
        <family val="1"/>
        <charset val="136"/>
      </rPr>
      <t>校</t>
    </r>
    <r>
      <rPr>
        <sz val="15"/>
        <rFont val="Times New Roman"/>
        <family val="1"/>
      </rPr>
      <t>)</t>
    </r>
    <r>
      <rPr>
        <sz val="15"/>
        <rFont val="新細明體"/>
        <family val="1"/>
        <charset val="136"/>
      </rPr>
      <t>受感化教育學生人數</t>
    </r>
    <phoneticPr fontId="44" type="noConversion"/>
  </si>
  <si>
    <r>
      <rPr>
        <sz val="12"/>
        <color theme="1"/>
        <rFont val="新細明體"/>
        <family val="2"/>
        <scheme val="minor"/>
      </rPr>
      <t>男</t>
    </r>
    <phoneticPr fontId="44" type="noConversion"/>
  </si>
  <si>
    <r>
      <rPr>
        <sz val="12"/>
        <color theme="1"/>
        <rFont val="新細明體"/>
        <family val="2"/>
        <scheme val="minor"/>
      </rPr>
      <t>男</t>
    </r>
    <phoneticPr fontId="44" type="noConversion"/>
  </si>
  <si>
    <r>
      <rPr>
        <sz val="12"/>
        <color theme="1"/>
        <rFont val="新細明體"/>
        <family val="2"/>
        <scheme val="minor"/>
      </rPr>
      <t>女</t>
    </r>
    <phoneticPr fontId="44" type="noConversion"/>
  </si>
  <si>
    <r>
      <rPr>
        <sz val="12"/>
        <color theme="1"/>
        <rFont val="新細明體"/>
        <family val="2"/>
        <scheme val="minor"/>
      </rPr>
      <t>總計</t>
    </r>
  </si>
  <si>
    <r>
      <rPr>
        <sz val="12"/>
        <color theme="1"/>
        <rFont val="新細明體"/>
        <family val="2"/>
        <scheme val="minor"/>
      </rPr>
      <t>桃園少年輔育院</t>
    </r>
  </si>
  <si>
    <r>
      <rPr>
        <sz val="12"/>
        <color theme="1"/>
        <rFont val="新細明體"/>
        <family val="2"/>
        <scheme val="minor"/>
      </rPr>
      <t>人</t>
    </r>
    <phoneticPr fontId="44" type="noConversion"/>
  </si>
  <si>
    <t>-</t>
    <phoneticPr fontId="6" type="noConversion"/>
  </si>
  <si>
    <r>
      <rPr>
        <sz val="12"/>
        <color theme="1"/>
        <rFont val="新細明體"/>
        <family val="2"/>
        <scheme val="minor"/>
      </rPr>
      <t>彰化少年輔育院</t>
    </r>
  </si>
  <si>
    <r>
      <rPr>
        <sz val="12"/>
        <color theme="1"/>
        <rFont val="新細明體"/>
        <family val="2"/>
        <scheme val="minor"/>
      </rPr>
      <t>誠正中學</t>
    </r>
    <phoneticPr fontId="44" type="noConversion"/>
  </si>
  <si>
    <r>
      <rPr>
        <sz val="11"/>
        <rFont val="新細明體"/>
        <family val="1"/>
        <charset val="136"/>
      </rPr>
      <t>資料來源：法務部統計處</t>
    </r>
    <phoneticPr fontId="44" type="noConversion"/>
  </si>
  <si>
    <r>
      <rPr>
        <sz val="15"/>
        <rFont val="新細明體"/>
        <family val="1"/>
        <charset val="136"/>
      </rPr>
      <t>表</t>
    </r>
    <r>
      <rPr>
        <sz val="15"/>
        <rFont val="Times New Roman"/>
        <family val="1"/>
      </rPr>
      <t xml:space="preserve"> 3-3-7</t>
    </r>
    <r>
      <rPr>
        <sz val="15"/>
        <rFont val="新細明體"/>
        <family val="1"/>
        <charset val="136"/>
      </rPr>
      <t>　近</t>
    </r>
    <r>
      <rPr>
        <sz val="15"/>
        <rFont val="Times New Roman"/>
        <family val="1"/>
      </rPr>
      <t>5</t>
    </r>
    <r>
      <rPr>
        <sz val="15"/>
        <rFont val="新細明體"/>
        <family val="1"/>
        <charset val="136"/>
      </rPr>
      <t>年少年輔育院及少年矯正學校實際出院</t>
    </r>
    <r>
      <rPr>
        <sz val="15"/>
        <rFont val="Times New Roman"/>
        <family val="1"/>
      </rPr>
      <t>(</t>
    </r>
    <r>
      <rPr>
        <sz val="15"/>
        <rFont val="新細明體"/>
        <family val="1"/>
        <charset val="136"/>
      </rPr>
      <t>校</t>
    </r>
    <r>
      <rPr>
        <sz val="15"/>
        <rFont val="Times New Roman"/>
        <family val="1"/>
      </rPr>
      <t>)</t>
    </r>
    <r>
      <rPr>
        <sz val="15"/>
        <rFont val="新細明體"/>
        <family val="1"/>
        <charset val="136"/>
      </rPr>
      <t>受感化教育學生人數</t>
    </r>
    <phoneticPr fontId="6" type="noConversion"/>
  </si>
  <si>
    <r>
      <rPr>
        <sz val="12"/>
        <color theme="1"/>
        <rFont val="新細明體"/>
        <family val="2"/>
        <scheme val="minor"/>
      </rPr>
      <t>計</t>
    </r>
    <phoneticPr fontId="44" type="noConversion"/>
  </si>
  <si>
    <r>
      <rPr>
        <sz val="12"/>
        <color theme="1"/>
        <rFont val="新細明體"/>
        <family val="2"/>
        <scheme val="minor"/>
      </rPr>
      <t>總計</t>
    </r>
    <phoneticPr fontId="44" type="noConversion"/>
  </si>
  <si>
    <r>
      <t xml:space="preserve">  </t>
    </r>
    <r>
      <rPr>
        <sz val="12"/>
        <color theme="1"/>
        <rFont val="新細明體"/>
        <family val="2"/>
        <scheme val="minor"/>
      </rPr>
      <t>人</t>
    </r>
  </si>
  <si>
    <t xml:space="preserve">  %</t>
  </si>
  <si>
    <r>
      <rPr>
        <sz val="12"/>
        <color theme="1"/>
        <rFont val="新細明體"/>
        <family val="2"/>
        <scheme val="minor"/>
      </rPr>
      <t>桃園少年輔育院</t>
    </r>
    <phoneticPr fontId="44" type="noConversion"/>
  </si>
  <si>
    <r>
      <rPr>
        <sz val="12"/>
        <color theme="1"/>
        <rFont val="新細明體"/>
        <family val="2"/>
        <scheme val="minor"/>
      </rPr>
      <t>彰化少年輔育院</t>
    </r>
    <phoneticPr fontId="44" type="noConversion"/>
  </si>
  <si>
    <r>
      <rPr>
        <sz val="12"/>
        <color theme="1"/>
        <rFont val="新細明體"/>
        <family val="2"/>
        <scheme val="minor"/>
      </rPr>
      <t>誠正中學</t>
    </r>
    <phoneticPr fontId="44" type="noConversion"/>
  </si>
  <si>
    <t>-</t>
    <phoneticPr fontId="6" type="noConversion"/>
  </si>
  <si>
    <r>
      <rPr>
        <sz val="10"/>
        <rFont val="新細明體"/>
        <family val="1"/>
        <charset val="136"/>
      </rPr>
      <t>說　　明：實際出院</t>
    </r>
    <r>
      <rPr>
        <sz val="10"/>
        <rFont val="Times New Roman"/>
        <family val="1"/>
      </rPr>
      <t>(</t>
    </r>
    <r>
      <rPr>
        <sz val="10"/>
        <rFont val="新細明體"/>
        <family val="1"/>
        <charset val="136"/>
      </rPr>
      <t>校</t>
    </r>
    <r>
      <rPr>
        <sz val="10"/>
        <rFont val="Times New Roman"/>
        <family val="1"/>
      </rPr>
      <t>)</t>
    </r>
    <r>
      <rPr>
        <sz val="10"/>
        <rFont val="新細明體"/>
        <family val="1"/>
        <charset val="136"/>
      </rPr>
      <t>人數含期滿出院</t>
    </r>
    <r>
      <rPr>
        <sz val="10"/>
        <rFont val="Times New Roman"/>
        <family val="1"/>
      </rPr>
      <t>(</t>
    </r>
    <r>
      <rPr>
        <sz val="10"/>
        <rFont val="新細明體"/>
        <family val="1"/>
        <charset val="136"/>
      </rPr>
      <t>校</t>
    </r>
    <r>
      <rPr>
        <sz val="10"/>
        <rFont val="Times New Roman"/>
        <family val="1"/>
      </rPr>
      <t>)</t>
    </r>
    <r>
      <rPr>
        <sz val="10"/>
        <rFont val="新細明體"/>
        <family val="1"/>
        <charset val="136"/>
      </rPr>
      <t>、免除執行、停止執行、終止執行者。</t>
    </r>
  </si>
  <si>
    <r>
      <rPr>
        <sz val="15"/>
        <rFont val="新細明體"/>
        <family val="1"/>
        <charset val="136"/>
      </rPr>
      <t>表</t>
    </r>
    <r>
      <rPr>
        <sz val="15"/>
        <rFont val="Times New Roman"/>
        <family val="1"/>
      </rPr>
      <t xml:space="preserve"> 3-3-8</t>
    </r>
    <r>
      <rPr>
        <sz val="15"/>
        <rFont val="新細明體"/>
        <family val="1"/>
        <charset val="136"/>
      </rPr>
      <t>　近</t>
    </r>
    <r>
      <rPr>
        <sz val="15"/>
        <rFont val="Times New Roman"/>
        <family val="1"/>
      </rPr>
      <t>5</t>
    </r>
    <r>
      <rPr>
        <sz val="15"/>
        <rFont val="新細明體"/>
        <family val="1"/>
        <charset val="136"/>
      </rPr>
      <t>年少年輔育院及少年矯正學校新入院</t>
    </r>
    <r>
      <rPr>
        <sz val="15"/>
        <rFont val="Times New Roman"/>
        <family val="1"/>
      </rPr>
      <t>(</t>
    </r>
    <r>
      <rPr>
        <sz val="15"/>
        <rFont val="新細明體"/>
        <family val="1"/>
        <charset val="136"/>
      </rPr>
      <t>校</t>
    </r>
    <r>
      <rPr>
        <sz val="15"/>
        <rFont val="Times New Roman"/>
        <family val="1"/>
      </rPr>
      <t>)</t>
    </r>
    <r>
      <rPr>
        <sz val="15"/>
        <rFont val="新細明體"/>
        <family val="1"/>
        <charset val="136"/>
      </rPr>
      <t>受感化教育學生年齡</t>
    </r>
    <phoneticPr fontId="44" type="noConversion"/>
  </si>
  <si>
    <r>
      <t>108</t>
    </r>
    <r>
      <rPr>
        <sz val="12"/>
        <color theme="1"/>
        <rFont val="新細明體"/>
        <family val="2"/>
        <scheme val="minor"/>
      </rPr>
      <t>年</t>
    </r>
    <phoneticPr fontId="44" type="noConversion"/>
  </si>
  <si>
    <r>
      <rPr>
        <sz val="12"/>
        <color theme="1"/>
        <rFont val="新細明體"/>
        <family val="2"/>
        <scheme val="minor"/>
      </rPr>
      <t>女</t>
    </r>
    <phoneticPr fontId="44" type="noConversion"/>
  </si>
  <si>
    <r>
      <rPr>
        <sz val="12"/>
        <color theme="1"/>
        <rFont val="新細明體"/>
        <family val="2"/>
        <scheme val="minor"/>
      </rPr>
      <t>計</t>
    </r>
    <phoneticPr fontId="44" type="noConversion"/>
  </si>
  <si>
    <r>
      <t>12</t>
    </r>
    <r>
      <rPr>
        <sz val="12"/>
        <color theme="1"/>
        <rFont val="新細明體"/>
        <family val="2"/>
        <scheme val="minor"/>
      </rPr>
      <t>歲未滿</t>
    </r>
    <phoneticPr fontId="44" type="noConversion"/>
  </si>
  <si>
    <r>
      <t>13</t>
    </r>
    <r>
      <rPr>
        <sz val="12"/>
        <color theme="1"/>
        <rFont val="新細明體"/>
        <family val="2"/>
        <scheme val="minor"/>
      </rPr>
      <t>歲至</t>
    </r>
    <r>
      <rPr>
        <sz val="12"/>
        <rFont val="Times New Roman"/>
        <family val="1"/>
      </rPr>
      <t>14</t>
    </r>
    <r>
      <rPr>
        <sz val="12"/>
        <color theme="1"/>
        <rFont val="新細明體"/>
        <family val="2"/>
        <scheme val="minor"/>
      </rPr>
      <t>歲未滿</t>
    </r>
    <r>
      <rPr>
        <sz val="12"/>
        <rFont val="Times New Roman"/>
        <family val="1"/>
      </rPr>
      <t xml:space="preserve">     </t>
    </r>
  </si>
  <si>
    <r>
      <t>14</t>
    </r>
    <r>
      <rPr>
        <sz val="12"/>
        <color theme="1"/>
        <rFont val="新細明體"/>
        <family val="2"/>
        <scheme val="minor"/>
      </rPr>
      <t>歲至</t>
    </r>
    <r>
      <rPr>
        <sz val="12"/>
        <rFont val="Times New Roman"/>
        <family val="1"/>
      </rPr>
      <t>15</t>
    </r>
    <r>
      <rPr>
        <sz val="12"/>
        <color theme="1"/>
        <rFont val="新細明體"/>
        <family val="2"/>
        <scheme val="minor"/>
      </rPr>
      <t>歲未滿</t>
    </r>
  </si>
  <si>
    <r>
      <rPr>
        <sz val="12"/>
        <color theme="1"/>
        <rFont val="新細明體"/>
        <family val="2"/>
        <scheme val="minor"/>
      </rPr>
      <t>人</t>
    </r>
    <phoneticPr fontId="44" type="noConversion"/>
  </si>
  <si>
    <r>
      <t>15</t>
    </r>
    <r>
      <rPr>
        <sz val="12"/>
        <color theme="1"/>
        <rFont val="新細明體"/>
        <family val="2"/>
        <scheme val="minor"/>
      </rPr>
      <t>歲至</t>
    </r>
    <r>
      <rPr>
        <sz val="12"/>
        <rFont val="Times New Roman"/>
        <family val="1"/>
      </rPr>
      <t>16</t>
    </r>
    <r>
      <rPr>
        <sz val="12"/>
        <color theme="1"/>
        <rFont val="新細明體"/>
        <family val="2"/>
        <scheme val="minor"/>
      </rPr>
      <t>歲未滿</t>
    </r>
  </si>
  <si>
    <r>
      <t>16</t>
    </r>
    <r>
      <rPr>
        <sz val="12"/>
        <color theme="1"/>
        <rFont val="新細明體"/>
        <family val="2"/>
        <scheme val="minor"/>
      </rPr>
      <t>歲至</t>
    </r>
    <r>
      <rPr>
        <sz val="12"/>
        <rFont val="Times New Roman"/>
        <family val="1"/>
      </rPr>
      <t>17</t>
    </r>
    <r>
      <rPr>
        <sz val="12"/>
        <color theme="1"/>
        <rFont val="新細明體"/>
        <family val="2"/>
        <scheme val="minor"/>
      </rPr>
      <t>歲未滿</t>
    </r>
  </si>
  <si>
    <r>
      <t>17</t>
    </r>
    <r>
      <rPr>
        <sz val="12"/>
        <color theme="1"/>
        <rFont val="新細明體"/>
        <family val="2"/>
        <scheme val="minor"/>
      </rPr>
      <t>歲至</t>
    </r>
    <r>
      <rPr>
        <sz val="12"/>
        <rFont val="Times New Roman"/>
        <family val="1"/>
      </rPr>
      <t>18</t>
    </r>
    <r>
      <rPr>
        <sz val="12"/>
        <color theme="1"/>
        <rFont val="新細明體"/>
        <family val="2"/>
        <scheme val="minor"/>
      </rPr>
      <t>歲未滿</t>
    </r>
  </si>
  <si>
    <r>
      <t>18</t>
    </r>
    <r>
      <rPr>
        <sz val="12"/>
        <color theme="1"/>
        <rFont val="新細明體"/>
        <family val="2"/>
        <scheme val="minor"/>
      </rPr>
      <t>歲以上</t>
    </r>
    <phoneticPr fontId="44" type="noConversion"/>
  </si>
  <si>
    <r>
      <rPr>
        <sz val="15"/>
        <rFont val="新細明體"/>
        <family val="1"/>
        <charset val="136"/>
      </rPr>
      <t>表</t>
    </r>
    <r>
      <rPr>
        <sz val="15"/>
        <rFont val="Times New Roman"/>
        <family val="1"/>
      </rPr>
      <t xml:space="preserve"> 3-3-9</t>
    </r>
    <r>
      <rPr>
        <sz val="15"/>
        <rFont val="新細明體"/>
        <family val="1"/>
        <charset val="136"/>
      </rPr>
      <t>　近</t>
    </r>
    <r>
      <rPr>
        <sz val="15"/>
        <rFont val="Times New Roman"/>
        <family val="1"/>
      </rPr>
      <t>5</t>
    </r>
    <r>
      <rPr>
        <sz val="15"/>
        <rFont val="新細明體"/>
        <family val="1"/>
        <charset val="136"/>
      </rPr>
      <t>年少年輔育院及少年矯正學校新入院</t>
    </r>
    <r>
      <rPr>
        <sz val="15"/>
        <rFont val="Times New Roman"/>
        <family val="1"/>
      </rPr>
      <t>(</t>
    </r>
    <r>
      <rPr>
        <sz val="15"/>
        <rFont val="新細明體"/>
        <family val="1"/>
        <charset val="136"/>
      </rPr>
      <t>校</t>
    </r>
    <r>
      <rPr>
        <sz val="15"/>
        <rFont val="Times New Roman"/>
        <family val="1"/>
      </rPr>
      <t>)</t>
    </r>
    <r>
      <rPr>
        <sz val="15"/>
        <rFont val="新細明體"/>
        <family val="1"/>
        <charset val="136"/>
      </rPr>
      <t>受感化教育學生教育程度</t>
    </r>
    <phoneticPr fontId="44" type="noConversion"/>
  </si>
  <si>
    <r>
      <t>107</t>
    </r>
    <r>
      <rPr>
        <sz val="12"/>
        <color theme="1"/>
        <rFont val="新細明體"/>
        <family val="2"/>
        <scheme val="minor"/>
      </rPr>
      <t>年</t>
    </r>
    <phoneticPr fontId="44" type="noConversion"/>
  </si>
  <si>
    <r>
      <rPr>
        <sz val="12"/>
        <color theme="1"/>
        <rFont val="新細明體"/>
        <family val="2"/>
        <scheme val="minor"/>
      </rPr>
      <t>總計</t>
    </r>
    <r>
      <rPr>
        <sz val="12"/>
        <rFont val="Times New Roman"/>
        <family val="1"/>
      </rPr>
      <t xml:space="preserve">   </t>
    </r>
    <phoneticPr fontId="44" type="noConversion"/>
  </si>
  <si>
    <t>%</t>
    <phoneticPr fontId="44" type="noConversion"/>
  </si>
  <si>
    <r>
      <rPr>
        <sz val="12"/>
        <color theme="1"/>
        <rFont val="新細明體"/>
        <family val="2"/>
        <scheme val="minor"/>
      </rPr>
      <t>不識字</t>
    </r>
    <phoneticPr fontId="44" type="noConversion"/>
  </si>
  <si>
    <r>
      <rPr>
        <sz val="12"/>
        <color theme="1"/>
        <rFont val="新細明體"/>
        <family val="2"/>
        <scheme val="minor"/>
      </rPr>
      <t>國小</t>
    </r>
    <r>
      <rPr>
        <sz val="12"/>
        <rFont val="Times New Roman"/>
        <family val="1"/>
      </rPr>
      <t xml:space="preserve"> </t>
    </r>
    <phoneticPr fontId="44" type="noConversion"/>
  </si>
  <si>
    <r>
      <rPr>
        <sz val="12"/>
        <color theme="1"/>
        <rFont val="新細明體"/>
        <family val="2"/>
        <scheme val="minor"/>
      </rPr>
      <t>國中</t>
    </r>
    <phoneticPr fontId="44" type="noConversion"/>
  </si>
  <si>
    <r>
      <rPr>
        <sz val="12"/>
        <color theme="1"/>
        <rFont val="新細明體"/>
        <family val="2"/>
        <scheme val="minor"/>
      </rPr>
      <t>高中</t>
    </r>
    <phoneticPr fontId="44" type="noConversion"/>
  </si>
  <si>
    <r>
      <rPr>
        <sz val="12"/>
        <color theme="1"/>
        <rFont val="新細明體"/>
        <family val="2"/>
        <scheme val="minor"/>
      </rPr>
      <t>職業學校</t>
    </r>
    <phoneticPr fontId="44" type="noConversion"/>
  </si>
  <si>
    <r>
      <rPr>
        <sz val="10"/>
        <rFont val="新細明體"/>
        <family val="1"/>
        <charset val="136"/>
      </rPr>
      <t>資料來源：法務部統計處</t>
    </r>
    <phoneticPr fontId="44" type="noConversion"/>
  </si>
  <si>
    <r>
      <rPr>
        <sz val="15"/>
        <rFont val="新細明體"/>
        <family val="1"/>
        <charset val="136"/>
      </rPr>
      <t>表</t>
    </r>
    <r>
      <rPr>
        <sz val="15"/>
        <rFont val="Times New Roman"/>
        <family val="1"/>
      </rPr>
      <t xml:space="preserve"> 3-3-10</t>
    </r>
    <r>
      <rPr>
        <sz val="15"/>
        <rFont val="新細明體"/>
        <family val="1"/>
        <charset val="136"/>
      </rPr>
      <t>　近</t>
    </r>
    <r>
      <rPr>
        <sz val="15"/>
        <rFont val="Times New Roman"/>
        <family val="1"/>
      </rPr>
      <t>5</t>
    </r>
    <r>
      <rPr>
        <sz val="15"/>
        <rFont val="新細明體"/>
        <family val="1"/>
        <charset val="136"/>
      </rPr>
      <t>年少年輔育院及少年矯正學校新入院</t>
    </r>
    <r>
      <rPr>
        <sz val="15"/>
        <rFont val="Times New Roman"/>
        <family val="1"/>
      </rPr>
      <t>(</t>
    </r>
    <r>
      <rPr>
        <sz val="15"/>
        <rFont val="新細明體"/>
        <family val="1"/>
        <charset val="136"/>
      </rPr>
      <t>校</t>
    </r>
    <r>
      <rPr>
        <sz val="15"/>
        <rFont val="Times New Roman"/>
        <family val="1"/>
      </rPr>
      <t>)</t>
    </r>
    <r>
      <rPr>
        <sz val="15"/>
        <rFont val="新細明體"/>
        <family val="1"/>
        <charset val="136"/>
      </rPr>
      <t>受感化教育學生家庭經濟狀況</t>
    </r>
    <phoneticPr fontId="44" type="noConversion"/>
  </si>
  <si>
    <r>
      <t>105</t>
    </r>
    <r>
      <rPr>
        <sz val="12"/>
        <color theme="1"/>
        <rFont val="新細明體"/>
        <family val="2"/>
        <scheme val="minor"/>
      </rPr>
      <t>年</t>
    </r>
    <phoneticPr fontId="44" type="noConversion"/>
  </si>
  <si>
    <r>
      <rPr>
        <sz val="12"/>
        <color theme="1"/>
        <rFont val="新細明體"/>
        <family val="2"/>
        <scheme val="minor"/>
      </rPr>
      <t>計</t>
    </r>
    <phoneticPr fontId="44" type="noConversion"/>
  </si>
  <si>
    <r>
      <rPr>
        <sz val="12"/>
        <color theme="1"/>
        <rFont val="新細明體"/>
        <family val="2"/>
        <scheme val="minor"/>
      </rPr>
      <t>貧困</t>
    </r>
    <phoneticPr fontId="44" type="noConversion"/>
  </si>
  <si>
    <r>
      <rPr>
        <sz val="12"/>
        <color theme="1"/>
        <rFont val="新細明體"/>
        <family val="2"/>
        <scheme val="minor"/>
      </rPr>
      <t>普通</t>
    </r>
    <r>
      <rPr>
        <sz val="12"/>
        <rFont val="Times New Roman"/>
        <family val="1"/>
      </rPr>
      <t xml:space="preserve"> </t>
    </r>
    <phoneticPr fontId="44" type="noConversion"/>
  </si>
  <si>
    <r>
      <rPr>
        <sz val="12"/>
        <color theme="1"/>
        <rFont val="新細明體"/>
        <family val="2"/>
        <scheme val="minor"/>
      </rPr>
      <t>富裕</t>
    </r>
    <r>
      <rPr>
        <sz val="12"/>
        <rFont val="Times New Roman"/>
        <family val="1"/>
      </rPr>
      <t xml:space="preserve"> </t>
    </r>
    <phoneticPr fontId="44" type="noConversion"/>
  </si>
  <si>
    <r>
      <rPr>
        <sz val="15"/>
        <rFont val="新細明體"/>
        <family val="1"/>
        <charset val="136"/>
      </rPr>
      <t>表</t>
    </r>
    <r>
      <rPr>
        <sz val="15"/>
        <rFont val="Times New Roman"/>
        <family val="1"/>
      </rPr>
      <t xml:space="preserve">  3-3-11</t>
    </r>
    <r>
      <rPr>
        <sz val="15"/>
        <rFont val="新細明體"/>
        <family val="1"/>
        <charset val="136"/>
      </rPr>
      <t>　近</t>
    </r>
    <r>
      <rPr>
        <sz val="15"/>
        <rFont val="Times New Roman"/>
        <family val="1"/>
      </rPr>
      <t>5</t>
    </r>
    <r>
      <rPr>
        <sz val="15"/>
        <rFont val="新細明體"/>
        <family val="1"/>
        <charset val="136"/>
      </rPr>
      <t>年少年輔育院及少年矯正學校新入院</t>
    </r>
    <r>
      <rPr>
        <sz val="15"/>
        <rFont val="Times New Roman"/>
        <family val="1"/>
      </rPr>
      <t>(</t>
    </r>
    <r>
      <rPr>
        <sz val="15"/>
        <rFont val="新細明體"/>
        <family val="1"/>
        <charset val="136"/>
      </rPr>
      <t>校</t>
    </r>
    <r>
      <rPr>
        <sz val="15"/>
        <rFont val="Times New Roman"/>
        <family val="1"/>
      </rPr>
      <t>)</t>
    </r>
    <r>
      <rPr>
        <sz val="15"/>
        <rFont val="新細明體"/>
        <family val="1"/>
        <charset val="136"/>
      </rPr>
      <t>受感化教育學生罪名</t>
    </r>
    <phoneticPr fontId="44" type="noConversion"/>
  </si>
  <si>
    <r>
      <t>107</t>
    </r>
    <r>
      <rPr>
        <sz val="12"/>
        <color theme="1"/>
        <rFont val="新細明體"/>
        <family val="2"/>
        <scheme val="minor"/>
      </rPr>
      <t>年</t>
    </r>
    <phoneticPr fontId="44" type="noConversion"/>
  </si>
  <si>
    <r>
      <rPr>
        <sz val="12"/>
        <color theme="1"/>
        <rFont val="新細明體"/>
        <family val="2"/>
        <scheme val="minor"/>
      </rPr>
      <t>女</t>
    </r>
    <phoneticPr fontId="44" type="noConversion"/>
  </si>
  <si>
    <r>
      <rPr>
        <sz val="12"/>
        <color theme="1"/>
        <rFont val="新細明體"/>
        <family val="2"/>
        <scheme val="minor"/>
      </rPr>
      <t>女</t>
    </r>
    <phoneticPr fontId="44" type="noConversion"/>
  </si>
  <si>
    <r>
      <rPr>
        <sz val="12"/>
        <color theme="1"/>
        <rFont val="新細明體"/>
        <family val="2"/>
        <scheme val="minor"/>
      </rPr>
      <t>男</t>
    </r>
    <phoneticPr fontId="44" type="noConversion"/>
  </si>
  <si>
    <r>
      <rPr>
        <sz val="12"/>
        <color theme="1"/>
        <rFont val="新細明體"/>
        <family val="2"/>
        <scheme val="minor"/>
      </rPr>
      <t>總</t>
    </r>
    <r>
      <rPr>
        <sz val="12"/>
        <rFont val="Times New Roman"/>
        <family val="1"/>
      </rPr>
      <t xml:space="preserve">               </t>
    </r>
    <r>
      <rPr>
        <sz val="12"/>
        <color theme="1"/>
        <rFont val="新細明體"/>
        <family val="2"/>
        <scheme val="minor"/>
      </rPr>
      <t>計</t>
    </r>
    <r>
      <rPr>
        <sz val="12"/>
        <rFont val="Times New Roman"/>
        <family val="1"/>
      </rPr>
      <t xml:space="preserve">               </t>
    </r>
    <phoneticPr fontId="44" type="noConversion"/>
  </si>
  <si>
    <r>
      <rPr>
        <sz val="12"/>
        <color theme="1"/>
        <rFont val="新細明體"/>
        <family val="2"/>
        <scheme val="minor"/>
      </rPr>
      <t>觸犯刑罰法律之行為</t>
    </r>
    <phoneticPr fontId="44" type="noConversion"/>
  </si>
  <si>
    <r>
      <rPr>
        <sz val="12"/>
        <color theme="1"/>
        <rFont val="新細明體"/>
        <family val="2"/>
        <scheme val="minor"/>
      </rPr>
      <t>竊盜罪</t>
    </r>
    <r>
      <rPr>
        <sz val="12"/>
        <rFont val="Times New Roman"/>
        <family val="1"/>
      </rPr>
      <t xml:space="preserve">             </t>
    </r>
    <phoneticPr fontId="44" type="noConversion"/>
  </si>
  <si>
    <r>
      <rPr>
        <sz val="12"/>
        <color theme="1"/>
        <rFont val="新細明體"/>
        <family val="2"/>
        <scheme val="minor"/>
      </rPr>
      <t>毒品危害防制條例</t>
    </r>
    <r>
      <rPr>
        <sz val="12"/>
        <rFont val="Times New Roman"/>
        <family val="1"/>
      </rPr>
      <t xml:space="preserve">          </t>
    </r>
    <phoneticPr fontId="44" type="noConversion"/>
  </si>
  <si>
    <r>
      <rPr>
        <sz val="12"/>
        <color theme="1"/>
        <rFont val="新細明體"/>
        <family val="2"/>
        <scheme val="minor"/>
      </rPr>
      <t>傷害罪</t>
    </r>
    <r>
      <rPr>
        <sz val="12"/>
        <rFont val="Times New Roman"/>
        <family val="1"/>
      </rPr>
      <t xml:space="preserve">            </t>
    </r>
    <phoneticPr fontId="44" type="noConversion"/>
  </si>
  <si>
    <r>
      <rPr>
        <sz val="12"/>
        <color theme="1"/>
        <rFont val="新細明體"/>
        <family val="2"/>
        <scheme val="minor"/>
      </rPr>
      <t>妨害性自主罪</t>
    </r>
    <phoneticPr fontId="44" type="noConversion"/>
  </si>
  <si>
    <r>
      <rPr>
        <sz val="12"/>
        <color theme="1"/>
        <rFont val="新細明體"/>
        <family val="2"/>
        <scheme val="minor"/>
      </rPr>
      <t>恐嚇取財得利罪</t>
    </r>
    <r>
      <rPr>
        <sz val="12"/>
        <rFont val="Times New Roman"/>
        <family val="1"/>
      </rPr>
      <t xml:space="preserve">                </t>
    </r>
    <phoneticPr fontId="44" type="noConversion"/>
  </si>
  <si>
    <r>
      <rPr>
        <sz val="12"/>
        <color theme="1"/>
        <rFont val="新細明體"/>
        <family val="2"/>
        <scheme val="minor"/>
      </rPr>
      <t>妨害自由罪</t>
    </r>
    <r>
      <rPr>
        <sz val="12"/>
        <rFont val="Times New Roman"/>
        <family val="1"/>
      </rPr>
      <t xml:space="preserve">             </t>
    </r>
    <phoneticPr fontId="44" type="noConversion"/>
  </si>
  <si>
    <r>
      <rPr>
        <sz val="12"/>
        <color theme="1"/>
        <rFont val="新細明體"/>
        <family val="2"/>
        <scheme val="minor"/>
      </rPr>
      <t>槍砲彈藥刀械管制條例</t>
    </r>
    <r>
      <rPr>
        <sz val="12"/>
        <rFont val="Times New Roman"/>
        <family val="1"/>
      </rPr>
      <t xml:space="preserve">   </t>
    </r>
    <phoneticPr fontId="44" type="noConversion"/>
  </si>
  <si>
    <r>
      <rPr>
        <sz val="12"/>
        <color theme="1"/>
        <rFont val="新細明體"/>
        <family val="2"/>
        <scheme val="minor"/>
      </rPr>
      <t>殺人罪</t>
    </r>
    <r>
      <rPr>
        <sz val="12"/>
        <rFont val="Times New Roman"/>
        <family val="1"/>
      </rPr>
      <t xml:space="preserve">             </t>
    </r>
    <phoneticPr fontId="44" type="noConversion"/>
  </si>
  <si>
    <r>
      <rPr>
        <sz val="12"/>
        <color theme="1"/>
        <rFont val="新細明體"/>
        <family val="2"/>
        <scheme val="minor"/>
      </rPr>
      <t>搶奪罪</t>
    </r>
    <r>
      <rPr>
        <sz val="12"/>
        <rFont val="Times New Roman"/>
        <family val="1"/>
      </rPr>
      <t xml:space="preserve">            </t>
    </r>
    <phoneticPr fontId="44" type="noConversion"/>
  </si>
  <si>
    <r>
      <rPr>
        <sz val="12"/>
        <color theme="1"/>
        <rFont val="新細明體"/>
        <family val="2"/>
        <scheme val="minor"/>
      </rPr>
      <t>強盜及海盜罪</t>
    </r>
    <r>
      <rPr>
        <sz val="12"/>
        <rFont val="Times New Roman"/>
        <family val="1"/>
      </rPr>
      <t xml:space="preserve">                 </t>
    </r>
    <phoneticPr fontId="44" type="noConversion"/>
  </si>
  <si>
    <r>
      <rPr>
        <sz val="12"/>
        <color theme="1"/>
        <rFont val="新細明體"/>
        <family val="2"/>
        <scheme val="minor"/>
      </rPr>
      <t>妨害風化罪</t>
    </r>
    <phoneticPr fontId="44" type="noConversion"/>
  </si>
  <si>
    <r>
      <rPr>
        <sz val="12"/>
        <color theme="1"/>
        <rFont val="新細明體"/>
        <family val="2"/>
        <scheme val="minor"/>
      </rPr>
      <t>其他</t>
    </r>
    <r>
      <rPr>
        <sz val="12"/>
        <rFont val="Times New Roman"/>
        <family val="1"/>
      </rPr>
      <t xml:space="preserve">             </t>
    </r>
    <phoneticPr fontId="44" type="noConversion"/>
  </si>
  <si>
    <r>
      <rPr>
        <sz val="12"/>
        <color theme="1"/>
        <rFont val="新細明體"/>
        <family val="2"/>
        <scheme val="minor"/>
      </rPr>
      <t>曝險行為</t>
    </r>
    <phoneticPr fontId="44" type="noConversion"/>
  </si>
  <si>
    <t>說　　明：因應少年事件處理法部分條文修正，原虞犯行為停止適用，改為曝險行為。</t>
    <phoneticPr fontId="44" type="noConversion"/>
  </si>
  <si>
    <r>
      <rPr>
        <sz val="15"/>
        <rFont val="新細明體"/>
        <family val="1"/>
        <charset val="136"/>
      </rPr>
      <t>表</t>
    </r>
    <r>
      <rPr>
        <sz val="15"/>
        <rFont val="Times New Roman"/>
        <family val="1"/>
      </rPr>
      <t>3-3-12</t>
    </r>
    <r>
      <rPr>
        <sz val="15"/>
        <rFont val="新細明體"/>
        <family val="1"/>
        <charset val="136"/>
      </rPr>
      <t>　近</t>
    </r>
    <r>
      <rPr>
        <sz val="15"/>
        <rFont val="Times New Roman"/>
        <family val="1"/>
      </rPr>
      <t>5</t>
    </r>
    <r>
      <rPr>
        <sz val="15"/>
        <rFont val="新細明體"/>
        <family val="1"/>
        <charset val="136"/>
      </rPr>
      <t>年明陽中學在校少年受刑人人數</t>
    </r>
    <phoneticPr fontId="44" type="noConversion"/>
  </si>
  <si>
    <r>
      <t>104</t>
    </r>
    <r>
      <rPr>
        <sz val="12"/>
        <color theme="1"/>
        <rFont val="新細明體"/>
        <family val="2"/>
        <scheme val="minor"/>
      </rPr>
      <t>年</t>
    </r>
    <phoneticPr fontId="44" type="noConversion"/>
  </si>
  <si>
    <r>
      <t>105</t>
    </r>
    <r>
      <rPr>
        <sz val="12"/>
        <color theme="1"/>
        <rFont val="新細明體"/>
        <family val="2"/>
        <scheme val="minor"/>
      </rPr>
      <t>年</t>
    </r>
    <phoneticPr fontId="44" type="noConversion"/>
  </si>
  <si>
    <r>
      <t>106</t>
    </r>
    <r>
      <rPr>
        <sz val="12"/>
        <color theme="1"/>
        <rFont val="新細明體"/>
        <family val="2"/>
        <scheme val="minor"/>
      </rPr>
      <t>年</t>
    </r>
    <phoneticPr fontId="44" type="noConversion"/>
  </si>
  <si>
    <r>
      <t>108</t>
    </r>
    <r>
      <rPr>
        <sz val="12"/>
        <color theme="1"/>
        <rFont val="新細明體"/>
        <family val="2"/>
        <scheme val="minor"/>
      </rPr>
      <t>年</t>
    </r>
    <phoneticPr fontId="44" type="noConversion"/>
  </si>
  <si>
    <r>
      <t xml:space="preserve"> </t>
    </r>
    <r>
      <rPr>
        <sz val="12"/>
        <color theme="1"/>
        <rFont val="新細明體"/>
        <family val="2"/>
        <scheme val="minor"/>
      </rPr>
      <t>人</t>
    </r>
  </si>
  <si>
    <t xml:space="preserve"> %</t>
  </si>
  <si>
    <r>
      <rPr>
        <sz val="12"/>
        <color theme="1"/>
        <rFont val="新細明體"/>
        <family val="2"/>
        <scheme val="minor"/>
      </rPr>
      <t>　　　男</t>
    </r>
    <r>
      <rPr>
        <sz val="12"/>
        <rFont val="Times New Roman"/>
        <family val="1"/>
      </rPr>
      <t xml:space="preserve">           </t>
    </r>
  </si>
  <si>
    <r>
      <rPr>
        <sz val="12"/>
        <color theme="1"/>
        <rFont val="新細明體"/>
        <family val="2"/>
        <scheme val="minor"/>
      </rPr>
      <t>　　　女</t>
    </r>
    <r>
      <rPr>
        <sz val="12"/>
        <rFont val="Times New Roman"/>
        <family val="1"/>
      </rPr>
      <t xml:space="preserve">         </t>
    </r>
  </si>
  <si>
    <r>
      <rPr>
        <sz val="15"/>
        <color theme="1"/>
        <rFont val="新細明體"/>
        <family val="2"/>
        <charset val="136"/>
      </rPr>
      <t>表</t>
    </r>
    <r>
      <rPr>
        <sz val="15"/>
        <color theme="1"/>
        <rFont val="Times New Roman"/>
        <family val="1"/>
      </rPr>
      <t>3-4-1</t>
    </r>
    <r>
      <rPr>
        <sz val="15"/>
        <color theme="1"/>
        <rFont val="新細明體"/>
        <family val="2"/>
        <charset val="136"/>
      </rPr>
      <t>　</t>
    </r>
    <r>
      <rPr>
        <sz val="15"/>
        <color theme="1"/>
        <rFont val="Times New Roman"/>
        <family val="1"/>
      </rPr>
      <t>105</t>
    </r>
    <r>
      <rPr>
        <sz val="15"/>
        <color theme="1"/>
        <rFont val="新細明體"/>
        <family val="2"/>
        <charset val="136"/>
      </rPr>
      <t>年至</t>
    </r>
    <r>
      <rPr>
        <sz val="15"/>
        <color theme="1"/>
        <rFont val="Times New Roman"/>
        <family val="1"/>
      </rPr>
      <t>108</t>
    </r>
    <r>
      <rPr>
        <sz val="15"/>
        <color theme="1"/>
        <rFont val="新細明體"/>
        <family val="2"/>
        <charset val="136"/>
      </rPr>
      <t>年少年虞犯</t>
    </r>
    <r>
      <rPr>
        <sz val="15"/>
        <color theme="1"/>
        <rFont val="Times New Roman"/>
        <family val="1"/>
      </rPr>
      <t xml:space="preserve"> / </t>
    </r>
    <r>
      <rPr>
        <sz val="15"/>
        <color theme="1"/>
        <rFont val="新細明體"/>
        <family val="2"/>
        <charset val="136"/>
      </rPr>
      <t>曝險事件調查終結情形</t>
    </r>
    <phoneticPr fontId="6" type="noConversion"/>
  </si>
  <si>
    <r>
      <rPr>
        <sz val="10"/>
        <color theme="1"/>
        <rFont val="細明體"/>
        <family val="3"/>
        <charset val="136"/>
      </rPr>
      <t>單位：人</t>
    </r>
    <r>
      <rPr>
        <sz val="10"/>
        <color theme="1"/>
        <rFont val="Times New Roman"/>
        <family val="1"/>
      </rPr>
      <t xml:space="preserve"> (%)</t>
    </r>
    <phoneticPr fontId="6" type="noConversion"/>
  </si>
  <si>
    <r>
      <t>105</t>
    </r>
    <r>
      <rPr>
        <sz val="12"/>
        <color theme="1"/>
        <rFont val="新細明體"/>
        <family val="2"/>
        <charset val="136"/>
      </rPr>
      <t>年</t>
    </r>
    <phoneticPr fontId="6" type="noConversion"/>
  </si>
  <si>
    <r>
      <t>106</t>
    </r>
    <r>
      <rPr>
        <sz val="12"/>
        <color theme="1"/>
        <rFont val="新細明體"/>
        <family val="2"/>
        <charset val="136"/>
      </rPr>
      <t>年</t>
    </r>
  </si>
  <si>
    <r>
      <t>107</t>
    </r>
    <r>
      <rPr>
        <sz val="12"/>
        <color theme="1"/>
        <rFont val="新細明體"/>
        <family val="2"/>
        <charset val="136"/>
      </rPr>
      <t>年</t>
    </r>
  </si>
  <si>
    <r>
      <t>108</t>
    </r>
    <r>
      <rPr>
        <sz val="12"/>
        <color theme="1"/>
        <rFont val="新細明體"/>
        <family val="2"/>
        <charset val="136"/>
      </rPr>
      <t>年</t>
    </r>
    <r>
      <rPr>
        <sz val="12"/>
        <color theme="1"/>
        <rFont val="Times New Roman"/>
        <family val="1"/>
      </rPr>
      <t xml:space="preserve"> (</t>
    </r>
    <r>
      <rPr>
        <sz val="12"/>
        <color theme="1"/>
        <rFont val="新細明體"/>
        <family val="2"/>
        <charset val="136"/>
      </rPr>
      <t>虞犯</t>
    </r>
    <r>
      <rPr>
        <sz val="12"/>
        <color theme="1"/>
        <rFont val="Times New Roman"/>
        <family val="1"/>
      </rPr>
      <t>)</t>
    </r>
    <phoneticPr fontId="6" type="noConversion"/>
  </si>
  <si>
    <r>
      <t>108</t>
    </r>
    <r>
      <rPr>
        <sz val="12"/>
        <color theme="1"/>
        <rFont val="新細明體"/>
        <family val="2"/>
        <charset val="136"/>
      </rPr>
      <t>年</t>
    </r>
    <r>
      <rPr>
        <sz val="12"/>
        <color theme="1"/>
        <rFont val="Times New Roman"/>
        <family val="1"/>
      </rPr>
      <t xml:space="preserve"> (</t>
    </r>
    <r>
      <rPr>
        <sz val="12"/>
        <color theme="1"/>
        <rFont val="新細明體"/>
        <family val="2"/>
        <charset val="136"/>
      </rPr>
      <t>曝險</t>
    </r>
    <r>
      <rPr>
        <sz val="12"/>
        <color theme="1"/>
        <rFont val="Times New Roman"/>
        <family val="1"/>
      </rPr>
      <t>)</t>
    </r>
    <phoneticPr fontId="6" type="noConversion"/>
  </si>
  <si>
    <r>
      <rPr>
        <sz val="12"/>
        <color theme="1"/>
        <rFont val="新細明體"/>
        <family val="2"/>
        <charset val="136"/>
      </rPr>
      <t>不付審理</t>
    </r>
    <phoneticPr fontId="6" type="noConversion"/>
  </si>
  <si>
    <t>672 (22.90%)</t>
    <phoneticPr fontId="6" type="noConversion"/>
  </si>
  <si>
    <t>408 (24.09%)</t>
    <phoneticPr fontId="6" type="noConversion"/>
  </si>
  <si>
    <t>273 (23.16%)</t>
    <phoneticPr fontId="6" type="noConversion"/>
  </si>
  <si>
    <t>134 (23.10%)</t>
    <phoneticPr fontId="6" type="noConversion"/>
  </si>
  <si>
    <t>263 (39.67%)</t>
    <phoneticPr fontId="6" type="noConversion"/>
  </si>
  <si>
    <r>
      <rPr>
        <sz val="12"/>
        <color theme="1"/>
        <rFont val="新細明體"/>
        <family val="2"/>
        <charset val="136"/>
      </rPr>
      <t>開始審理</t>
    </r>
    <phoneticPr fontId="6" type="noConversion"/>
  </si>
  <si>
    <t>1,948 (66.39%)</t>
    <phoneticPr fontId="6" type="noConversion"/>
  </si>
  <si>
    <t>1,120 (66.12%)</t>
    <phoneticPr fontId="6" type="noConversion"/>
  </si>
  <si>
    <t>769 (65.22%)</t>
    <phoneticPr fontId="6" type="noConversion"/>
  </si>
  <si>
    <t>395 (68.10%)</t>
    <phoneticPr fontId="6" type="noConversion"/>
  </si>
  <si>
    <t>356 (53.70%)</t>
    <phoneticPr fontId="6" type="noConversion"/>
  </si>
  <si>
    <r>
      <rPr>
        <sz val="12"/>
        <color theme="1"/>
        <rFont val="新細明體"/>
        <family val="2"/>
        <charset val="136"/>
      </rPr>
      <t>移送</t>
    </r>
    <r>
      <rPr>
        <sz val="12"/>
        <color theme="1"/>
        <rFont val="Times New Roman"/>
        <family val="1"/>
      </rPr>
      <t>(</t>
    </r>
    <r>
      <rPr>
        <sz val="12"/>
        <color theme="1"/>
        <rFont val="新細明體"/>
        <family val="2"/>
        <charset val="136"/>
      </rPr>
      <t>轉</t>
    </r>
    <r>
      <rPr>
        <sz val="12"/>
        <color theme="1"/>
        <rFont val="Times New Roman"/>
        <family val="1"/>
      </rPr>
      <t>)</t>
    </r>
    <r>
      <rPr>
        <sz val="12"/>
        <color theme="1"/>
        <rFont val="新細明體"/>
        <family val="2"/>
        <charset val="136"/>
      </rPr>
      <t>管轄</t>
    </r>
    <phoneticPr fontId="6" type="noConversion"/>
  </si>
  <si>
    <t>171 (5.83%)</t>
    <phoneticPr fontId="6" type="noConversion"/>
  </si>
  <si>
    <t>92 (5.43%)</t>
    <phoneticPr fontId="6" type="noConversion"/>
  </si>
  <si>
    <t>102 (8.65%)</t>
    <phoneticPr fontId="6" type="noConversion"/>
  </si>
  <si>
    <t>39 (6.72%)</t>
    <phoneticPr fontId="6" type="noConversion"/>
  </si>
  <si>
    <t>36 (5.43%)</t>
    <phoneticPr fontId="6" type="noConversion"/>
  </si>
  <si>
    <r>
      <rPr>
        <sz val="12"/>
        <color theme="1"/>
        <rFont val="新細明體"/>
        <family val="2"/>
        <charset val="136"/>
      </rPr>
      <t>協尋</t>
    </r>
    <phoneticPr fontId="6" type="noConversion"/>
  </si>
  <si>
    <t>55 (1.87%)</t>
    <phoneticPr fontId="6" type="noConversion"/>
  </si>
  <si>
    <t>9 (0.53%)</t>
    <phoneticPr fontId="6" type="noConversion"/>
  </si>
  <si>
    <t>16 (1.36%)</t>
    <phoneticPr fontId="6" type="noConversion"/>
  </si>
  <si>
    <t>7 (1.21%)</t>
    <phoneticPr fontId="6" type="noConversion"/>
  </si>
  <si>
    <t>1 (0.15%)</t>
    <phoneticPr fontId="6" type="noConversion"/>
  </si>
  <si>
    <r>
      <rPr>
        <sz val="12"/>
        <color theme="1"/>
        <rFont val="新細明體"/>
        <family val="2"/>
        <charset val="136"/>
      </rPr>
      <t>併辦</t>
    </r>
    <phoneticPr fontId="6" type="noConversion"/>
  </si>
  <si>
    <t>88 (3.00%)</t>
    <phoneticPr fontId="6" type="noConversion"/>
  </si>
  <si>
    <t>65 (3.84%)</t>
    <phoneticPr fontId="6" type="noConversion"/>
  </si>
  <si>
    <t>19 (1.61%)</t>
    <phoneticPr fontId="6" type="noConversion"/>
  </si>
  <si>
    <t>5 (0.86%)</t>
    <phoneticPr fontId="6" type="noConversion"/>
  </si>
  <si>
    <t>7 (1.06%)</t>
    <phoneticPr fontId="6" type="noConversion"/>
  </si>
  <si>
    <t>合計</t>
    <phoneticPr fontId="6" type="noConversion"/>
  </si>
  <si>
    <t>2,934 (100.00%)</t>
    <phoneticPr fontId="6" type="noConversion"/>
  </si>
  <si>
    <t>1,694 (100.00%)</t>
    <phoneticPr fontId="6" type="noConversion"/>
  </si>
  <si>
    <t>1,179 (100.00%)</t>
    <phoneticPr fontId="6" type="noConversion"/>
  </si>
  <si>
    <t>580 (100.00%)</t>
    <phoneticPr fontId="6" type="noConversion"/>
  </si>
  <si>
    <t>663 (100.00%)</t>
    <phoneticPr fontId="6" type="noConversion"/>
  </si>
  <si>
    <r>
      <rPr>
        <sz val="10"/>
        <color theme="1"/>
        <rFont val="新細明體"/>
        <family val="2"/>
        <charset val="136"/>
      </rPr>
      <t>資料來源：司法院（表</t>
    </r>
    <r>
      <rPr>
        <sz val="10"/>
        <color theme="1"/>
        <rFont val="Times New Roman"/>
        <family val="1"/>
      </rPr>
      <t>10914-03-01-05</t>
    </r>
    <r>
      <rPr>
        <sz val="10"/>
        <color theme="1"/>
        <rFont val="新細明體"/>
        <family val="2"/>
        <charset val="136"/>
      </rPr>
      <t>）</t>
    </r>
    <phoneticPr fontId="6" type="noConversion"/>
  </si>
  <si>
    <r>
      <rPr>
        <sz val="10"/>
        <color theme="1"/>
        <rFont val="細明體"/>
        <family val="3"/>
        <charset val="136"/>
      </rPr>
      <t>說　　明：</t>
    </r>
    <r>
      <rPr>
        <sz val="10"/>
        <color theme="1"/>
        <rFont val="Times New Roman"/>
        <family val="1"/>
      </rPr>
      <t>1. 108</t>
    </r>
    <r>
      <rPr>
        <sz val="10"/>
        <color theme="1"/>
        <rFont val="細明體"/>
        <family val="3"/>
        <charset val="136"/>
      </rPr>
      <t>年</t>
    </r>
    <r>
      <rPr>
        <sz val="10"/>
        <color theme="1"/>
        <rFont val="Times New Roman"/>
        <family val="1"/>
      </rPr>
      <t>6</t>
    </r>
    <r>
      <rPr>
        <sz val="10"/>
        <color theme="1"/>
        <rFont val="細明體"/>
        <family val="3"/>
        <charset val="136"/>
      </rPr>
      <t>月</t>
    </r>
    <r>
      <rPr>
        <sz val="10"/>
        <color theme="1"/>
        <rFont val="Times New Roman"/>
        <family val="1"/>
      </rPr>
      <t>19</t>
    </r>
    <r>
      <rPr>
        <sz val="10"/>
        <color theme="1"/>
        <rFont val="細明體"/>
        <family val="3"/>
        <charset val="136"/>
      </rPr>
      <t>日少事法修法施行前為虞犯少年，其後為曝險少年。
　　　　　</t>
    </r>
    <r>
      <rPr>
        <sz val="10"/>
        <color theme="1"/>
        <rFont val="Times New Roman"/>
        <family val="1"/>
      </rPr>
      <t xml:space="preserve">2. </t>
    </r>
    <r>
      <rPr>
        <sz val="10"/>
        <color theme="1"/>
        <rFont val="細明體"/>
        <family val="3"/>
        <charset val="136"/>
      </rPr>
      <t>資料來源原有其他項，惟</t>
    </r>
    <r>
      <rPr>
        <sz val="10"/>
        <color theme="1"/>
        <rFont val="Times New Roman"/>
        <family val="1"/>
      </rPr>
      <t>108</t>
    </r>
    <r>
      <rPr>
        <sz val="10"/>
        <color theme="1"/>
        <rFont val="細明體"/>
        <family val="3"/>
        <charset val="136"/>
      </rPr>
      <t>年</t>
    </r>
    <r>
      <rPr>
        <sz val="10"/>
        <color theme="1"/>
        <rFont val="Times New Roman"/>
        <family val="1"/>
      </rPr>
      <t xml:space="preserve"> (</t>
    </r>
    <r>
      <rPr>
        <sz val="10"/>
        <color theme="1"/>
        <rFont val="細明體"/>
        <family val="3"/>
        <charset val="136"/>
      </rPr>
      <t>虞犯</t>
    </r>
    <r>
      <rPr>
        <sz val="10"/>
        <color theme="1"/>
        <rFont val="Times New Roman"/>
        <family val="1"/>
      </rPr>
      <t xml:space="preserve">) </t>
    </r>
    <r>
      <rPr>
        <sz val="10"/>
        <color theme="1"/>
        <rFont val="細明體"/>
        <family val="3"/>
        <charset val="136"/>
      </rPr>
      <t>之其他項，含原少年虞犯未結事件移轉至少年曝險事件，以及分案錯誤案件，
　　　　　　因此部分數據會和</t>
    </r>
    <r>
      <rPr>
        <sz val="10"/>
        <color theme="1"/>
        <rFont val="Times New Roman"/>
        <family val="1"/>
      </rPr>
      <t>108</t>
    </r>
    <r>
      <rPr>
        <sz val="10"/>
        <color theme="1"/>
        <rFont val="細明體"/>
        <family val="3"/>
        <charset val="136"/>
      </rPr>
      <t>年</t>
    </r>
    <r>
      <rPr>
        <sz val="10"/>
        <color theme="1"/>
        <rFont val="Times New Roman"/>
        <family val="1"/>
      </rPr>
      <t xml:space="preserve"> (</t>
    </r>
    <r>
      <rPr>
        <sz val="10"/>
        <color theme="1"/>
        <rFont val="細明體"/>
        <family val="3"/>
        <charset val="136"/>
      </rPr>
      <t>曝險</t>
    </r>
    <r>
      <rPr>
        <sz val="10"/>
        <color theme="1"/>
        <rFont val="Times New Roman"/>
        <family val="1"/>
      </rPr>
      <t xml:space="preserve">) </t>
    </r>
    <r>
      <rPr>
        <sz val="10"/>
        <color theme="1"/>
        <rFont val="細明體"/>
        <family val="3"/>
        <charset val="136"/>
      </rPr>
      <t>處重疊。基此，本表合計欄僅為本表各項加總，不含司法院原表之</t>
    </r>
    <r>
      <rPr>
        <sz val="10"/>
        <color theme="1"/>
        <rFont val="新細明體"/>
        <family val="1"/>
        <charset val="136"/>
      </rPr>
      <t>「</t>
    </r>
    <r>
      <rPr>
        <sz val="10"/>
        <color theme="1"/>
        <rFont val="細明體"/>
        <family val="3"/>
        <charset val="136"/>
      </rPr>
      <t>其他</t>
    </r>
    <r>
      <rPr>
        <sz val="10"/>
        <color theme="1"/>
        <rFont val="新細明體"/>
        <family val="1"/>
        <charset val="136"/>
      </rPr>
      <t>」</t>
    </r>
    <r>
      <rPr>
        <sz val="10"/>
        <color theme="1"/>
        <rFont val="細明體"/>
        <family val="3"/>
        <charset val="136"/>
      </rPr>
      <t>類別。</t>
    </r>
    <phoneticPr fontId="6" type="noConversion"/>
  </si>
  <si>
    <r>
      <rPr>
        <sz val="15"/>
        <color theme="1"/>
        <rFont val="新細明體"/>
        <family val="2"/>
        <charset val="136"/>
      </rPr>
      <t>表</t>
    </r>
    <r>
      <rPr>
        <sz val="15"/>
        <color theme="1"/>
        <rFont val="Times New Roman"/>
        <family val="1"/>
      </rPr>
      <t>3-4-2</t>
    </r>
    <r>
      <rPr>
        <sz val="15"/>
        <color theme="1"/>
        <rFont val="新細明體"/>
        <family val="2"/>
        <charset val="136"/>
      </rPr>
      <t>　</t>
    </r>
    <r>
      <rPr>
        <sz val="15"/>
        <color theme="1"/>
        <rFont val="Times New Roman"/>
        <family val="1"/>
      </rPr>
      <t>105</t>
    </r>
    <r>
      <rPr>
        <sz val="15"/>
        <color theme="1"/>
        <rFont val="新細明體"/>
        <family val="2"/>
        <charset val="136"/>
      </rPr>
      <t>年至</t>
    </r>
    <r>
      <rPr>
        <sz val="15"/>
        <color theme="1"/>
        <rFont val="Times New Roman"/>
        <family val="1"/>
      </rPr>
      <t>108</t>
    </r>
    <r>
      <rPr>
        <sz val="15"/>
        <color theme="1"/>
        <rFont val="新細明體"/>
        <family val="2"/>
        <charset val="136"/>
      </rPr>
      <t>年少年虞犯</t>
    </r>
    <r>
      <rPr>
        <sz val="15"/>
        <color theme="1"/>
        <rFont val="Times New Roman"/>
        <family val="1"/>
      </rPr>
      <t xml:space="preserve"> / </t>
    </r>
    <r>
      <rPr>
        <sz val="15"/>
        <color theme="1"/>
        <rFont val="新細明體"/>
        <family val="2"/>
        <charset val="136"/>
      </rPr>
      <t>曝險事件審理終結情形</t>
    </r>
    <phoneticPr fontId="6" type="noConversion"/>
  </si>
  <si>
    <r>
      <t>105</t>
    </r>
    <r>
      <rPr>
        <sz val="12"/>
        <color theme="1"/>
        <rFont val="細明體"/>
        <family val="3"/>
        <charset val="136"/>
      </rPr>
      <t>年</t>
    </r>
    <phoneticPr fontId="6" type="noConversion"/>
  </si>
  <si>
    <r>
      <t>106年</t>
    </r>
    <r>
      <rPr>
        <sz val="12"/>
        <color theme="1"/>
        <rFont val="細明體"/>
        <family val="3"/>
        <charset val="136"/>
      </rPr>
      <t/>
    </r>
  </si>
  <si>
    <r>
      <t>107年</t>
    </r>
    <r>
      <rPr>
        <sz val="12"/>
        <color theme="1"/>
        <rFont val="細明體"/>
        <family val="3"/>
        <charset val="136"/>
      </rPr>
      <t/>
    </r>
  </si>
  <si>
    <r>
      <t>108</t>
    </r>
    <r>
      <rPr>
        <sz val="12"/>
        <color theme="1"/>
        <rFont val="新細明體"/>
        <family val="2"/>
        <charset val="136"/>
      </rPr>
      <t>年</t>
    </r>
    <r>
      <rPr>
        <sz val="12"/>
        <color theme="1"/>
        <rFont val="Times New Roman"/>
        <family val="1"/>
      </rPr>
      <t xml:space="preserve"> (</t>
    </r>
    <r>
      <rPr>
        <sz val="12"/>
        <color theme="1"/>
        <rFont val="新細明體"/>
        <family val="2"/>
        <charset val="136"/>
      </rPr>
      <t>虞犯</t>
    </r>
    <r>
      <rPr>
        <sz val="12"/>
        <color theme="1"/>
        <rFont val="Times New Roman"/>
        <family val="1"/>
      </rPr>
      <t>)</t>
    </r>
    <phoneticPr fontId="6" type="noConversion"/>
  </si>
  <si>
    <r>
      <t>108</t>
    </r>
    <r>
      <rPr>
        <sz val="12"/>
        <color theme="1"/>
        <rFont val="新細明體"/>
        <family val="2"/>
        <charset val="136"/>
      </rPr>
      <t>年</t>
    </r>
    <r>
      <rPr>
        <sz val="12"/>
        <color theme="1"/>
        <rFont val="Times New Roman"/>
        <family val="1"/>
      </rPr>
      <t xml:space="preserve"> (</t>
    </r>
    <r>
      <rPr>
        <sz val="12"/>
        <color theme="1"/>
        <rFont val="新細明體"/>
        <family val="2"/>
        <charset val="136"/>
      </rPr>
      <t>曝險</t>
    </r>
    <r>
      <rPr>
        <sz val="12"/>
        <color theme="1"/>
        <rFont val="Times New Roman"/>
        <family val="1"/>
      </rPr>
      <t>)</t>
    </r>
    <phoneticPr fontId="6" type="noConversion"/>
  </si>
  <si>
    <r>
      <rPr>
        <sz val="12"/>
        <color theme="1"/>
        <rFont val="新細明體"/>
        <family val="2"/>
        <charset val="136"/>
      </rPr>
      <t>不付保護處分</t>
    </r>
    <phoneticPr fontId="6" type="noConversion"/>
  </si>
  <si>
    <t>5 (0.27%)</t>
    <phoneticPr fontId="6" type="noConversion"/>
  </si>
  <si>
    <t>8 (0.72%)</t>
    <phoneticPr fontId="6" type="noConversion"/>
  </si>
  <si>
    <t>5 (0.63%)</t>
    <phoneticPr fontId="6" type="noConversion"/>
  </si>
  <si>
    <t>5 (1.37%)</t>
    <phoneticPr fontId="6" type="noConversion"/>
  </si>
  <si>
    <t>8 (2.05%)</t>
    <phoneticPr fontId="6" type="noConversion"/>
  </si>
  <si>
    <r>
      <rPr>
        <sz val="12"/>
        <color theme="1"/>
        <rFont val="新細明體"/>
        <family val="2"/>
        <charset val="136"/>
      </rPr>
      <t>交付保護處分</t>
    </r>
    <phoneticPr fontId="6" type="noConversion"/>
  </si>
  <si>
    <t>1,292 (68.69%)</t>
    <phoneticPr fontId="6" type="noConversion"/>
  </si>
  <si>
    <t>739 (66.64%)</t>
    <phoneticPr fontId="6" type="noConversion"/>
  </si>
  <si>
    <t>581 (73.27%)</t>
    <phoneticPr fontId="6" type="noConversion"/>
  </si>
  <si>
    <t>268 (73.42%)</t>
    <phoneticPr fontId="6" type="noConversion"/>
  </si>
  <si>
    <t>280 (71.61%)</t>
    <phoneticPr fontId="6" type="noConversion"/>
  </si>
  <si>
    <r>
      <rPr>
        <sz val="12"/>
        <color theme="1"/>
        <rFont val="新細明體"/>
        <family val="2"/>
        <charset val="136"/>
      </rPr>
      <t>協尋</t>
    </r>
    <phoneticPr fontId="6" type="noConversion"/>
  </si>
  <si>
    <t>10 (0.53%)</t>
    <phoneticPr fontId="6" type="noConversion"/>
  </si>
  <si>
    <t>2 (0.18%)</t>
    <phoneticPr fontId="6" type="noConversion"/>
  </si>
  <si>
    <t>7 (0.88%)</t>
    <phoneticPr fontId="6" type="noConversion"/>
  </si>
  <si>
    <t>1 (0.27%)</t>
    <phoneticPr fontId="6" type="noConversion"/>
  </si>
  <si>
    <t>-</t>
    <phoneticPr fontId="6" type="noConversion"/>
  </si>
  <si>
    <r>
      <rPr>
        <sz val="12"/>
        <color theme="1"/>
        <rFont val="新細明體"/>
        <family val="2"/>
        <charset val="136"/>
      </rPr>
      <t>併辦</t>
    </r>
    <phoneticPr fontId="6" type="noConversion"/>
  </si>
  <si>
    <t>574 (30.52%)</t>
    <phoneticPr fontId="6" type="noConversion"/>
  </si>
  <si>
    <t>360 (32.46%)</t>
    <phoneticPr fontId="6" type="noConversion"/>
  </si>
  <si>
    <t>200 (25.22%)</t>
    <phoneticPr fontId="6" type="noConversion"/>
  </si>
  <si>
    <t>91 (24.93%)</t>
    <phoneticPr fontId="6" type="noConversion"/>
  </si>
  <si>
    <t>103 (26.34%)</t>
    <phoneticPr fontId="6" type="noConversion"/>
  </si>
  <si>
    <r>
      <rPr>
        <sz val="12"/>
        <color theme="1"/>
        <rFont val="新細明體"/>
        <family val="2"/>
        <charset val="136"/>
      </rPr>
      <t>合計</t>
    </r>
    <phoneticPr fontId="6" type="noConversion"/>
  </si>
  <si>
    <t>1,881 (100.00%)</t>
    <phoneticPr fontId="6" type="noConversion"/>
  </si>
  <si>
    <t>1,109 (100.00%)</t>
    <phoneticPr fontId="6" type="noConversion"/>
  </si>
  <si>
    <t>793 (100.00%)</t>
    <phoneticPr fontId="6" type="noConversion"/>
  </si>
  <si>
    <t>402 (100.00%)</t>
    <phoneticPr fontId="6" type="noConversion"/>
  </si>
  <si>
    <t>391 (100.00%)</t>
    <phoneticPr fontId="6" type="noConversion"/>
  </si>
  <si>
    <r>
      <rPr>
        <sz val="10"/>
        <color theme="1"/>
        <rFont val="新細明體"/>
        <family val="2"/>
        <charset val="136"/>
      </rPr>
      <t>資料來源：司法院（表</t>
    </r>
    <r>
      <rPr>
        <sz val="10"/>
        <color theme="1"/>
        <rFont val="Times New Roman"/>
        <family val="1"/>
      </rPr>
      <t>10914-03-01-05</t>
    </r>
    <r>
      <rPr>
        <sz val="10"/>
        <color theme="1"/>
        <rFont val="新細明體"/>
        <family val="2"/>
        <charset val="136"/>
      </rPr>
      <t>）
說　　明：</t>
    </r>
    <r>
      <rPr>
        <sz val="10"/>
        <color theme="1"/>
        <rFont val="Times New Roman"/>
        <family val="1"/>
      </rPr>
      <t>1. 108</t>
    </r>
    <r>
      <rPr>
        <sz val="10"/>
        <color theme="1"/>
        <rFont val="新細明體"/>
        <family val="2"/>
        <charset val="136"/>
      </rPr>
      <t>年</t>
    </r>
    <r>
      <rPr>
        <sz val="10"/>
        <color theme="1"/>
        <rFont val="Times New Roman"/>
        <family val="1"/>
      </rPr>
      <t>6</t>
    </r>
    <r>
      <rPr>
        <sz val="10"/>
        <color theme="1"/>
        <rFont val="新細明體"/>
        <family val="2"/>
        <charset val="136"/>
      </rPr>
      <t>月</t>
    </r>
    <r>
      <rPr>
        <sz val="10"/>
        <color theme="1"/>
        <rFont val="Times New Roman"/>
        <family val="1"/>
      </rPr>
      <t>19</t>
    </r>
    <r>
      <rPr>
        <sz val="10"/>
        <color theme="1"/>
        <rFont val="新細明體"/>
        <family val="2"/>
        <charset val="136"/>
      </rPr>
      <t>日少事法修法施行前為虞犯少年，其後為曝險少年。
　　　　　</t>
    </r>
    <r>
      <rPr>
        <sz val="10"/>
        <color theme="1"/>
        <rFont val="Times New Roman"/>
        <family val="1"/>
      </rPr>
      <t xml:space="preserve">2. </t>
    </r>
    <r>
      <rPr>
        <sz val="10"/>
        <color theme="1"/>
        <rFont val="新細明體"/>
        <family val="2"/>
        <charset val="136"/>
      </rPr>
      <t>資料來源原有其他項，惟</t>
    </r>
    <r>
      <rPr>
        <sz val="10"/>
        <color theme="1"/>
        <rFont val="Times New Roman"/>
        <family val="1"/>
      </rPr>
      <t>108</t>
    </r>
    <r>
      <rPr>
        <sz val="10"/>
        <color theme="1"/>
        <rFont val="新細明體"/>
        <family val="2"/>
        <charset val="136"/>
      </rPr>
      <t>年</t>
    </r>
    <r>
      <rPr>
        <sz val="10"/>
        <color theme="1"/>
        <rFont val="Times New Roman"/>
        <family val="1"/>
      </rPr>
      <t xml:space="preserve"> (</t>
    </r>
    <r>
      <rPr>
        <sz val="10"/>
        <color theme="1"/>
        <rFont val="新細明體"/>
        <family val="2"/>
        <charset val="136"/>
      </rPr>
      <t>虞犯</t>
    </r>
    <r>
      <rPr>
        <sz val="10"/>
        <color theme="1"/>
        <rFont val="Times New Roman"/>
        <family val="1"/>
      </rPr>
      <t xml:space="preserve">) </t>
    </r>
    <r>
      <rPr>
        <sz val="10"/>
        <color theme="1"/>
        <rFont val="新細明體"/>
        <family val="2"/>
        <charset val="136"/>
      </rPr>
      <t>之其他項，含原少年虞犯未結事件移轉至少年曝險事件，以及分案錯誤案件，
　　　　　　因此部分數據會和</t>
    </r>
    <r>
      <rPr>
        <sz val="10"/>
        <color theme="1"/>
        <rFont val="Times New Roman"/>
        <family val="1"/>
      </rPr>
      <t>108</t>
    </r>
    <r>
      <rPr>
        <sz val="10"/>
        <color theme="1"/>
        <rFont val="新細明體"/>
        <family val="2"/>
        <charset val="136"/>
      </rPr>
      <t>年</t>
    </r>
    <r>
      <rPr>
        <sz val="10"/>
        <color theme="1"/>
        <rFont val="Times New Roman"/>
        <family val="1"/>
      </rPr>
      <t xml:space="preserve"> (</t>
    </r>
    <r>
      <rPr>
        <sz val="10"/>
        <color theme="1"/>
        <rFont val="新細明體"/>
        <family val="2"/>
        <charset val="136"/>
      </rPr>
      <t>曝險</t>
    </r>
    <r>
      <rPr>
        <sz val="10"/>
        <color theme="1"/>
        <rFont val="Times New Roman"/>
        <family val="1"/>
      </rPr>
      <t xml:space="preserve">) </t>
    </r>
    <r>
      <rPr>
        <sz val="10"/>
        <color theme="1"/>
        <rFont val="新細明體"/>
        <family val="2"/>
        <charset val="136"/>
      </rPr>
      <t>處重疊。基此，本表合計欄僅為本表各項加總，不含司法院原表之「其他」類別。</t>
    </r>
    <phoneticPr fontId="6" type="noConversion"/>
  </si>
  <si>
    <r>
      <rPr>
        <sz val="15"/>
        <rFont val="新細明體"/>
        <family val="1"/>
        <charset val="136"/>
      </rPr>
      <t>表</t>
    </r>
    <r>
      <rPr>
        <sz val="15"/>
        <rFont val="Times New Roman"/>
        <family val="1"/>
      </rPr>
      <t xml:space="preserve">4-1-1   </t>
    </r>
    <r>
      <rPr>
        <sz val="15"/>
        <rFont val="新細明體"/>
        <family val="1"/>
        <charset val="136"/>
      </rPr>
      <t>近</t>
    </r>
    <r>
      <rPr>
        <sz val="15"/>
        <rFont val="Times New Roman"/>
        <family val="1"/>
      </rPr>
      <t>10</t>
    </r>
    <r>
      <rPr>
        <sz val="15"/>
        <rFont val="新細明體"/>
        <family val="1"/>
        <charset val="136"/>
      </rPr>
      <t>年女性犯罪者犯罪趨勢</t>
    </r>
    <phoneticPr fontId="44" type="noConversion"/>
  </si>
  <si>
    <r>
      <rPr>
        <sz val="12"/>
        <rFont val="新細明體"/>
        <family val="1"/>
        <charset val="136"/>
      </rPr>
      <t>年</t>
    </r>
    <r>
      <rPr>
        <sz val="12"/>
        <rFont val="Times New Roman"/>
        <family val="1"/>
      </rPr>
      <t xml:space="preserve">        </t>
    </r>
    <r>
      <rPr>
        <sz val="12"/>
        <rFont val="新細明體"/>
        <family val="1"/>
        <charset val="136"/>
      </rPr>
      <t>別</t>
    </r>
    <phoneticPr fontId="44" type="noConversion"/>
  </si>
  <si>
    <r>
      <rPr>
        <sz val="12"/>
        <rFont val="新細明體"/>
        <family val="1"/>
        <charset val="136"/>
      </rPr>
      <t>女性
人口數</t>
    </r>
    <phoneticPr fontId="44" type="noConversion"/>
  </si>
  <si>
    <r>
      <rPr>
        <sz val="12"/>
        <rFont val="新細明體"/>
        <family val="1"/>
        <charset val="136"/>
      </rPr>
      <t>警察機關查獲犯罪嫌疑人數</t>
    </r>
    <phoneticPr fontId="44" type="noConversion"/>
  </si>
  <si>
    <r>
      <rPr>
        <sz val="12"/>
        <rFont val="新細明體"/>
        <family val="1"/>
        <charset val="136"/>
      </rPr>
      <t>地方檢察署執行裁判確定有罪</t>
    </r>
    <phoneticPr fontId="44" type="noConversion"/>
  </si>
  <si>
    <r>
      <rPr>
        <sz val="12"/>
        <rFont val="新細明體"/>
        <family val="1"/>
        <charset val="136"/>
      </rPr>
      <t>合</t>
    </r>
    <r>
      <rPr>
        <sz val="12"/>
        <rFont val="Times New Roman"/>
        <family val="1"/>
      </rPr>
      <t xml:space="preserve">   </t>
    </r>
    <r>
      <rPr>
        <sz val="12"/>
        <rFont val="新細明體"/>
        <family val="1"/>
        <charset val="136"/>
      </rPr>
      <t>計</t>
    </r>
    <phoneticPr fontId="44" type="noConversion"/>
  </si>
  <si>
    <r>
      <rPr>
        <sz val="12"/>
        <rFont val="新細明體"/>
        <family val="1"/>
        <charset val="136"/>
      </rPr>
      <t>男</t>
    </r>
    <r>
      <rPr>
        <sz val="12"/>
        <rFont val="Times New Roman"/>
        <family val="1"/>
      </rPr>
      <t xml:space="preserve">   </t>
    </r>
    <r>
      <rPr>
        <sz val="12"/>
        <rFont val="新細明體"/>
        <family val="1"/>
        <charset val="136"/>
      </rPr>
      <t>性</t>
    </r>
    <phoneticPr fontId="44" type="noConversion"/>
  </si>
  <si>
    <r>
      <rPr>
        <sz val="12"/>
        <rFont val="新細明體"/>
        <family val="1"/>
        <charset val="136"/>
      </rPr>
      <t>女</t>
    </r>
    <r>
      <rPr>
        <sz val="12"/>
        <rFont val="Times New Roman"/>
        <family val="1"/>
      </rPr>
      <t xml:space="preserve">   </t>
    </r>
    <r>
      <rPr>
        <sz val="12"/>
        <rFont val="新細明體"/>
        <family val="1"/>
        <charset val="136"/>
      </rPr>
      <t>性</t>
    </r>
    <phoneticPr fontId="44" type="noConversion"/>
  </si>
  <si>
    <t>女性人數</t>
    <phoneticPr fontId="44" type="noConversion"/>
  </si>
  <si>
    <r>
      <rPr>
        <sz val="12"/>
        <rFont val="新細明體"/>
        <family val="1"/>
        <charset val="136"/>
      </rPr>
      <t>犯罪人口率</t>
    </r>
    <phoneticPr fontId="44" type="noConversion"/>
  </si>
  <si>
    <r>
      <rPr>
        <sz val="12"/>
        <rFont val="新細明體"/>
        <family val="1"/>
        <charset val="136"/>
      </rPr>
      <t>人數</t>
    </r>
    <phoneticPr fontId="44" type="noConversion"/>
  </si>
  <si>
    <t>%</t>
    <phoneticPr fontId="44" type="noConversion"/>
  </si>
  <si>
    <t>%</t>
    <phoneticPr fontId="44" type="noConversion"/>
  </si>
  <si>
    <r>
      <rPr>
        <sz val="12"/>
        <rFont val="新細明體"/>
        <family val="1"/>
        <charset val="136"/>
      </rPr>
      <t>人數</t>
    </r>
    <phoneticPr fontId="44" type="noConversion"/>
  </si>
  <si>
    <t>%</t>
    <phoneticPr fontId="44" type="noConversion"/>
  </si>
  <si>
    <r>
      <t>99</t>
    </r>
    <r>
      <rPr>
        <sz val="12"/>
        <rFont val="新細明體"/>
        <family val="1"/>
        <charset val="136"/>
      </rPr>
      <t>年</t>
    </r>
    <phoneticPr fontId="44" type="noConversion"/>
  </si>
  <si>
    <r>
      <t>101</t>
    </r>
    <r>
      <rPr>
        <sz val="12"/>
        <rFont val="新細明體"/>
        <family val="1"/>
        <charset val="136"/>
      </rPr>
      <t>年</t>
    </r>
    <phoneticPr fontId="44" type="noConversion"/>
  </si>
  <si>
    <r>
      <t>102</t>
    </r>
    <r>
      <rPr>
        <sz val="12"/>
        <rFont val="新細明體"/>
        <family val="1"/>
        <charset val="136"/>
      </rPr>
      <t>年</t>
    </r>
    <phoneticPr fontId="44" type="noConversion"/>
  </si>
  <si>
    <r>
      <t>103</t>
    </r>
    <r>
      <rPr>
        <sz val="12"/>
        <rFont val="新細明體"/>
        <family val="1"/>
        <charset val="136"/>
      </rPr>
      <t>年</t>
    </r>
    <phoneticPr fontId="44" type="noConversion"/>
  </si>
  <si>
    <r>
      <t>104</t>
    </r>
    <r>
      <rPr>
        <sz val="12"/>
        <rFont val="新細明體"/>
        <family val="1"/>
        <charset val="136"/>
      </rPr>
      <t>年</t>
    </r>
    <phoneticPr fontId="44" type="noConversion"/>
  </si>
  <si>
    <r>
      <t>106</t>
    </r>
    <r>
      <rPr>
        <sz val="12"/>
        <rFont val="新細明體"/>
        <family val="1"/>
        <charset val="136"/>
      </rPr>
      <t>年</t>
    </r>
    <phoneticPr fontId="44" type="noConversion"/>
  </si>
  <si>
    <r>
      <t>107</t>
    </r>
    <r>
      <rPr>
        <sz val="12"/>
        <rFont val="新細明體"/>
        <family val="1"/>
        <charset val="136"/>
      </rPr>
      <t>年</t>
    </r>
    <phoneticPr fontId="44" type="noConversion"/>
  </si>
  <si>
    <r>
      <rPr>
        <sz val="10"/>
        <rFont val="新細明體"/>
        <family val="1"/>
        <charset val="136"/>
      </rPr>
      <t>資料來源：法務部統計處、內政部警政署刑事警察局</t>
    </r>
    <phoneticPr fontId="44" type="noConversion"/>
  </si>
  <si>
    <r>
      <rPr>
        <sz val="10"/>
        <rFont val="新細明體"/>
        <family val="1"/>
        <charset val="136"/>
      </rPr>
      <t>說　　明：</t>
    </r>
    <r>
      <rPr>
        <sz val="10"/>
        <rFont val="Times New Roman"/>
        <family val="1"/>
      </rPr>
      <t xml:space="preserve">1. </t>
    </r>
    <r>
      <rPr>
        <sz val="10"/>
        <rFont val="新細明體"/>
        <family val="1"/>
        <charset val="136"/>
      </rPr>
      <t>本表執行裁判確定有罪人數不含法人。</t>
    </r>
    <phoneticPr fontId="44" type="noConversion"/>
  </si>
  <si>
    <r>
      <t xml:space="preserve">                    2. </t>
    </r>
    <r>
      <rPr>
        <sz val="10"/>
        <rFont val="新細明體"/>
        <family val="1"/>
        <charset val="136"/>
      </rPr>
      <t>裁判確定有罪人數係指各級法院裁判確定有罪移送檢察機關執行之人數，以下各表均同。</t>
    </r>
    <phoneticPr fontId="44" type="noConversion"/>
  </si>
  <si>
    <r>
      <t xml:space="preserve">                    3. </t>
    </r>
    <r>
      <rPr>
        <sz val="10"/>
        <rFont val="新細明體"/>
        <family val="1"/>
        <charset val="136"/>
      </rPr>
      <t>女性犯罪嫌疑</t>
    </r>
    <r>
      <rPr>
        <sz val="10"/>
        <rFont val="Times New Roman"/>
        <family val="1"/>
      </rPr>
      <t>%</t>
    </r>
    <r>
      <rPr>
        <sz val="10"/>
        <rFont val="新細明體"/>
        <family val="1"/>
        <charset val="136"/>
      </rPr>
      <t>，係女性犯罪嫌疑人數占全年全般刑案犯罪嫌疑總人數比率。總人數資料詳如表</t>
    </r>
    <r>
      <rPr>
        <sz val="10"/>
        <rFont val="Times New Roman"/>
        <family val="1"/>
      </rPr>
      <t>1-1-2</t>
    </r>
    <r>
      <rPr>
        <sz val="10"/>
        <rFont val="新細明體"/>
        <family val="1"/>
        <charset val="136"/>
      </rPr>
      <t>。</t>
    </r>
    <phoneticPr fontId="44" type="noConversion"/>
  </si>
  <si>
    <r>
      <t xml:space="preserve">                    4. </t>
    </r>
    <r>
      <rPr>
        <sz val="10"/>
        <rFont val="新細明體"/>
        <family val="1"/>
        <charset val="136"/>
      </rPr>
      <t>女性犯罪人口率，係以女性年中人口數每</t>
    </r>
    <r>
      <rPr>
        <sz val="10"/>
        <rFont val="Times New Roman"/>
        <family val="1"/>
      </rPr>
      <t>100,000</t>
    </r>
    <r>
      <rPr>
        <sz val="10"/>
        <rFont val="新細明體"/>
        <family val="1"/>
        <charset val="136"/>
      </rPr>
      <t>人口中計算犯罪人數。</t>
    </r>
    <r>
      <rPr>
        <sz val="10"/>
        <rFont val="Times New Roman"/>
        <family val="1"/>
      </rPr>
      <t xml:space="preserve"> </t>
    </r>
    <r>
      <rPr>
        <sz val="10"/>
        <rFont val="新細明體"/>
        <family val="1"/>
        <charset val="136"/>
      </rPr>
      <t>以</t>
    </r>
    <r>
      <rPr>
        <sz val="10"/>
        <rFont val="Times New Roman"/>
        <family val="1"/>
      </rPr>
      <t>104</t>
    </r>
    <r>
      <rPr>
        <sz val="10"/>
        <rFont val="新細明體"/>
        <family val="1"/>
        <charset val="136"/>
      </rPr>
      <t>年為例，女性犯罪人口率</t>
    </r>
    <r>
      <rPr>
        <sz val="10"/>
        <rFont val="Times New Roman"/>
        <family val="1"/>
      </rPr>
      <t xml:space="preserve"> =                                                                                                                                                           </t>
    </r>
    <phoneticPr fontId="44" type="noConversion"/>
  </si>
  <si>
    <r>
      <t xml:space="preserve">                         47,392 / [(103</t>
    </r>
    <r>
      <rPr>
        <sz val="10"/>
        <rFont val="新細明體"/>
        <family val="1"/>
        <charset val="136"/>
      </rPr>
      <t>年女性人口數</t>
    </r>
    <r>
      <rPr>
        <sz val="10"/>
        <rFont val="Times New Roman"/>
        <family val="1"/>
      </rPr>
      <t xml:space="preserve"> + 104</t>
    </r>
    <r>
      <rPr>
        <sz val="10"/>
        <rFont val="新細明體"/>
        <family val="1"/>
        <charset val="136"/>
      </rPr>
      <t>年女性人口數</t>
    </r>
    <r>
      <rPr>
        <sz val="10"/>
        <rFont val="Times New Roman"/>
        <family val="1"/>
      </rPr>
      <t>) / 2] * 100,000</t>
    </r>
    <r>
      <rPr>
        <sz val="10"/>
        <rFont val="新細明體"/>
        <family val="1"/>
        <charset val="136"/>
      </rPr>
      <t>。</t>
    </r>
    <r>
      <rPr>
        <sz val="10"/>
        <rFont val="Times New Roman"/>
        <family val="1"/>
      </rPr>
      <t xml:space="preserve">  </t>
    </r>
    <phoneticPr fontId="6" type="noConversion"/>
  </si>
  <si>
    <r>
      <rPr>
        <sz val="15"/>
        <color theme="1"/>
        <rFont val="新細明體"/>
        <family val="1"/>
        <charset val="136"/>
      </rPr>
      <t>表</t>
    </r>
    <r>
      <rPr>
        <sz val="15"/>
        <color theme="1"/>
        <rFont val="Times New Roman"/>
        <family val="1"/>
      </rPr>
      <t>4-1-2</t>
    </r>
    <r>
      <rPr>
        <sz val="15"/>
        <color theme="1"/>
        <rFont val="新細明體"/>
        <family val="1"/>
        <charset val="136"/>
      </rPr>
      <t>　近</t>
    </r>
    <r>
      <rPr>
        <sz val="15"/>
        <color theme="1"/>
        <rFont val="Times New Roman"/>
        <family val="1"/>
      </rPr>
      <t>5</t>
    </r>
    <r>
      <rPr>
        <sz val="15"/>
        <color theme="1"/>
        <rFont val="新細明體"/>
        <family val="1"/>
        <charset val="136"/>
      </rPr>
      <t>年地方檢察署執行普通刑法裁判確定有罪之女性犯罪者罪名</t>
    </r>
    <phoneticPr fontId="44" type="noConversion"/>
  </si>
  <si>
    <r>
      <rPr>
        <sz val="12"/>
        <color theme="1"/>
        <rFont val="新細明體"/>
        <family val="1"/>
        <charset val="136"/>
      </rPr>
      <t>罪</t>
    </r>
    <r>
      <rPr>
        <sz val="12"/>
        <color theme="1"/>
        <rFont val="Times New Roman"/>
        <family val="1"/>
      </rPr>
      <t xml:space="preserve">   </t>
    </r>
    <r>
      <rPr>
        <sz val="12"/>
        <color theme="1"/>
        <rFont val="新細明體"/>
        <family val="1"/>
        <charset val="136"/>
      </rPr>
      <t>名</t>
    </r>
    <r>
      <rPr>
        <sz val="12"/>
        <color theme="1"/>
        <rFont val="Times New Roman"/>
        <family val="1"/>
      </rPr>
      <t xml:space="preserve">   </t>
    </r>
    <r>
      <rPr>
        <sz val="12"/>
        <color theme="1"/>
        <rFont val="新細明體"/>
        <family val="1"/>
        <charset val="136"/>
      </rPr>
      <t>別</t>
    </r>
    <phoneticPr fontId="44" type="noConversion"/>
  </si>
  <si>
    <r>
      <t>104</t>
    </r>
    <r>
      <rPr>
        <sz val="12"/>
        <color theme="1"/>
        <rFont val="新細明體"/>
        <family val="1"/>
        <charset val="136"/>
      </rPr>
      <t>年</t>
    </r>
    <phoneticPr fontId="44" type="noConversion"/>
  </si>
  <si>
    <r>
      <t>105</t>
    </r>
    <r>
      <rPr>
        <sz val="12"/>
        <color theme="1"/>
        <rFont val="新細明體"/>
        <family val="1"/>
        <charset val="136"/>
      </rPr>
      <t>年</t>
    </r>
    <phoneticPr fontId="6" type="noConversion"/>
  </si>
  <si>
    <r>
      <t>106</t>
    </r>
    <r>
      <rPr>
        <sz val="12"/>
        <color theme="1"/>
        <rFont val="新細明體"/>
        <family val="1"/>
        <charset val="136"/>
      </rPr>
      <t>年</t>
    </r>
    <phoneticPr fontId="6" type="noConversion"/>
  </si>
  <si>
    <r>
      <t>107</t>
    </r>
    <r>
      <rPr>
        <sz val="12"/>
        <color theme="1"/>
        <rFont val="新細明體"/>
        <family val="1"/>
        <charset val="136"/>
      </rPr>
      <t>年</t>
    </r>
    <phoneticPr fontId="6" type="noConversion"/>
  </si>
  <si>
    <r>
      <rPr>
        <sz val="12"/>
        <color theme="1"/>
        <rFont val="新細明體"/>
        <family val="1"/>
        <charset val="136"/>
      </rPr>
      <t>人</t>
    </r>
  </si>
  <si>
    <r>
      <rPr>
        <sz val="12"/>
        <color theme="1"/>
        <rFont val="新細明體"/>
        <family val="1"/>
        <charset val="136"/>
      </rPr>
      <t>總計</t>
    </r>
    <phoneticPr fontId="44" type="noConversion"/>
  </si>
  <si>
    <t>傷害罪</t>
  </si>
  <si>
    <t>賭博罪</t>
  </si>
  <si>
    <t>侵占罪</t>
  </si>
  <si>
    <t>妨害名譽及信用罪</t>
  </si>
  <si>
    <t>妨害自由罪</t>
  </si>
  <si>
    <t>殺人罪</t>
  </si>
  <si>
    <t>妨害風化罪</t>
  </si>
  <si>
    <t>妨害投票罪</t>
  </si>
  <si>
    <t>妨害公務罪</t>
  </si>
  <si>
    <t>毀棄損壞罪</t>
  </si>
  <si>
    <t>妨害婚姻及家庭罪</t>
  </si>
  <si>
    <t>誣告罪</t>
  </si>
  <si>
    <t>偽造有價證券罪</t>
  </si>
  <si>
    <t>恐嚇取財得利罪</t>
  </si>
  <si>
    <t>偽證罪</t>
  </si>
  <si>
    <t>藏匿人犯罪</t>
  </si>
  <si>
    <t>背信罪</t>
  </si>
  <si>
    <t>贓物罪</t>
  </si>
  <si>
    <t>重利罪</t>
  </si>
  <si>
    <t>妨害秘密罪</t>
  </si>
  <si>
    <t>妨害電腦使用罪</t>
  </si>
  <si>
    <t>遺棄罪</t>
  </si>
  <si>
    <t>妨害性自主罪</t>
  </si>
  <si>
    <t>瀆職罪</t>
  </si>
  <si>
    <t>強盜罪</t>
  </si>
  <si>
    <t>妨害秩序罪</t>
  </si>
  <si>
    <t>湮滅證據罪</t>
  </si>
  <si>
    <t>妨害農工商罪</t>
  </si>
  <si>
    <t>脫逃罪</t>
  </si>
  <si>
    <t>偽造貨幣罪</t>
  </si>
  <si>
    <t>墮胎罪</t>
  </si>
  <si>
    <t>褻瀆祀典及侵害墳墓屍體罪</t>
  </si>
  <si>
    <t>資料來源：法務部統計處</t>
    <phoneticPr fontId="44" type="noConversion"/>
  </si>
  <si>
    <r>
      <rPr>
        <sz val="15"/>
        <rFont val="新細明體"/>
        <family val="1"/>
        <charset val="136"/>
      </rPr>
      <t>表</t>
    </r>
    <r>
      <rPr>
        <sz val="15"/>
        <rFont val="Times New Roman"/>
        <family val="1"/>
      </rPr>
      <t>4-1-3</t>
    </r>
    <r>
      <rPr>
        <sz val="15"/>
        <rFont val="新細明體"/>
        <family val="1"/>
        <charset val="136"/>
      </rPr>
      <t>　近</t>
    </r>
    <r>
      <rPr>
        <sz val="15"/>
        <rFont val="Times New Roman"/>
        <family val="1"/>
      </rPr>
      <t>5</t>
    </r>
    <r>
      <rPr>
        <sz val="15"/>
        <rFont val="新細明體"/>
        <family val="1"/>
        <charset val="136"/>
      </rPr>
      <t>年地方檢察署執行特別刑法裁判確定有罪之女性犯罪者罪名</t>
    </r>
    <phoneticPr fontId="44" type="noConversion"/>
  </si>
  <si>
    <r>
      <rPr>
        <sz val="12"/>
        <rFont val="新細明體"/>
        <family val="1"/>
        <charset val="136"/>
      </rPr>
      <t>罪</t>
    </r>
    <r>
      <rPr>
        <sz val="12"/>
        <rFont val="Times New Roman"/>
        <family val="1"/>
      </rPr>
      <t xml:space="preserve">   </t>
    </r>
    <r>
      <rPr>
        <sz val="12"/>
        <rFont val="新細明體"/>
        <family val="1"/>
        <charset val="136"/>
      </rPr>
      <t>名</t>
    </r>
    <r>
      <rPr>
        <sz val="12"/>
        <rFont val="Times New Roman"/>
        <family val="1"/>
      </rPr>
      <t xml:space="preserve">   </t>
    </r>
    <r>
      <rPr>
        <sz val="12"/>
        <rFont val="新細明體"/>
        <family val="1"/>
        <charset val="136"/>
      </rPr>
      <t>別</t>
    </r>
    <phoneticPr fontId="44" type="noConversion"/>
  </si>
  <si>
    <r>
      <t>105</t>
    </r>
    <r>
      <rPr>
        <sz val="12"/>
        <rFont val="新細明體"/>
        <family val="1"/>
        <charset val="136"/>
      </rPr>
      <t>年</t>
    </r>
    <phoneticPr fontId="6" type="noConversion"/>
  </si>
  <si>
    <r>
      <t>106</t>
    </r>
    <r>
      <rPr>
        <sz val="12"/>
        <rFont val="新細明體"/>
        <family val="1"/>
        <charset val="136"/>
      </rPr>
      <t>年</t>
    </r>
    <phoneticPr fontId="6" type="noConversion"/>
  </si>
  <si>
    <r>
      <t>107</t>
    </r>
    <r>
      <rPr>
        <sz val="12"/>
        <rFont val="新細明體"/>
        <family val="1"/>
        <charset val="136"/>
      </rPr>
      <t>年</t>
    </r>
    <phoneticPr fontId="6" type="noConversion"/>
  </si>
  <si>
    <r>
      <t>108</t>
    </r>
    <r>
      <rPr>
        <sz val="12"/>
        <rFont val="新細明體"/>
        <family val="1"/>
        <charset val="136"/>
      </rPr>
      <t>年</t>
    </r>
    <phoneticPr fontId="6" type="noConversion"/>
  </si>
  <si>
    <r>
      <rPr>
        <sz val="12"/>
        <rFont val="新細明體"/>
        <family val="1"/>
        <charset val="136"/>
      </rPr>
      <t>總計</t>
    </r>
    <phoneticPr fontId="44" type="noConversion"/>
  </si>
  <si>
    <r>
      <rPr>
        <sz val="12"/>
        <rFont val="新細明體"/>
        <family val="1"/>
        <charset val="136"/>
      </rPr>
      <t>洗錢防制法</t>
    </r>
  </si>
  <si>
    <r>
      <rPr>
        <sz val="12"/>
        <rFont val="新細明體"/>
        <family val="1"/>
        <charset val="136"/>
      </rPr>
      <t>公司法</t>
    </r>
  </si>
  <si>
    <r>
      <rPr>
        <sz val="12"/>
        <rFont val="新細明體"/>
        <family val="1"/>
        <charset val="136"/>
      </rPr>
      <t>區域計畫法</t>
    </r>
  </si>
  <si>
    <r>
      <rPr>
        <sz val="12"/>
        <rFont val="新細明體"/>
        <family val="1"/>
        <charset val="136"/>
      </rPr>
      <t>銀行法</t>
    </r>
  </si>
  <si>
    <r>
      <rPr>
        <sz val="12"/>
        <rFont val="新細明體"/>
        <family val="1"/>
        <charset val="136"/>
      </rPr>
      <t>建築法</t>
    </r>
  </si>
  <si>
    <r>
      <rPr>
        <sz val="12"/>
        <rFont val="新細明體"/>
        <family val="1"/>
        <charset val="136"/>
      </rPr>
      <t>就業服務法</t>
    </r>
  </si>
  <si>
    <r>
      <rPr>
        <sz val="12"/>
        <rFont val="新細明體"/>
        <family val="1"/>
        <charset val="136"/>
      </rPr>
      <t>臺灣地區與大陸地區人民關係條例</t>
    </r>
  </si>
  <si>
    <r>
      <rPr>
        <sz val="12"/>
        <rFont val="新細明體"/>
        <family val="1"/>
        <charset val="136"/>
      </rPr>
      <t>證券交易法</t>
    </r>
  </si>
  <si>
    <r>
      <rPr>
        <sz val="12"/>
        <rFont val="新細明體"/>
        <family val="1"/>
        <charset val="136"/>
      </rPr>
      <t>期貨交易法</t>
    </r>
  </si>
  <si>
    <r>
      <rPr>
        <sz val="12"/>
        <rFont val="新細明體"/>
        <family val="1"/>
        <charset val="136"/>
      </rPr>
      <t>水土保持法</t>
    </r>
  </si>
  <si>
    <r>
      <rPr>
        <sz val="12"/>
        <rFont val="新細明體"/>
        <family val="1"/>
        <charset val="136"/>
      </rPr>
      <t>醫師法</t>
    </r>
  </si>
  <si>
    <r>
      <rPr>
        <sz val="12"/>
        <rFont val="新細明體"/>
        <family val="1"/>
        <charset val="136"/>
      </rPr>
      <t>公平交易法</t>
    </r>
  </si>
  <si>
    <r>
      <rPr>
        <sz val="12"/>
        <rFont val="新細明體"/>
        <family val="1"/>
        <charset val="136"/>
      </rPr>
      <t>健康食品管理法</t>
    </r>
  </si>
  <si>
    <r>
      <rPr>
        <sz val="12"/>
        <rFont val="新細明體"/>
        <family val="1"/>
        <charset val="136"/>
      </rPr>
      <t>懲治走私條例</t>
    </r>
  </si>
  <si>
    <t>-</t>
    <phoneticPr fontId="6" type="noConversion"/>
  </si>
  <si>
    <t>-</t>
    <phoneticPr fontId="6" type="noConversion"/>
  </si>
  <si>
    <r>
      <rPr>
        <sz val="12"/>
        <rFont val="新細明體"/>
        <family val="1"/>
        <charset val="136"/>
      </rPr>
      <t>電信法</t>
    </r>
  </si>
  <si>
    <r>
      <rPr>
        <sz val="12"/>
        <rFont val="新細明體"/>
        <family val="1"/>
        <charset val="136"/>
      </rPr>
      <t>農會法</t>
    </r>
  </si>
  <si>
    <r>
      <rPr>
        <sz val="12"/>
        <rFont val="新細明體"/>
        <family val="1"/>
        <charset val="136"/>
      </rPr>
      <t>證券投資信託及顧問法</t>
    </r>
  </si>
  <si>
    <r>
      <rPr>
        <sz val="12"/>
        <rFont val="新細明體"/>
        <family val="1"/>
        <charset val="136"/>
      </rPr>
      <t>水污染防治法</t>
    </r>
  </si>
  <si>
    <r>
      <rPr>
        <sz val="12"/>
        <rFont val="新細明體"/>
        <family val="1"/>
        <charset val="136"/>
      </rPr>
      <t>野生動物保育法</t>
    </r>
  </si>
  <si>
    <r>
      <rPr>
        <sz val="12"/>
        <rFont val="新細明體"/>
        <family val="1"/>
        <charset val="136"/>
      </rPr>
      <t>職業安全衛生法</t>
    </r>
  </si>
  <si>
    <r>
      <rPr>
        <sz val="12"/>
        <rFont val="新細明體"/>
        <family val="1"/>
        <charset val="136"/>
      </rPr>
      <t>營業秘密法</t>
    </r>
  </si>
  <si>
    <r>
      <rPr>
        <sz val="12"/>
        <rFont val="新細明體"/>
        <family val="1"/>
        <charset val="136"/>
      </rPr>
      <t>漁業法</t>
    </r>
  </si>
  <si>
    <r>
      <rPr>
        <sz val="12"/>
        <rFont val="新細明體"/>
        <family val="1"/>
        <charset val="136"/>
      </rPr>
      <t>律師法</t>
    </r>
  </si>
  <si>
    <r>
      <rPr>
        <sz val="12"/>
        <rFont val="新細明體"/>
        <family val="1"/>
        <charset val="136"/>
      </rPr>
      <t>菸酒管理法</t>
    </r>
  </si>
  <si>
    <r>
      <rPr>
        <sz val="12"/>
        <rFont val="新細明體"/>
        <family val="1"/>
        <charset val="136"/>
      </rPr>
      <t>都市計畫法</t>
    </r>
  </si>
  <si>
    <r>
      <rPr>
        <sz val="12"/>
        <rFont val="新細明體"/>
        <family val="1"/>
        <charset val="136"/>
      </rPr>
      <t>化粧品衛生管理條例</t>
    </r>
  </si>
  <si>
    <r>
      <rPr>
        <sz val="12"/>
        <rFont val="新細明體"/>
        <family val="1"/>
        <charset val="136"/>
      </rPr>
      <t>漁會法</t>
    </r>
  </si>
  <si>
    <r>
      <rPr>
        <sz val="12"/>
        <rFont val="新細明體"/>
        <family val="1"/>
        <charset val="136"/>
      </rPr>
      <t>水利法</t>
    </r>
  </si>
  <si>
    <r>
      <rPr>
        <sz val="12"/>
        <rFont val="新細明體"/>
        <family val="1"/>
        <charset val="136"/>
      </rPr>
      <t>票券金融管理法</t>
    </r>
  </si>
  <si>
    <r>
      <rPr>
        <sz val="12"/>
        <rFont val="新細明體"/>
        <family val="1"/>
        <charset val="136"/>
      </rPr>
      <t>保險法</t>
    </r>
  </si>
  <si>
    <r>
      <rPr>
        <sz val="12"/>
        <rFont val="新細明體"/>
        <family val="1"/>
        <charset val="136"/>
      </rPr>
      <t>農藥管理法</t>
    </r>
  </si>
  <si>
    <r>
      <rPr>
        <sz val="12"/>
        <rFont val="新細明體"/>
        <family val="1"/>
        <charset val="136"/>
      </rPr>
      <t>空氣污染防制法</t>
    </r>
  </si>
  <si>
    <r>
      <rPr>
        <sz val="12"/>
        <rFont val="新細明體"/>
        <family val="1"/>
        <charset val="136"/>
      </rPr>
      <t>山坡地保育利用條例</t>
    </r>
  </si>
  <si>
    <r>
      <rPr>
        <sz val="12"/>
        <rFont val="新細明體"/>
        <family val="1"/>
        <charset val="136"/>
      </rPr>
      <t>電業法</t>
    </r>
  </si>
  <si>
    <r>
      <rPr>
        <sz val="12"/>
        <rFont val="新細明體"/>
        <family val="1"/>
        <charset val="136"/>
      </rPr>
      <t>妨害國幣懲治條例</t>
    </r>
  </si>
  <si>
    <r>
      <rPr>
        <sz val="12"/>
        <rFont val="新細明體"/>
        <family val="1"/>
        <charset val="136"/>
      </rPr>
      <t>勞動基準法</t>
    </r>
  </si>
  <si>
    <r>
      <rPr>
        <sz val="12"/>
        <rFont val="新細明體"/>
        <family val="1"/>
        <charset val="136"/>
      </rPr>
      <t>農業金融法</t>
    </r>
  </si>
  <si>
    <r>
      <rPr>
        <sz val="12"/>
        <rFont val="新細明體"/>
        <family val="1"/>
        <charset val="136"/>
      </rPr>
      <t>國家安全法</t>
    </r>
  </si>
  <si>
    <r>
      <rPr>
        <sz val="15"/>
        <rFont val="新細明體"/>
        <family val="1"/>
        <charset val="136"/>
      </rPr>
      <t>表</t>
    </r>
    <r>
      <rPr>
        <sz val="15"/>
        <rFont val="Times New Roman"/>
        <family val="1"/>
      </rPr>
      <t>4-1-4</t>
    </r>
    <r>
      <rPr>
        <sz val="15"/>
        <rFont val="新細明體"/>
        <family val="1"/>
        <charset val="136"/>
      </rPr>
      <t>　近</t>
    </r>
    <r>
      <rPr>
        <sz val="15"/>
        <rFont val="Times New Roman"/>
        <family val="1"/>
      </rPr>
      <t>5</t>
    </r>
    <r>
      <rPr>
        <sz val="15"/>
        <rFont val="新細明體"/>
        <family val="1"/>
        <charset val="136"/>
      </rPr>
      <t>年地方檢察署執行裁判確定有罪女性主要罪名及女性所占比率</t>
    </r>
    <phoneticPr fontId="44" type="noConversion"/>
  </si>
  <si>
    <r>
      <rPr>
        <sz val="10"/>
        <rFont val="新細明體"/>
        <family val="1"/>
        <charset val="136"/>
      </rPr>
      <t>單位：人、</t>
    </r>
    <r>
      <rPr>
        <sz val="10"/>
        <rFont val="Times New Roman"/>
        <family val="1"/>
      </rPr>
      <t>%</t>
    </r>
    <phoneticPr fontId="44" type="noConversion"/>
  </si>
  <si>
    <r>
      <rPr>
        <sz val="12"/>
        <rFont val="新細明體"/>
        <family val="1"/>
        <charset val="136"/>
      </rPr>
      <t>罪</t>
    </r>
    <r>
      <rPr>
        <sz val="12"/>
        <rFont val="Times New Roman"/>
        <family val="1"/>
      </rPr>
      <t xml:space="preserve">    </t>
    </r>
    <r>
      <rPr>
        <sz val="12"/>
        <rFont val="新細明體"/>
        <family val="1"/>
        <charset val="136"/>
      </rPr>
      <t>名</t>
    </r>
    <r>
      <rPr>
        <sz val="12"/>
        <rFont val="Times New Roman"/>
        <family val="1"/>
      </rPr>
      <t xml:space="preserve">    </t>
    </r>
    <r>
      <rPr>
        <sz val="12"/>
        <rFont val="新細明體"/>
        <family val="1"/>
        <charset val="136"/>
      </rPr>
      <t>別</t>
    </r>
    <phoneticPr fontId="44" type="noConversion"/>
  </si>
  <si>
    <r>
      <t>104</t>
    </r>
    <r>
      <rPr>
        <sz val="12"/>
        <rFont val="新細明體"/>
        <family val="1"/>
        <charset val="136"/>
      </rPr>
      <t>年</t>
    </r>
    <phoneticPr fontId="44" type="noConversion"/>
  </si>
  <si>
    <r>
      <t>105</t>
    </r>
    <r>
      <rPr>
        <sz val="12"/>
        <rFont val="新細明體"/>
        <family val="1"/>
        <charset val="136"/>
      </rPr>
      <t>年</t>
    </r>
    <phoneticPr fontId="44" type="noConversion"/>
  </si>
  <si>
    <r>
      <t>106</t>
    </r>
    <r>
      <rPr>
        <sz val="12"/>
        <rFont val="新細明體"/>
        <family val="1"/>
        <charset val="136"/>
      </rPr>
      <t>年</t>
    </r>
    <phoneticPr fontId="44" type="noConversion"/>
  </si>
  <si>
    <r>
      <t>107</t>
    </r>
    <r>
      <rPr>
        <sz val="12"/>
        <rFont val="新細明體"/>
        <family val="1"/>
        <charset val="136"/>
      </rPr>
      <t>年</t>
    </r>
    <phoneticPr fontId="44" type="noConversion"/>
  </si>
  <si>
    <r>
      <t>108</t>
    </r>
    <r>
      <rPr>
        <sz val="12"/>
        <rFont val="新細明體"/>
        <family val="1"/>
        <charset val="136"/>
      </rPr>
      <t>年</t>
    </r>
    <phoneticPr fontId="44" type="noConversion"/>
  </si>
  <si>
    <r>
      <rPr>
        <sz val="12"/>
        <rFont val="新細明體"/>
        <family val="1"/>
        <charset val="136"/>
      </rPr>
      <t>女</t>
    </r>
    <r>
      <rPr>
        <sz val="12"/>
        <rFont val="Times New Roman"/>
        <family val="1"/>
      </rPr>
      <t xml:space="preserve"> </t>
    </r>
    <r>
      <rPr>
        <sz val="12"/>
        <rFont val="新細明體"/>
        <family val="1"/>
        <charset val="136"/>
      </rPr>
      <t>性人數</t>
    </r>
    <phoneticPr fontId="6" type="noConversion"/>
  </si>
  <si>
    <r>
      <rPr>
        <sz val="12"/>
        <rFont val="新細明體"/>
        <family val="1"/>
        <charset val="136"/>
      </rPr>
      <t>女</t>
    </r>
    <r>
      <rPr>
        <sz val="12"/>
        <rFont val="Times New Roman"/>
        <family val="1"/>
      </rPr>
      <t xml:space="preserve"> </t>
    </r>
    <r>
      <rPr>
        <sz val="12"/>
        <rFont val="新細明體"/>
        <family val="1"/>
        <charset val="136"/>
      </rPr>
      <t>性人數</t>
    </r>
    <phoneticPr fontId="6" type="noConversion"/>
  </si>
  <si>
    <r>
      <rPr>
        <sz val="12"/>
        <rFont val="新細明體"/>
        <family val="1"/>
        <charset val="136"/>
      </rPr>
      <t>女</t>
    </r>
    <r>
      <rPr>
        <sz val="12"/>
        <rFont val="Times New Roman"/>
        <family val="1"/>
      </rPr>
      <t xml:space="preserve"> </t>
    </r>
    <r>
      <rPr>
        <sz val="12"/>
        <rFont val="新細明體"/>
        <family val="1"/>
        <charset val="136"/>
      </rPr>
      <t>性人數</t>
    </r>
    <phoneticPr fontId="6" type="noConversion"/>
  </si>
  <si>
    <r>
      <rPr>
        <sz val="12"/>
        <rFont val="新細明體"/>
        <family val="1"/>
        <charset val="136"/>
      </rPr>
      <t>女</t>
    </r>
    <r>
      <rPr>
        <sz val="12"/>
        <rFont val="Times New Roman"/>
        <family val="1"/>
      </rPr>
      <t xml:space="preserve"> </t>
    </r>
    <r>
      <rPr>
        <sz val="12"/>
        <rFont val="新細明體"/>
        <family val="1"/>
        <charset val="136"/>
      </rPr>
      <t>性人數</t>
    </r>
    <phoneticPr fontId="6" type="noConversion"/>
  </si>
  <si>
    <r>
      <rPr>
        <sz val="11"/>
        <rFont val="新細明體"/>
        <family val="1"/>
        <charset val="136"/>
      </rPr>
      <t>比率</t>
    </r>
    <phoneticPr fontId="44" type="noConversion"/>
  </si>
  <si>
    <r>
      <rPr>
        <sz val="11"/>
        <rFont val="新細明體"/>
        <family val="1"/>
        <charset val="136"/>
      </rPr>
      <t>比率</t>
    </r>
    <phoneticPr fontId="44" type="noConversion"/>
  </si>
  <si>
    <r>
      <rPr>
        <sz val="11"/>
        <rFont val="新細明體"/>
        <family val="1"/>
        <charset val="136"/>
      </rPr>
      <t>比率</t>
    </r>
    <phoneticPr fontId="44" type="noConversion"/>
  </si>
  <si>
    <r>
      <rPr>
        <sz val="12"/>
        <rFont val="新細明體"/>
        <family val="1"/>
        <charset val="136"/>
      </rPr>
      <t>遺棄罪</t>
    </r>
  </si>
  <si>
    <r>
      <rPr>
        <sz val="12"/>
        <rFont val="新細明體"/>
        <family val="1"/>
        <charset val="136"/>
      </rPr>
      <t>墮胎罪</t>
    </r>
  </si>
  <si>
    <r>
      <rPr>
        <sz val="12"/>
        <rFont val="新細明體"/>
        <family val="1"/>
        <charset val="136"/>
      </rPr>
      <t>妨害投票罪</t>
    </r>
  </si>
  <si>
    <r>
      <rPr>
        <sz val="12"/>
        <rFont val="新細明體"/>
        <family val="1"/>
        <charset val="136"/>
      </rPr>
      <t>湮滅證據罪</t>
    </r>
  </si>
  <si>
    <r>
      <rPr>
        <sz val="12"/>
        <rFont val="新細明體"/>
        <family val="1"/>
        <charset val="136"/>
      </rPr>
      <t>誣告罪</t>
    </r>
  </si>
  <si>
    <r>
      <rPr>
        <sz val="12"/>
        <rFont val="新細明體"/>
        <family val="1"/>
        <charset val="136"/>
      </rPr>
      <t>藏匿人犯罪</t>
    </r>
  </si>
  <si>
    <r>
      <rPr>
        <sz val="12"/>
        <rFont val="新細明體"/>
        <family val="1"/>
        <charset val="136"/>
      </rPr>
      <t>偽造有價證券罪</t>
    </r>
  </si>
  <si>
    <r>
      <rPr>
        <sz val="12"/>
        <rFont val="新細明體"/>
        <family val="1"/>
        <charset val="136"/>
      </rPr>
      <t>妨害電腦使用罪</t>
    </r>
  </si>
  <si>
    <r>
      <rPr>
        <sz val="12"/>
        <rFont val="新細明體"/>
        <family val="1"/>
        <charset val="136"/>
      </rPr>
      <t>背信罪</t>
    </r>
  </si>
  <si>
    <r>
      <rPr>
        <sz val="12"/>
        <rFont val="新細明體"/>
        <family val="1"/>
        <charset val="136"/>
      </rPr>
      <t>偽證罪</t>
    </r>
  </si>
  <si>
    <r>
      <rPr>
        <sz val="12"/>
        <rFont val="新細明體"/>
        <family val="1"/>
        <charset val="136"/>
      </rPr>
      <t>妨害農工商罪</t>
    </r>
  </si>
  <si>
    <r>
      <rPr>
        <sz val="12"/>
        <rFont val="新細明體"/>
        <family val="1"/>
        <charset val="136"/>
      </rPr>
      <t>妨害公務罪</t>
    </r>
  </si>
  <si>
    <r>
      <rPr>
        <sz val="12"/>
        <rFont val="新細明體"/>
        <family val="1"/>
        <charset val="136"/>
      </rPr>
      <t>偽造貨幣罪</t>
    </r>
  </si>
  <si>
    <r>
      <rPr>
        <sz val="12"/>
        <rFont val="新細明體"/>
        <family val="1"/>
        <charset val="136"/>
      </rPr>
      <t>恐嚇取財得利罪</t>
    </r>
  </si>
  <si>
    <r>
      <rPr>
        <sz val="12"/>
        <rFont val="新細明體"/>
        <family val="1"/>
        <charset val="136"/>
      </rPr>
      <t>脫逃罪</t>
    </r>
  </si>
  <si>
    <r>
      <rPr>
        <sz val="12"/>
        <rFont val="新細明體"/>
        <family val="1"/>
        <charset val="136"/>
      </rPr>
      <t>妨害秘密罪</t>
    </r>
  </si>
  <si>
    <r>
      <rPr>
        <sz val="12"/>
        <rFont val="新細明體"/>
        <family val="1"/>
        <charset val="136"/>
      </rPr>
      <t>重利罪</t>
    </r>
  </si>
  <si>
    <r>
      <rPr>
        <sz val="12"/>
        <rFont val="新細明體"/>
        <family val="1"/>
        <charset val="136"/>
      </rPr>
      <t>妨害秩序罪</t>
    </r>
  </si>
  <si>
    <t>其他</t>
    <phoneticPr fontId="6" type="noConversion"/>
  </si>
  <si>
    <t>說　　明：總計項目欄含男性、女性與法人。</t>
    <phoneticPr fontId="6" type="noConversion"/>
  </si>
  <si>
    <r>
      <rPr>
        <sz val="15"/>
        <rFont val="新細明體"/>
        <family val="1"/>
        <charset val="136"/>
      </rPr>
      <t>表</t>
    </r>
    <r>
      <rPr>
        <sz val="15"/>
        <rFont val="Times New Roman"/>
        <family val="1"/>
      </rPr>
      <t>4-1-5</t>
    </r>
    <r>
      <rPr>
        <sz val="15"/>
        <rFont val="新細明體"/>
        <family val="1"/>
        <charset val="136"/>
      </rPr>
      <t>　近</t>
    </r>
    <r>
      <rPr>
        <sz val="15"/>
        <rFont val="Times New Roman"/>
        <family val="1"/>
      </rPr>
      <t>10</t>
    </r>
    <r>
      <rPr>
        <sz val="15"/>
        <rFont val="新細明體"/>
        <family val="1"/>
        <charset val="136"/>
      </rPr>
      <t>年女性犯罪者之處遇</t>
    </r>
    <phoneticPr fontId="44" type="noConversion"/>
  </si>
  <si>
    <r>
      <rPr>
        <sz val="12"/>
        <rFont val="新細明體"/>
        <family val="1"/>
        <charset val="136"/>
      </rPr>
      <t>年</t>
    </r>
    <r>
      <rPr>
        <sz val="12"/>
        <rFont val="Times New Roman"/>
        <family val="1"/>
      </rPr>
      <t xml:space="preserve"> </t>
    </r>
    <r>
      <rPr>
        <sz val="12"/>
        <rFont val="新細明體"/>
        <family val="1"/>
        <charset val="136"/>
      </rPr>
      <t>別</t>
    </r>
    <phoneticPr fontId="44" type="noConversion"/>
  </si>
  <si>
    <r>
      <rPr>
        <sz val="12"/>
        <rFont val="新細明體"/>
        <family val="1"/>
        <charset val="136"/>
      </rPr>
      <t>偵查、審理階段</t>
    </r>
    <phoneticPr fontId="44" type="noConversion"/>
  </si>
  <si>
    <r>
      <rPr>
        <sz val="12"/>
        <rFont val="新細明體"/>
        <family val="1"/>
        <charset val="136"/>
      </rPr>
      <t>矯　　　　正　　　　階　　　　段</t>
    </r>
    <phoneticPr fontId="44" type="noConversion"/>
  </si>
  <si>
    <r>
      <rPr>
        <sz val="12"/>
        <color indexed="8"/>
        <rFont val="新細明體"/>
        <family val="1"/>
        <charset val="136"/>
      </rPr>
      <t>保護管束階段</t>
    </r>
    <phoneticPr fontId="44" type="noConversion"/>
  </si>
  <si>
    <r>
      <rPr>
        <sz val="12"/>
        <rFont val="新細明體"/>
        <family val="1"/>
        <charset val="136"/>
      </rPr>
      <t>偵結緩起訴處分</t>
    </r>
    <phoneticPr fontId="44" type="noConversion"/>
  </si>
  <si>
    <r>
      <rPr>
        <sz val="12"/>
        <rFont val="新細明體"/>
        <family val="1"/>
        <charset val="136"/>
      </rPr>
      <t>新入所被告</t>
    </r>
    <r>
      <rPr>
        <sz val="12"/>
        <rFont val="Times New Roman"/>
        <family val="1"/>
      </rPr>
      <t>(</t>
    </r>
    <r>
      <rPr>
        <sz val="12"/>
        <rFont val="新細明體"/>
        <family val="1"/>
        <charset val="136"/>
      </rPr>
      <t>羈押</t>
    </r>
    <r>
      <rPr>
        <sz val="12"/>
        <rFont val="Times New Roman"/>
        <family val="1"/>
      </rPr>
      <t>)</t>
    </r>
    <phoneticPr fontId="44" type="noConversion"/>
  </si>
  <si>
    <r>
      <rPr>
        <sz val="12"/>
        <rFont val="新細明體"/>
        <family val="1"/>
        <charset val="136"/>
      </rPr>
      <t>新入所受觀察勒戒人</t>
    </r>
    <phoneticPr fontId="44" type="noConversion"/>
  </si>
  <si>
    <r>
      <rPr>
        <sz val="12"/>
        <rFont val="新細明體"/>
        <family val="1"/>
        <charset val="136"/>
      </rPr>
      <t>新入所受戒治人</t>
    </r>
    <phoneticPr fontId="44" type="noConversion"/>
  </si>
  <si>
    <r>
      <rPr>
        <sz val="12"/>
        <rFont val="新細明體"/>
        <family val="1"/>
        <charset val="136"/>
      </rPr>
      <t>新入監受刑人</t>
    </r>
    <phoneticPr fontId="44" type="noConversion"/>
  </si>
  <si>
    <r>
      <rPr>
        <sz val="12"/>
        <rFont val="新細明體"/>
        <family val="1"/>
        <charset val="136"/>
      </rPr>
      <t>保護管束新收案件</t>
    </r>
    <phoneticPr fontId="44" type="noConversion"/>
  </si>
  <si>
    <r>
      <rPr>
        <sz val="12"/>
        <rFont val="新細明體"/>
        <family val="1"/>
        <charset val="136"/>
      </rPr>
      <t>人</t>
    </r>
    <r>
      <rPr>
        <sz val="12"/>
        <rFont val="Times New Roman"/>
        <family val="1"/>
      </rPr>
      <t xml:space="preserve">   </t>
    </r>
    <phoneticPr fontId="44" type="noConversion"/>
  </si>
  <si>
    <r>
      <rPr>
        <sz val="12"/>
        <rFont val="新細明體"/>
        <family val="1"/>
        <charset val="136"/>
      </rPr>
      <t>人</t>
    </r>
    <r>
      <rPr>
        <sz val="12"/>
        <rFont val="Times New Roman"/>
        <family val="1"/>
      </rPr>
      <t xml:space="preserve">  </t>
    </r>
    <phoneticPr fontId="44" type="noConversion"/>
  </si>
  <si>
    <r>
      <rPr>
        <sz val="12"/>
        <rFont val="新細明體"/>
        <family val="1"/>
        <charset val="136"/>
      </rPr>
      <t>人</t>
    </r>
    <r>
      <rPr>
        <sz val="12"/>
        <rFont val="Times New Roman"/>
        <family val="1"/>
      </rPr>
      <t xml:space="preserve">  </t>
    </r>
    <phoneticPr fontId="44" type="noConversion"/>
  </si>
  <si>
    <t>件</t>
    <phoneticPr fontId="44" type="noConversion"/>
  </si>
  <si>
    <r>
      <t>99</t>
    </r>
    <r>
      <rPr>
        <sz val="12"/>
        <rFont val="新細明體"/>
        <family val="1"/>
        <charset val="136"/>
      </rPr>
      <t>年</t>
    </r>
    <phoneticPr fontId="44" type="noConversion"/>
  </si>
  <si>
    <r>
      <rPr>
        <sz val="10"/>
        <rFont val="新細明體"/>
        <family val="1"/>
        <charset val="136"/>
      </rPr>
      <t>說　　明：</t>
    </r>
    <r>
      <rPr>
        <sz val="10"/>
        <rFont val="Times New Roman"/>
        <family val="1"/>
      </rPr>
      <t>1. %</t>
    </r>
    <r>
      <rPr>
        <sz val="10"/>
        <rFont val="新細明體"/>
        <family val="1"/>
        <charset val="136"/>
      </rPr>
      <t>為各項處遇之女性人數除以該項處遇之總人數再乘以</t>
    </r>
    <r>
      <rPr>
        <sz val="10"/>
        <rFont val="Times New Roman"/>
        <family val="1"/>
      </rPr>
      <t>100</t>
    </r>
    <r>
      <rPr>
        <sz val="10"/>
        <rFont val="新細明體"/>
        <family val="1"/>
        <charset val="136"/>
      </rPr>
      <t>。</t>
    </r>
    <phoneticPr fontId="44" type="noConversion"/>
  </si>
  <si>
    <r>
      <rPr>
        <sz val="10"/>
        <rFont val="新細明體"/>
        <family val="1"/>
        <charset val="136"/>
      </rPr>
      <t>　　　　　</t>
    </r>
    <r>
      <rPr>
        <sz val="10"/>
        <rFont val="Times New Roman"/>
        <family val="1"/>
      </rPr>
      <t xml:space="preserve">2. </t>
    </r>
    <r>
      <rPr>
        <sz val="10"/>
        <rFont val="新細明體"/>
        <family val="1"/>
        <charset val="136"/>
      </rPr>
      <t>各階段處遇之總人數，緩起訴詳如表</t>
    </r>
    <r>
      <rPr>
        <sz val="10"/>
        <rFont val="Times New Roman"/>
        <family val="1"/>
      </rPr>
      <t>2-1-7</t>
    </r>
    <r>
      <rPr>
        <sz val="10"/>
        <rFont val="新細明體"/>
        <family val="1"/>
        <charset val="136"/>
      </rPr>
      <t>、觀察勒戒詳如表</t>
    </r>
    <r>
      <rPr>
        <sz val="10"/>
        <rFont val="Times New Roman"/>
        <family val="1"/>
      </rPr>
      <t>2-4-13</t>
    </r>
    <r>
      <rPr>
        <sz val="10"/>
        <rFont val="新細明體"/>
        <family val="1"/>
        <charset val="136"/>
      </rPr>
      <t>、戒治詳如表</t>
    </r>
    <r>
      <rPr>
        <sz val="10"/>
        <rFont val="Times New Roman"/>
        <family val="1"/>
      </rPr>
      <t>2-4-14</t>
    </r>
    <r>
      <rPr>
        <sz val="10"/>
        <rFont val="新細明體"/>
        <family val="1"/>
        <charset val="136"/>
      </rPr>
      <t>、新入監詳如表</t>
    </r>
    <r>
      <rPr>
        <sz val="10"/>
        <rFont val="Times New Roman"/>
        <family val="1"/>
      </rPr>
      <t>2-4-2</t>
    </r>
    <r>
      <rPr>
        <sz val="10"/>
        <rFont val="新細明體"/>
        <family val="1"/>
        <charset val="136"/>
      </rPr>
      <t>、保護管束詳如表</t>
    </r>
    <r>
      <rPr>
        <sz val="10"/>
        <rFont val="Times New Roman"/>
        <family val="1"/>
      </rPr>
      <t>2-4-16</t>
    </r>
    <r>
      <rPr>
        <sz val="10"/>
        <rFont val="新細明體"/>
        <family val="1"/>
        <charset val="136"/>
      </rPr>
      <t>。</t>
    </r>
    <phoneticPr fontId="6" type="noConversion"/>
  </si>
  <si>
    <r>
      <rPr>
        <sz val="10"/>
        <rFont val="新細明體"/>
        <family val="1"/>
        <charset val="136"/>
      </rPr>
      <t>　　　　　</t>
    </r>
    <r>
      <rPr>
        <sz val="10"/>
        <rFont val="Times New Roman"/>
        <family val="1"/>
      </rPr>
      <t xml:space="preserve">3. </t>
    </r>
    <r>
      <rPr>
        <sz val="10"/>
        <rFont val="新細明體"/>
        <family val="1"/>
        <charset val="136"/>
      </rPr>
      <t>新入所被告之總人數，詳如法務統計網站中「看守所新入所被告人數」數據資料。</t>
    </r>
    <r>
      <rPr>
        <sz val="10"/>
        <rFont val="標楷體"/>
        <family val="4"/>
        <charset val="136"/>
      </rPr>
      <t/>
    </r>
    <phoneticPr fontId="6" type="noConversion"/>
  </si>
  <si>
    <r>
      <rPr>
        <sz val="15"/>
        <rFont val="新細明體"/>
        <family val="1"/>
        <charset val="136"/>
      </rPr>
      <t>表</t>
    </r>
    <r>
      <rPr>
        <sz val="15"/>
        <rFont val="Times New Roman"/>
        <family val="1"/>
      </rPr>
      <t xml:space="preserve">4-2-1   </t>
    </r>
    <r>
      <rPr>
        <sz val="15"/>
        <rFont val="新細明體"/>
        <family val="1"/>
        <charset val="136"/>
      </rPr>
      <t>近</t>
    </r>
    <r>
      <rPr>
        <sz val="15"/>
        <rFont val="Times New Roman"/>
        <family val="1"/>
      </rPr>
      <t>10</t>
    </r>
    <r>
      <rPr>
        <sz val="15"/>
        <rFont val="新細明體"/>
        <family val="1"/>
        <charset val="136"/>
      </rPr>
      <t>年高齡犯罪者犯罪趨勢</t>
    </r>
    <phoneticPr fontId="44" type="noConversion"/>
  </si>
  <si>
    <r>
      <rPr>
        <sz val="12"/>
        <rFont val="新細明體"/>
        <family val="1"/>
        <charset val="136"/>
      </rPr>
      <t>年別</t>
    </r>
  </si>
  <si>
    <r>
      <rPr>
        <sz val="12"/>
        <rFont val="新細明體"/>
        <family val="1"/>
        <charset val="136"/>
      </rPr>
      <t>高齡人口數</t>
    </r>
  </si>
  <si>
    <r>
      <rPr>
        <sz val="12"/>
        <rFont val="新細明體"/>
        <family val="1"/>
        <charset val="136"/>
      </rPr>
      <t>警察機關查獲犯罪嫌疑人數</t>
    </r>
    <phoneticPr fontId="6" type="noConversion"/>
  </si>
  <si>
    <r>
      <rPr>
        <sz val="12"/>
        <rFont val="新細明體"/>
        <family val="1"/>
        <charset val="136"/>
      </rPr>
      <t>地方檢察署執行裁判確定有罪</t>
    </r>
    <phoneticPr fontId="6" type="noConversion"/>
  </si>
  <si>
    <r>
      <rPr>
        <sz val="12"/>
        <rFont val="新細明體"/>
        <family val="1"/>
        <charset val="136"/>
      </rPr>
      <t>普通刑法</t>
    </r>
  </si>
  <si>
    <r>
      <rPr>
        <sz val="12"/>
        <rFont val="新細明體"/>
        <family val="1"/>
        <charset val="136"/>
      </rPr>
      <t>特別刑法</t>
    </r>
  </si>
  <si>
    <r>
      <rPr>
        <sz val="12"/>
        <rFont val="新細明體"/>
        <family val="1"/>
        <charset val="136"/>
      </rPr>
      <t>人</t>
    </r>
    <phoneticPr fontId="6" type="noConversion"/>
  </si>
  <si>
    <r>
      <rPr>
        <sz val="12"/>
        <rFont val="新細明體"/>
        <family val="1"/>
        <charset val="136"/>
      </rPr>
      <t>犯罪人口率</t>
    </r>
  </si>
  <si>
    <r>
      <rPr>
        <sz val="12"/>
        <rFont val="新細明體"/>
        <family val="1"/>
        <charset val="136"/>
      </rPr>
      <t>總計</t>
    </r>
    <phoneticPr fontId="6" type="noConversion"/>
  </si>
  <si>
    <r>
      <rPr>
        <sz val="12"/>
        <rFont val="新細明體"/>
        <family val="1"/>
        <charset val="136"/>
      </rPr>
      <t>高齡人數</t>
    </r>
    <phoneticPr fontId="6" type="noConversion"/>
  </si>
  <si>
    <r>
      <rPr>
        <sz val="12"/>
        <rFont val="新細明體"/>
        <family val="1"/>
        <charset val="136"/>
      </rPr>
      <t>總計</t>
    </r>
    <phoneticPr fontId="6" type="noConversion"/>
  </si>
  <si>
    <r>
      <rPr>
        <sz val="12"/>
        <rFont val="新細明體"/>
        <family val="1"/>
        <charset val="136"/>
      </rPr>
      <t>高齡人數</t>
    </r>
    <phoneticPr fontId="6" type="noConversion"/>
  </si>
  <si>
    <r>
      <rPr>
        <sz val="10"/>
        <rFont val="新細明體"/>
        <family val="1"/>
        <charset val="136"/>
      </rPr>
      <t>資料來源</t>
    </r>
    <r>
      <rPr>
        <sz val="10"/>
        <rFont val="Times New Roman"/>
        <family val="1"/>
      </rPr>
      <t>:</t>
    </r>
    <r>
      <rPr>
        <sz val="10"/>
        <rFont val="新細明體"/>
        <family val="1"/>
        <charset val="136"/>
      </rPr>
      <t>內政部警政署刑事警察局、法務部統計處</t>
    </r>
    <phoneticPr fontId="6" type="noConversion"/>
  </si>
  <si>
    <r>
      <rPr>
        <sz val="10"/>
        <rFont val="新細明體"/>
        <family val="1"/>
        <charset val="136"/>
      </rPr>
      <t>說　　明：</t>
    </r>
    <r>
      <rPr>
        <sz val="10"/>
        <rFont val="Times New Roman"/>
        <family val="1"/>
      </rPr>
      <t xml:space="preserve">1. </t>
    </r>
    <r>
      <rPr>
        <sz val="10"/>
        <rFont val="新細明體"/>
        <family val="1"/>
        <charset val="136"/>
      </rPr>
      <t>本表高齡犯罪者指</t>
    </r>
    <r>
      <rPr>
        <sz val="10"/>
        <rFont val="Times New Roman"/>
        <family val="1"/>
      </rPr>
      <t>60</t>
    </r>
    <r>
      <rPr>
        <sz val="10"/>
        <rFont val="新細明體"/>
        <family val="1"/>
        <charset val="136"/>
      </rPr>
      <t>歲以上之犯罪人。</t>
    </r>
    <phoneticPr fontId="6" type="noConversion"/>
  </si>
  <si>
    <r>
      <rPr>
        <sz val="10"/>
        <color indexed="9"/>
        <rFont val="新細明體"/>
        <family val="1"/>
        <charset val="136"/>
      </rPr>
      <t>說　　明：</t>
    </r>
    <r>
      <rPr>
        <sz val="10"/>
        <rFont val="Times New Roman"/>
        <family val="1"/>
      </rPr>
      <t>2. %</t>
    </r>
    <r>
      <rPr>
        <sz val="10"/>
        <rFont val="新細明體"/>
        <family val="1"/>
        <charset val="136"/>
      </rPr>
      <t>為高齡犯罪者人數除以該項之自然人總人數再乘以</t>
    </r>
    <r>
      <rPr>
        <sz val="10"/>
        <rFont val="Times New Roman"/>
        <family val="1"/>
      </rPr>
      <t>100</t>
    </r>
    <r>
      <rPr>
        <sz val="10"/>
        <rFont val="新細明體"/>
        <family val="1"/>
        <charset val="136"/>
      </rPr>
      <t>。</t>
    </r>
    <phoneticPr fontId="44" type="noConversion"/>
  </si>
  <si>
    <r>
      <rPr>
        <sz val="10"/>
        <color indexed="9"/>
        <rFont val="新細明體"/>
        <family val="1"/>
        <charset val="136"/>
      </rPr>
      <t>說　　明：</t>
    </r>
    <r>
      <rPr>
        <sz val="10"/>
        <rFont val="Times New Roman"/>
        <family val="1"/>
      </rPr>
      <t xml:space="preserve">3. </t>
    </r>
    <r>
      <rPr>
        <sz val="10"/>
        <rFont val="新細明體"/>
        <family val="1"/>
        <charset val="136"/>
      </rPr>
      <t>高齡犯罪嫌疑</t>
    </r>
    <r>
      <rPr>
        <sz val="10"/>
        <rFont val="Times New Roman"/>
        <family val="1"/>
      </rPr>
      <t>%</t>
    </r>
    <r>
      <rPr>
        <sz val="10"/>
        <rFont val="新細明體"/>
        <family val="1"/>
        <charset val="136"/>
      </rPr>
      <t>，係高齡犯罪嫌疑人數占全年全般刑案犯罪嫌疑總人數比率。總人數資料詳如表</t>
    </r>
    <r>
      <rPr>
        <sz val="10"/>
        <rFont val="Times New Roman"/>
        <family val="1"/>
      </rPr>
      <t>1-1-2</t>
    </r>
    <r>
      <rPr>
        <sz val="10"/>
        <rFont val="新細明體"/>
        <family val="1"/>
        <charset val="136"/>
      </rPr>
      <t>。</t>
    </r>
    <phoneticPr fontId="6" type="noConversion"/>
  </si>
  <si>
    <r>
      <rPr>
        <sz val="10"/>
        <color indexed="9"/>
        <rFont val="新細明體"/>
        <family val="1"/>
        <charset val="136"/>
      </rPr>
      <t>說　　明：</t>
    </r>
    <r>
      <rPr>
        <sz val="10"/>
        <rFont val="Times New Roman"/>
        <family val="1"/>
      </rPr>
      <t xml:space="preserve">4. </t>
    </r>
    <r>
      <rPr>
        <sz val="10"/>
        <rFont val="新細明體"/>
        <family val="1"/>
        <charset val="136"/>
      </rPr>
      <t>執行裁判確定有罪之總計列不含法人。</t>
    </r>
    <r>
      <rPr>
        <sz val="10"/>
        <rFont val="標楷體"/>
        <family val="4"/>
        <charset val="136"/>
      </rPr>
      <t/>
    </r>
    <phoneticPr fontId="6" type="noConversion"/>
  </si>
  <si>
    <r>
      <rPr>
        <sz val="15"/>
        <rFont val="新細明體"/>
        <family val="1"/>
        <charset val="136"/>
      </rPr>
      <t>表</t>
    </r>
    <r>
      <rPr>
        <sz val="15"/>
        <rFont val="Times New Roman"/>
        <family val="1"/>
      </rPr>
      <t xml:space="preserve">4-2-2    </t>
    </r>
    <r>
      <rPr>
        <sz val="15"/>
        <rFont val="新細明體"/>
        <family val="1"/>
        <charset val="136"/>
      </rPr>
      <t>近</t>
    </r>
    <r>
      <rPr>
        <sz val="15"/>
        <rFont val="Times New Roman"/>
        <family val="1"/>
      </rPr>
      <t>3</t>
    </r>
    <r>
      <rPr>
        <sz val="15"/>
        <rFont val="新細明體"/>
        <family val="1"/>
        <charset val="136"/>
      </rPr>
      <t>年地方檢察署執行普通刑法裁判確定有罪之高齡犯罪者罪名</t>
    </r>
    <phoneticPr fontId="44" type="noConversion"/>
  </si>
  <si>
    <r>
      <rPr>
        <sz val="12"/>
        <rFont val="新細明體"/>
        <family val="1"/>
        <charset val="136"/>
      </rPr>
      <t>罪</t>
    </r>
    <r>
      <rPr>
        <sz val="12"/>
        <rFont val="Times New Roman"/>
        <family val="1"/>
      </rPr>
      <t xml:space="preserve">        </t>
    </r>
    <r>
      <rPr>
        <sz val="12"/>
        <rFont val="新細明體"/>
        <family val="1"/>
        <charset val="136"/>
      </rPr>
      <t>名</t>
    </r>
    <r>
      <rPr>
        <sz val="12"/>
        <rFont val="Times New Roman"/>
        <family val="1"/>
      </rPr>
      <t xml:space="preserve">        </t>
    </r>
    <r>
      <rPr>
        <sz val="12"/>
        <rFont val="新細明體"/>
        <family val="1"/>
        <charset val="136"/>
      </rPr>
      <t>別</t>
    </r>
    <phoneticPr fontId="44" type="noConversion"/>
  </si>
  <si>
    <r>
      <t>107</t>
    </r>
    <r>
      <rPr>
        <sz val="12"/>
        <rFont val="新細明體"/>
        <family val="1"/>
        <charset val="136"/>
      </rPr>
      <t>年</t>
    </r>
    <phoneticPr fontId="44" type="noConversion"/>
  </si>
  <si>
    <r>
      <t>108</t>
    </r>
    <r>
      <rPr>
        <sz val="12"/>
        <rFont val="新細明體"/>
        <family val="1"/>
        <charset val="136"/>
      </rPr>
      <t>年</t>
    </r>
    <phoneticPr fontId="44" type="noConversion"/>
  </si>
  <si>
    <r>
      <rPr>
        <sz val="12"/>
        <rFont val="新細明體"/>
        <family val="1"/>
        <charset val="136"/>
      </rPr>
      <t>人</t>
    </r>
    <phoneticPr fontId="44" type="noConversion"/>
  </si>
  <si>
    <r>
      <rPr>
        <sz val="12"/>
        <rFont val="新細明體"/>
        <family val="1"/>
        <charset val="136"/>
      </rPr>
      <t>人</t>
    </r>
    <phoneticPr fontId="44" type="noConversion"/>
  </si>
  <si>
    <r>
      <rPr>
        <sz val="12"/>
        <rFont val="新細明體"/>
        <family val="1"/>
        <charset val="136"/>
      </rPr>
      <t>公</t>
    </r>
    <r>
      <rPr>
        <sz val="12"/>
        <rFont val="Times New Roman"/>
        <family val="1"/>
      </rPr>
      <t xml:space="preserve"> </t>
    </r>
    <r>
      <rPr>
        <sz val="12"/>
        <rFont val="新細明體"/>
        <family val="1"/>
        <charset val="136"/>
      </rPr>
      <t>共</t>
    </r>
    <r>
      <rPr>
        <sz val="12"/>
        <rFont val="Times New Roman"/>
        <family val="1"/>
      </rPr>
      <t xml:space="preserve"> </t>
    </r>
    <r>
      <rPr>
        <sz val="12"/>
        <rFont val="新細明體"/>
        <family val="1"/>
        <charset val="136"/>
      </rPr>
      <t>危</t>
    </r>
    <r>
      <rPr>
        <sz val="12"/>
        <rFont val="Times New Roman"/>
        <family val="1"/>
      </rPr>
      <t xml:space="preserve"> </t>
    </r>
    <r>
      <rPr>
        <sz val="12"/>
        <rFont val="新細明體"/>
        <family val="1"/>
        <charset val="136"/>
      </rPr>
      <t>險罪</t>
    </r>
    <phoneticPr fontId="44" type="noConversion"/>
  </si>
  <si>
    <r>
      <rPr>
        <sz val="12"/>
        <rFont val="新細明體"/>
        <family val="1"/>
        <charset val="136"/>
      </rPr>
      <t>竊盜罪</t>
    </r>
    <phoneticPr fontId="44" type="noConversion"/>
  </si>
  <si>
    <r>
      <rPr>
        <sz val="12"/>
        <rFont val="新細明體"/>
        <family val="1"/>
        <charset val="136"/>
      </rPr>
      <t>傷害罪</t>
    </r>
    <phoneticPr fontId="44" type="noConversion"/>
  </si>
  <si>
    <r>
      <rPr>
        <sz val="12"/>
        <rFont val="新細明體"/>
        <family val="1"/>
        <charset val="136"/>
      </rPr>
      <t>賭博罪</t>
    </r>
    <phoneticPr fontId="44" type="noConversion"/>
  </si>
  <si>
    <r>
      <rPr>
        <sz val="12"/>
        <rFont val="新細明體"/>
        <family val="1"/>
        <charset val="136"/>
      </rPr>
      <t>妨害名譽及信用罪</t>
    </r>
    <phoneticPr fontId="44" type="noConversion"/>
  </si>
  <si>
    <r>
      <rPr>
        <sz val="12"/>
        <rFont val="新細明體"/>
        <family val="1"/>
        <charset val="136"/>
      </rPr>
      <t>詐欺罪</t>
    </r>
    <phoneticPr fontId="44" type="noConversion"/>
  </si>
  <si>
    <r>
      <rPr>
        <sz val="12"/>
        <rFont val="新細明體"/>
        <family val="1"/>
        <charset val="136"/>
      </rPr>
      <t>妨害自由罪</t>
    </r>
    <phoneticPr fontId="44" type="noConversion"/>
  </si>
  <si>
    <r>
      <rPr>
        <sz val="12"/>
        <rFont val="新細明體"/>
        <family val="1"/>
        <charset val="136"/>
      </rPr>
      <t>侵占罪</t>
    </r>
    <phoneticPr fontId="44" type="noConversion"/>
  </si>
  <si>
    <r>
      <rPr>
        <sz val="12"/>
        <rFont val="新細明體"/>
        <family val="1"/>
        <charset val="136"/>
      </rPr>
      <t>殺人罪</t>
    </r>
    <r>
      <rPr>
        <sz val="12"/>
        <rFont val="Times New Roman"/>
        <family val="1"/>
      </rPr>
      <t xml:space="preserve"> </t>
    </r>
    <phoneticPr fontId="44" type="noConversion"/>
  </si>
  <si>
    <r>
      <rPr>
        <sz val="12"/>
        <rFont val="新細明體"/>
        <family val="1"/>
        <charset val="136"/>
      </rPr>
      <t>毀棄損壞罪</t>
    </r>
    <phoneticPr fontId="44" type="noConversion"/>
  </si>
  <si>
    <r>
      <rPr>
        <sz val="12"/>
        <rFont val="新細明體"/>
        <family val="1"/>
        <charset val="136"/>
      </rPr>
      <t>妨害投票罪</t>
    </r>
    <phoneticPr fontId="44" type="noConversion"/>
  </si>
  <si>
    <r>
      <rPr>
        <sz val="12"/>
        <rFont val="新細明體"/>
        <family val="1"/>
        <charset val="136"/>
      </rPr>
      <t>妨害風化罪</t>
    </r>
    <phoneticPr fontId="44" type="noConversion"/>
  </si>
  <si>
    <r>
      <rPr>
        <sz val="12"/>
        <rFont val="新細明體"/>
        <family val="1"/>
        <charset val="136"/>
      </rPr>
      <t>偽造有價證券罪</t>
    </r>
    <phoneticPr fontId="44" type="noConversion"/>
  </si>
  <si>
    <r>
      <rPr>
        <sz val="12"/>
        <rFont val="新細明體"/>
        <family val="1"/>
        <charset val="136"/>
      </rPr>
      <t>背信及重利罪</t>
    </r>
    <phoneticPr fontId="44" type="noConversion"/>
  </si>
  <si>
    <r>
      <rPr>
        <sz val="10"/>
        <rFont val="新細明體"/>
        <family val="1"/>
        <charset val="136"/>
      </rPr>
      <t>說　　明：本表高齡犯罪者指</t>
    </r>
    <r>
      <rPr>
        <sz val="10"/>
        <rFont val="Times New Roman"/>
        <family val="1"/>
      </rPr>
      <t>60</t>
    </r>
    <r>
      <rPr>
        <sz val="10"/>
        <rFont val="新細明體"/>
        <family val="1"/>
        <charset val="136"/>
      </rPr>
      <t>歲以上之犯罪人。</t>
    </r>
    <phoneticPr fontId="44" type="noConversion"/>
  </si>
  <si>
    <r>
      <rPr>
        <sz val="15"/>
        <rFont val="新細明體"/>
        <family val="1"/>
        <charset val="136"/>
      </rPr>
      <t>表</t>
    </r>
    <r>
      <rPr>
        <sz val="15"/>
        <rFont val="Times New Roman"/>
        <family val="1"/>
      </rPr>
      <t>4-2-3</t>
    </r>
    <r>
      <rPr>
        <sz val="15"/>
        <rFont val="新細明體"/>
        <family val="1"/>
        <charset val="136"/>
      </rPr>
      <t>　近</t>
    </r>
    <r>
      <rPr>
        <sz val="15"/>
        <rFont val="Times New Roman"/>
        <family val="1"/>
      </rPr>
      <t>3</t>
    </r>
    <r>
      <rPr>
        <sz val="15"/>
        <rFont val="新細明體"/>
        <family val="1"/>
        <charset val="136"/>
      </rPr>
      <t>年地方檢察署執行特別刑法裁判確定有罪之高齡犯罪者罪名</t>
    </r>
    <phoneticPr fontId="44" type="noConversion"/>
  </si>
  <si>
    <r>
      <t>107</t>
    </r>
    <r>
      <rPr>
        <sz val="12"/>
        <rFont val="新細明體"/>
        <family val="1"/>
        <charset val="136"/>
      </rPr>
      <t>年</t>
    </r>
    <phoneticPr fontId="44" type="noConversion"/>
  </si>
  <si>
    <r>
      <rPr>
        <sz val="12"/>
        <rFont val="新細明體"/>
        <family val="1"/>
        <charset val="136"/>
      </rPr>
      <t>人</t>
    </r>
    <phoneticPr fontId="44" type="noConversion"/>
  </si>
  <si>
    <r>
      <rPr>
        <sz val="12"/>
        <rFont val="新細明體"/>
        <family val="1"/>
        <charset val="136"/>
      </rPr>
      <t>總</t>
    </r>
    <r>
      <rPr>
        <sz val="12"/>
        <rFont val="Times New Roman"/>
        <family val="1"/>
      </rPr>
      <t xml:space="preserve">             </t>
    </r>
    <r>
      <rPr>
        <sz val="12"/>
        <rFont val="新細明體"/>
        <family val="1"/>
        <charset val="136"/>
      </rPr>
      <t>計</t>
    </r>
  </si>
  <si>
    <r>
      <rPr>
        <sz val="12"/>
        <rFont val="新細明體"/>
        <family val="1"/>
        <charset val="136"/>
      </rPr>
      <t>毒品危害防制條例</t>
    </r>
    <phoneticPr fontId="44" type="noConversion"/>
  </si>
  <si>
    <r>
      <rPr>
        <sz val="12"/>
        <rFont val="新細明體"/>
        <family val="1"/>
        <charset val="136"/>
      </rPr>
      <t>公職人員選舉罷免法</t>
    </r>
    <phoneticPr fontId="44" type="noConversion"/>
  </si>
  <si>
    <r>
      <rPr>
        <sz val="12"/>
        <rFont val="新細明體"/>
        <family val="1"/>
        <charset val="136"/>
      </rPr>
      <t>家庭暴力防治法</t>
    </r>
    <phoneticPr fontId="44" type="noConversion"/>
  </si>
  <si>
    <r>
      <rPr>
        <sz val="12"/>
        <rFont val="新細明體"/>
        <family val="1"/>
        <charset val="136"/>
      </rPr>
      <t>水土保持法</t>
    </r>
    <phoneticPr fontId="44" type="noConversion"/>
  </si>
  <si>
    <r>
      <rPr>
        <sz val="12"/>
        <rFont val="新細明體"/>
        <family val="1"/>
        <charset val="136"/>
      </rPr>
      <t>藥事法</t>
    </r>
    <phoneticPr fontId="44" type="noConversion"/>
  </si>
  <si>
    <r>
      <rPr>
        <sz val="12"/>
        <rFont val="新細明體"/>
        <family val="1"/>
        <charset val="136"/>
      </rPr>
      <t>公司法</t>
    </r>
    <phoneticPr fontId="44" type="noConversion"/>
  </si>
  <si>
    <r>
      <rPr>
        <sz val="12"/>
        <rFont val="新細明體"/>
        <family val="1"/>
        <charset val="136"/>
      </rPr>
      <t>貪污治罪條例</t>
    </r>
    <phoneticPr fontId="44" type="noConversion"/>
  </si>
  <si>
    <r>
      <rPr>
        <sz val="12"/>
        <rFont val="新細明體"/>
        <family val="1"/>
        <charset val="136"/>
      </rPr>
      <t>廢棄物清理法</t>
    </r>
    <phoneticPr fontId="44" type="noConversion"/>
  </si>
  <si>
    <r>
      <rPr>
        <sz val="12"/>
        <rFont val="新細明體"/>
        <family val="1"/>
        <charset val="136"/>
      </rPr>
      <t>建築法</t>
    </r>
    <phoneticPr fontId="44" type="noConversion"/>
  </si>
  <si>
    <r>
      <rPr>
        <sz val="12"/>
        <rFont val="新細明體"/>
        <family val="1"/>
        <charset val="136"/>
      </rPr>
      <t>臺灣地區與大陸地區人民關係條例</t>
    </r>
    <phoneticPr fontId="44" type="noConversion"/>
  </si>
  <si>
    <r>
      <rPr>
        <sz val="12"/>
        <rFont val="新細明體"/>
        <family val="1"/>
        <charset val="136"/>
      </rPr>
      <t>證券交易法</t>
    </r>
    <phoneticPr fontId="44" type="noConversion"/>
  </si>
  <si>
    <r>
      <rPr>
        <sz val="12"/>
        <rFont val="新細明體"/>
        <family val="1"/>
        <charset val="136"/>
      </rPr>
      <t>稅捐稽徵法</t>
    </r>
    <phoneticPr fontId="44" type="noConversion"/>
  </si>
  <si>
    <r>
      <rPr>
        <sz val="12"/>
        <rFont val="新細明體"/>
        <family val="1"/>
        <charset val="136"/>
      </rPr>
      <t>商標法</t>
    </r>
    <phoneticPr fontId="44" type="noConversion"/>
  </si>
  <si>
    <r>
      <rPr>
        <sz val="12"/>
        <rFont val="新細明體"/>
        <family val="1"/>
        <charset val="136"/>
      </rPr>
      <t>野生動物保育法</t>
    </r>
    <phoneticPr fontId="44" type="noConversion"/>
  </si>
  <si>
    <r>
      <rPr>
        <sz val="10"/>
        <rFont val="新細明體"/>
        <family val="1"/>
        <charset val="136"/>
      </rPr>
      <t>資料來源：法務部統計處</t>
    </r>
    <phoneticPr fontId="44" type="noConversion"/>
  </si>
  <si>
    <r>
      <rPr>
        <sz val="10"/>
        <rFont val="新細明體"/>
        <family val="1"/>
        <charset val="136"/>
      </rPr>
      <t>說　　明：本表高齡犯罪者指</t>
    </r>
    <r>
      <rPr>
        <sz val="10"/>
        <rFont val="Times New Roman"/>
        <family val="1"/>
      </rPr>
      <t>60</t>
    </r>
    <r>
      <rPr>
        <sz val="10"/>
        <rFont val="新細明體"/>
        <family val="1"/>
        <charset val="136"/>
      </rPr>
      <t>歲以上之犯罪人。</t>
    </r>
    <phoneticPr fontId="44" type="noConversion"/>
  </si>
  <si>
    <r>
      <rPr>
        <sz val="15"/>
        <rFont val="新細明體"/>
        <family val="1"/>
        <charset val="136"/>
      </rPr>
      <t>表</t>
    </r>
    <r>
      <rPr>
        <sz val="15"/>
        <rFont val="Times New Roman"/>
        <family val="1"/>
      </rPr>
      <t>4-2-4</t>
    </r>
    <r>
      <rPr>
        <sz val="15"/>
        <rFont val="新細明體"/>
        <family val="1"/>
        <charset val="136"/>
      </rPr>
      <t>　近</t>
    </r>
    <r>
      <rPr>
        <sz val="15"/>
        <rFont val="Times New Roman"/>
        <family val="1"/>
      </rPr>
      <t>10</t>
    </r>
    <r>
      <rPr>
        <sz val="15"/>
        <rFont val="新細明體"/>
        <family val="1"/>
        <charset val="136"/>
      </rPr>
      <t>年高齡犯罪者之處遇</t>
    </r>
    <phoneticPr fontId="44" type="noConversion"/>
  </si>
  <si>
    <r>
      <rPr>
        <sz val="12"/>
        <rFont val="新細明體"/>
        <family val="1"/>
        <charset val="136"/>
      </rPr>
      <t>矯　　　　正　　　　階　　　　段</t>
    </r>
    <phoneticPr fontId="44" type="noConversion"/>
  </si>
  <si>
    <r>
      <rPr>
        <sz val="12"/>
        <rFont val="新細明體"/>
        <family val="1"/>
        <charset val="136"/>
      </rPr>
      <t>偵結緩起訴處分</t>
    </r>
    <phoneticPr fontId="44" type="noConversion"/>
  </si>
  <si>
    <r>
      <rPr>
        <sz val="12"/>
        <rFont val="新細明體"/>
        <family val="1"/>
        <charset val="136"/>
      </rPr>
      <t>新入所受觀察勒戒人</t>
    </r>
    <phoneticPr fontId="44" type="noConversion"/>
  </si>
  <si>
    <r>
      <rPr>
        <sz val="12"/>
        <rFont val="新細明體"/>
        <family val="1"/>
        <charset val="136"/>
      </rPr>
      <t>人</t>
    </r>
    <r>
      <rPr>
        <sz val="12"/>
        <rFont val="Times New Roman"/>
        <family val="1"/>
      </rPr>
      <t xml:space="preserve">   </t>
    </r>
    <phoneticPr fontId="44" type="noConversion"/>
  </si>
  <si>
    <t>%</t>
    <phoneticPr fontId="44" type="noConversion"/>
  </si>
  <si>
    <r>
      <rPr>
        <sz val="12"/>
        <rFont val="新細明體"/>
        <family val="1"/>
        <charset val="136"/>
      </rPr>
      <t>人</t>
    </r>
    <r>
      <rPr>
        <sz val="12"/>
        <rFont val="Times New Roman"/>
        <family val="1"/>
      </rPr>
      <t xml:space="preserve">  </t>
    </r>
    <phoneticPr fontId="44" type="noConversion"/>
  </si>
  <si>
    <r>
      <rPr>
        <sz val="12"/>
        <rFont val="新細明體"/>
        <family val="1"/>
        <charset val="136"/>
      </rPr>
      <t>人</t>
    </r>
    <r>
      <rPr>
        <sz val="12"/>
        <rFont val="Times New Roman"/>
        <family val="1"/>
      </rPr>
      <t xml:space="preserve">  </t>
    </r>
    <phoneticPr fontId="44" type="noConversion"/>
  </si>
  <si>
    <r>
      <rPr>
        <sz val="12"/>
        <rFont val="新細明體"/>
        <family val="1"/>
        <charset val="136"/>
      </rPr>
      <t>人</t>
    </r>
    <r>
      <rPr>
        <sz val="12"/>
        <rFont val="Times New Roman"/>
        <family val="1"/>
      </rPr>
      <t xml:space="preserve">  </t>
    </r>
    <phoneticPr fontId="44" type="noConversion"/>
  </si>
  <si>
    <r>
      <rPr>
        <sz val="12"/>
        <rFont val="新細明體"/>
        <family val="1"/>
        <charset val="136"/>
      </rPr>
      <t>人</t>
    </r>
    <r>
      <rPr>
        <sz val="12"/>
        <rFont val="Times New Roman"/>
        <family val="1"/>
      </rPr>
      <t xml:space="preserve">  </t>
    </r>
    <phoneticPr fontId="44" type="noConversion"/>
  </si>
  <si>
    <t>件</t>
    <phoneticPr fontId="44" type="noConversion"/>
  </si>
  <si>
    <r>
      <rPr>
        <sz val="10"/>
        <rFont val="新細明體"/>
        <family val="1"/>
        <charset val="136"/>
      </rPr>
      <t>說　　明：</t>
    </r>
    <r>
      <rPr>
        <sz val="10"/>
        <rFont val="Times New Roman"/>
        <family val="1"/>
      </rPr>
      <t xml:space="preserve">1. </t>
    </r>
    <r>
      <rPr>
        <sz val="10"/>
        <rFont val="新細明體"/>
        <family val="1"/>
        <charset val="136"/>
      </rPr>
      <t>高齡犯罪者指</t>
    </r>
    <r>
      <rPr>
        <sz val="10"/>
        <rFont val="Times New Roman"/>
        <family val="1"/>
      </rPr>
      <t>60</t>
    </r>
    <r>
      <rPr>
        <sz val="10"/>
        <rFont val="新細明體"/>
        <family val="1"/>
        <charset val="136"/>
      </rPr>
      <t>歲以上之犯罪人。</t>
    </r>
    <phoneticPr fontId="6" type="noConversion"/>
  </si>
  <si>
    <r>
      <rPr>
        <sz val="10"/>
        <rFont val="新細明體"/>
        <family val="1"/>
        <charset val="136"/>
      </rPr>
      <t>　　　　　</t>
    </r>
    <r>
      <rPr>
        <sz val="10"/>
        <rFont val="Times New Roman"/>
        <family val="1"/>
      </rPr>
      <t>2. %</t>
    </r>
    <r>
      <rPr>
        <sz val="10"/>
        <rFont val="新細明體"/>
        <family val="1"/>
        <charset val="136"/>
      </rPr>
      <t>為各項處遇之高齡犯罪者人數除以該項處遇之總人數</t>
    </r>
    <r>
      <rPr>
        <sz val="10"/>
        <rFont val="Times New Roman"/>
        <family val="1"/>
      </rPr>
      <t>(</t>
    </r>
    <r>
      <rPr>
        <sz val="10"/>
        <rFont val="新細明體"/>
        <family val="1"/>
        <charset val="136"/>
      </rPr>
      <t>緩起訴人數不含法人</t>
    </r>
    <r>
      <rPr>
        <sz val="10"/>
        <rFont val="Times New Roman"/>
        <family val="1"/>
      </rPr>
      <t>)</t>
    </r>
    <r>
      <rPr>
        <sz val="10"/>
        <rFont val="新細明體"/>
        <family val="1"/>
        <charset val="136"/>
      </rPr>
      <t>再乘以</t>
    </r>
    <r>
      <rPr>
        <sz val="10"/>
        <rFont val="Times New Roman"/>
        <family val="1"/>
      </rPr>
      <t>100</t>
    </r>
    <r>
      <rPr>
        <sz val="10"/>
        <rFont val="新細明體"/>
        <family val="1"/>
        <charset val="136"/>
      </rPr>
      <t>。</t>
    </r>
    <phoneticPr fontId="44" type="noConversion"/>
  </si>
  <si>
    <r>
      <rPr>
        <sz val="10"/>
        <rFont val="新細明體"/>
        <family val="1"/>
        <charset val="136"/>
      </rPr>
      <t>　　　　　</t>
    </r>
    <r>
      <rPr>
        <sz val="10"/>
        <rFont val="Times New Roman"/>
        <family val="1"/>
      </rPr>
      <t xml:space="preserve">3. </t>
    </r>
    <r>
      <rPr>
        <sz val="10"/>
        <rFont val="新細明體"/>
        <family val="1"/>
        <charset val="136"/>
      </rPr>
      <t>各階段處遇之總人數，緩起訴詳如表</t>
    </r>
    <r>
      <rPr>
        <sz val="10"/>
        <rFont val="Times New Roman"/>
        <family val="1"/>
      </rPr>
      <t>2-1-7</t>
    </r>
    <r>
      <rPr>
        <sz val="10"/>
        <rFont val="新細明體"/>
        <family val="1"/>
        <charset val="136"/>
      </rPr>
      <t>、觀察勒戒詳如表</t>
    </r>
    <r>
      <rPr>
        <sz val="10"/>
        <rFont val="Times New Roman"/>
        <family val="1"/>
      </rPr>
      <t>2-4-13</t>
    </r>
    <r>
      <rPr>
        <sz val="10"/>
        <rFont val="新細明體"/>
        <family val="1"/>
        <charset val="136"/>
      </rPr>
      <t>、戒治詳如表</t>
    </r>
    <r>
      <rPr>
        <sz val="10"/>
        <rFont val="Times New Roman"/>
        <family val="1"/>
      </rPr>
      <t>2-4-14</t>
    </r>
    <r>
      <rPr>
        <sz val="10"/>
        <rFont val="新細明體"/>
        <family val="1"/>
        <charset val="136"/>
      </rPr>
      <t>、新入監詳如表</t>
    </r>
    <r>
      <rPr>
        <sz val="10"/>
        <rFont val="Times New Roman"/>
        <family val="1"/>
      </rPr>
      <t>2-4-2</t>
    </r>
    <r>
      <rPr>
        <sz val="10"/>
        <rFont val="新細明體"/>
        <family val="1"/>
        <charset val="136"/>
      </rPr>
      <t>、保護管束詳如表</t>
    </r>
    <r>
      <rPr>
        <sz val="10"/>
        <rFont val="Times New Roman"/>
        <family val="1"/>
      </rPr>
      <t>2-4-16</t>
    </r>
    <r>
      <rPr>
        <sz val="10"/>
        <rFont val="新細明體"/>
        <family val="1"/>
        <charset val="136"/>
      </rPr>
      <t>。</t>
    </r>
    <phoneticPr fontId="6" type="noConversion"/>
  </si>
  <si>
    <r>
      <rPr>
        <sz val="10"/>
        <rFont val="新細明體"/>
        <family val="1"/>
        <charset val="136"/>
      </rPr>
      <t>　　　　　</t>
    </r>
    <r>
      <rPr>
        <sz val="10"/>
        <rFont val="Times New Roman"/>
        <family val="1"/>
      </rPr>
      <t xml:space="preserve">4. </t>
    </r>
    <r>
      <rPr>
        <sz val="10"/>
        <rFont val="新細明體"/>
        <family val="1"/>
        <charset val="136"/>
      </rPr>
      <t>新入所被告之總人數，詳如法務統計網站中「看守所新入所被告人數」數據資料。</t>
    </r>
    <r>
      <rPr>
        <sz val="10"/>
        <rFont val="標楷體"/>
        <family val="4"/>
        <charset val="136"/>
      </rPr>
      <t/>
    </r>
    <phoneticPr fontId="6" type="noConversion"/>
  </si>
  <si>
    <r>
      <rPr>
        <sz val="15"/>
        <rFont val="新細明體"/>
        <family val="1"/>
        <charset val="136"/>
      </rPr>
      <t>表</t>
    </r>
    <r>
      <rPr>
        <sz val="15"/>
        <rFont val="Times New Roman"/>
        <family val="1"/>
      </rPr>
      <t>4-3-1</t>
    </r>
    <r>
      <rPr>
        <sz val="15"/>
        <rFont val="新細明體"/>
        <family val="1"/>
        <charset val="136"/>
      </rPr>
      <t>　近</t>
    </r>
    <r>
      <rPr>
        <sz val="15"/>
        <rFont val="Times New Roman"/>
        <family val="1"/>
      </rPr>
      <t>10</t>
    </r>
    <r>
      <rPr>
        <sz val="15"/>
        <rFont val="新細明體"/>
        <family val="1"/>
        <charset val="136"/>
      </rPr>
      <t>年毒品犯罪者犯罪趨勢</t>
    </r>
    <phoneticPr fontId="44" type="noConversion"/>
  </si>
  <si>
    <r>
      <rPr>
        <sz val="12"/>
        <rFont val="新細明體"/>
        <family val="1"/>
        <charset val="136"/>
      </rPr>
      <t>警察機關查獲犯罪嫌疑人</t>
    </r>
    <phoneticPr fontId="44" type="noConversion"/>
  </si>
  <si>
    <r>
      <rPr>
        <sz val="12"/>
        <rFont val="新細明體"/>
        <family val="1"/>
        <charset val="136"/>
      </rPr>
      <t>地方檢察署執行裁判確定有罪</t>
    </r>
    <phoneticPr fontId="44" type="noConversion"/>
  </si>
  <si>
    <r>
      <rPr>
        <sz val="12"/>
        <rFont val="新細明體"/>
        <family val="1"/>
        <charset val="136"/>
      </rPr>
      <t>男</t>
    </r>
    <phoneticPr fontId="44" type="noConversion"/>
  </si>
  <si>
    <r>
      <rPr>
        <sz val="12"/>
        <rFont val="新細明體"/>
        <family val="1"/>
        <charset val="136"/>
      </rPr>
      <t>女</t>
    </r>
    <phoneticPr fontId="44" type="noConversion"/>
  </si>
  <si>
    <r>
      <rPr>
        <sz val="12"/>
        <rFont val="新細明體"/>
        <family val="1"/>
        <charset val="136"/>
      </rPr>
      <t>總</t>
    </r>
    <r>
      <rPr>
        <sz val="12"/>
        <rFont val="Times New Roman"/>
        <family val="1"/>
      </rPr>
      <t xml:space="preserve">   </t>
    </r>
    <r>
      <rPr>
        <sz val="12"/>
        <rFont val="新細明體"/>
        <family val="1"/>
        <charset val="136"/>
      </rPr>
      <t>計</t>
    </r>
    <phoneticPr fontId="44" type="noConversion"/>
  </si>
  <si>
    <r>
      <rPr>
        <sz val="12"/>
        <rFont val="新細明體"/>
        <family val="1"/>
        <charset val="136"/>
      </rPr>
      <t>男</t>
    </r>
    <r>
      <rPr>
        <sz val="12"/>
        <rFont val="Times New Roman"/>
        <family val="1"/>
      </rPr>
      <t xml:space="preserve">   </t>
    </r>
    <phoneticPr fontId="44" type="noConversion"/>
  </si>
  <si>
    <r>
      <rPr>
        <sz val="12"/>
        <rFont val="新細明體"/>
        <family val="1"/>
        <charset val="136"/>
      </rPr>
      <t>女</t>
    </r>
    <r>
      <rPr>
        <sz val="12"/>
        <rFont val="Times New Roman"/>
        <family val="1"/>
      </rPr>
      <t xml:space="preserve">  </t>
    </r>
    <phoneticPr fontId="44" type="noConversion"/>
  </si>
  <si>
    <r>
      <rPr>
        <sz val="12"/>
        <rFont val="新細明體"/>
        <family val="1"/>
        <charset val="136"/>
      </rPr>
      <t>人</t>
    </r>
    <phoneticPr fontId="44" type="noConversion"/>
  </si>
  <si>
    <r>
      <rPr>
        <sz val="10"/>
        <rFont val="新細明體"/>
        <family val="1"/>
        <charset val="136"/>
      </rPr>
      <t>資料來源：內政部警政署刑事警察局、法務部統計處</t>
    </r>
    <phoneticPr fontId="44" type="noConversion"/>
  </si>
  <si>
    <r>
      <rPr>
        <sz val="10"/>
        <rFont val="新細明體"/>
        <family val="1"/>
        <charset val="136"/>
      </rPr>
      <t>說　　明：</t>
    </r>
    <r>
      <rPr>
        <sz val="10"/>
        <rFont val="Times New Roman"/>
        <family val="1"/>
      </rPr>
      <t>%</t>
    </r>
    <r>
      <rPr>
        <sz val="10"/>
        <rFont val="新細明體"/>
        <family val="1"/>
        <charset val="136"/>
      </rPr>
      <t>為各性別犯罪人數除以該項總人數再乘以</t>
    </r>
    <r>
      <rPr>
        <sz val="10"/>
        <rFont val="Times New Roman"/>
        <family val="1"/>
      </rPr>
      <t>100</t>
    </r>
    <r>
      <rPr>
        <sz val="10"/>
        <rFont val="新細明體"/>
        <family val="1"/>
        <charset val="136"/>
      </rPr>
      <t>。</t>
    </r>
    <phoneticPr fontId="44" type="noConversion"/>
  </si>
  <si>
    <r>
      <rPr>
        <sz val="15"/>
        <rFont val="新細明體"/>
        <family val="1"/>
        <charset val="136"/>
      </rPr>
      <t>表</t>
    </r>
    <r>
      <rPr>
        <sz val="15"/>
        <rFont val="Times New Roman"/>
        <family val="1"/>
      </rPr>
      <t>4-3-2</t>
    </r>
    <r>
      <rPr>
        <sz val="15"/>
        <rFont val="新細明體"/>
        <family val="1"/>
        <charset val="136"/>
      </rPr>
      <t>　近</t>
    </r>
    <r>
      <rPr>
        <sz val="15"/>
        <rFont val="Times New Roman"/>
        <family val="1"/>
      </rPr>
      <t>10</t>
    </r>
    <r>
      <rPr>
        <sz val="15"/>
        <rFont val="新細明體"/>
        <family val="1"/>
        <charset val="136"/>
      </rPr>
      <t>年地方檢察署執行裁判違反毒品危害防制條例裁判確定有罪人數</t>
    </r>
    <r>
      <rPr>
        <sz val="15"/>
        <rFont val="Times New Roman"/>
        <family val="1"/>
      </rPr>
      <t xml:space="preserve"> </t>
    </r>
    <phoneticPr fontId="44" type="noConversion"/>
  </si>
  <si>
    <r>
      <rPr>
        <sz val="12"/>
        <rFont val="新細明體"/>
        <family val="1"/>
        <charset val="136"/>
      </rPr>
      <t>年</t>
    </r>
    <r>
      <rPr>
        <sz val="12"/>
        <rFont val="Times New Roman"/>
        <family val="1"/>
      </rPr>
      <t xml:space="preserve">  </t>
    </r>
    <r>
      <rPr>
        <sz val="12"/>
        <rFont val="新細明體"/>
        <family val="1"/>
        <charset val="136"/>
      </rPr>
      <t>別</t>
    </r>
  </si>
  <si>
    <r>
      <rPr>
        <sz val="12"/>
        <rFont val="新細明體"/>
        <family val="1"/>
        <charset val="136"/>
      </rPr>
      <t>製賣運輸</t>
    </r>
    <phoneticPr fontId="44" type="noConversion"/>
  </si>
  <si>
    <r>
      <rPr>
        <sz val="12"/>
        <rFont val="新細明體"/>
        <family val="1"/>
        <charset val="136"/>
      </rPr>
      <t>施用</t>
    </r>
    <phoneticPr fontId="44" type="noConversion"/>
  </si>
  <si>
    <r>
      <rPr>
        <sz val="12"/>
        <rFont val="新細明體"/>
        <family val="1"/>
        <charset val="136"/>
      </rPr>
      <t>持有</t>
    </r>
    <phoneticPr fontId="44" type="noConversion"/>
  </si>
  <si>
    <r>
      <rPr>
        <sz val="12"/>
        <rFont val="新細明體"/>
        <family val="1"/>
        <charset val="136"/>
      </rPr>
      <t>第一級</t>
    </r>
    <phoneticPr fontId="6" type="noConversion"/>
  </si>
  <si>
    <r>
      <rPr>
        <sz val="12"/>
        <rFont val="新細明體"/>
        <family val="1"/>
        <charset val="136"/>
      </rPr>
      <t>第二級</t>
    </r>
    <phoneticPr fontId="6" type="noConversion"/>
  </si>
  <si>
    <r>
      <rPr>
        <sz val="12"/>
        <rFont val="新細明體"/>
        <family val="1"/>
        <charset val="136"/>
      </rPr>
      <t>第三級</t>
    </r>
    <phoneticPr fontId="6" type="noConversion"/>
  </si>
  <si>
    <r>
      <rPr>
        <sz val="12"/>
        <rFont val="新細明體"/>
        <family val="1"/>
        <charset val="136"/>
      </rPr>
      <t>第四級</t>
    </r>
    <phoneticPr fontId="6" type="noConversion"/>
  </si>
  <si>
    <r>
      <rPr>
        <sz val="12"/>
        <rFont val="新細明體"/>
        <family val="1"/>
        <charset val="136"/>
      </rPr>
      <t>第二級</t>
    </r>
    <phoneticPr fontId="6" type="noConversion"/>
  </si>
  <si>
    <r>
      <rPr>
        <sz val="12"/>
        <rFont val="新細明體"/>
        <family val="1"/>
        <charset val="136"/>
      </rPr>
      <t>第四級</t>
    </r>
    <phoneticPr fontId="6" type="noConversion"/>
  </si>
  <si>
    <r>
      <rPr>
        <sz val="12"/>
        <color indexed="8"/>
        <rFont val="新細明體"/>
        <family val="1"/>
        <charset val="136"/>
      </rPr>
      <t>人</t>
    </r>
    <phoneticPr fontId="44" type="noConversion"/>
  </si>
  <si>
    <r>
      <rPr>
        <sz val="10"/>
        <rFont val="新細明體"/>
        <family val="1"/>
        <charset val="136"/>
      </rPr>
      <t>說　　明：製賣運輸欄，含單純製賣運輸，及製賣運輸兼施用。</t>
    </r>
    <phoneticPr fontId="6" type="noConversion"/>
  </si>
  <si>
    <r>
      <rPr>
        <sz val="15"/>
        <rFont val="新細明體"/>
        <family val="1"/>
        <charset val="136"/>
      </rPr>
      <t>表</t>
    </r>
    <r>
      <rPr>
        <sz val="15"/>
        <rFont val="Times New Roman"/>
        <family val="1"/>
      </rPr>
      <t>4-3-3</t>
    </r>
    <r>
      <rPr>
        <sz val="15"/>
        <rFont val="新細明體"/>
        <family val="1"/>
        <charset val="136"/>
      </rPr>
      <t>　近</t>
    </r>
    <r>
      <rPr>
        <sz val="15"/>
        <rFont val="Times New Roman"/>
        <family val="1"/>
      </rPr>
      <t>10</t>
    </r>
    <r>
      <rPr>
        <sz val="15"/>
        <rFont val="新細明體"/>
        <family val="1"/>
        <charset val="136"/>
      </rPr>
      <t>年地方檢察署執行緩起訴戒癮治療情形</t>
    </r>
    <phoneticPr fontId="44" type="noConversion"/>
  </si>
  <si>
    <r>
      <rPr>
        <sz val="12"/>
        <rFont val="新細明體"/>
        <family val="1"/>
        <charset val="136"/>
      </rPr>
      <t>年</t>
    </r>
    <r>
      <rPr>
        <sz val="12"/>
        <rFont val="Times New Roman"/>
        <family val="1"/>
      </rPr>
      <t xml:space="preserve">  </t>
    </r>
    <r>
      <rPr>
        <sz val="12"/>
        <rFont val="新細明體"/>
        <family val="1"/>
        <charset val="136"/>
      </rPr>
      <t>別</t>
    </r>
    <phoneticPr fontId="44" type="noConversion"/>
  </si>
  <si>
    <r>
      <rPr>
        <sz val="12"/>
        <rFont val="新細明體"/>
        <family val="1"/>
        <charset val="136"/>
      </rPr>
      <t>附命完成戒癮治療之緩起訴處分人數</t>
    </r>
    <phoneticPr fontId="44" type="noConversion"/>
  </si>
  <si>
    <r>
      <rPr>
        <sz val="12"/>
        <rFont val="新細明體"/>
        <family val="1"/>
        <charset val="136"/>
      </rPr>
      <t>撤銷緩起訴處分人數</t>
    </r>
    <phoneticPr fontId="44" type="noConversion"/>
  </si>
  <si>
    <r>
      <rPr>
        <sz val="12"/>
        <rFont val="新細明體"/>
        <family val="1"/>
        <charset val="136"/>
      </rPr>
      <t>總計</t>
    </r>
    <phoneticPr fontId="44" type="noConversion"/>
  </si>
  <si>
    <r>
      <rPr>
        <sz val="12"/>
        <rFont val="新細明體"/>
        <family val="1"/>
        <charset val="136"/>
      </rPr>
      <t>第一級毒品</t>
    </r>
    <phoneticPr fontId="44" type="noConversion"/>
  </si>
  <si>
    <r>
      <rPr>
        <sz val="12"/>
        <rFont val="新細明體"/>
        <family val="1"/>
        <charset val="136"/>
      </rPr>
      <t>第二級毒品</t>
    </r>
    <phoneticPr fontId="44" type="noConversion"/>
  </si>
  <si>
    <r>
      <rPr>
        <sz val="12"/>
        <rFont val="新細明體"/>
        <family val="1"/>
        <charset val="136"/>
      </rPr>
      <t>第一級毒品</t>
    </r>
    <phoneticPr fontId="44" type="noConversion"/>
  </si>
  <si>
    <r>
      <rPr>
        <sz val="12"/>
        <rFont val="新細明體"/>
        <family val="1"/>
        <charset val="136"/>
      </rPr>
      <t>第二級毒品</t>
    </r>
    <phoneticPr fontId="44" type="noConversion"/>
  </si>
  <si>
    <r>
      <rPr>
        <sz val="10"/>
        <rFont val="新細明體"/>
        <family val="1"/>
        <charset val="136"/>
      </rPr>
      <t>說　　明：緩起訴人數與撤銷緩起訴人數，各自獨立，非源自同一母數，不宜交互分析。</t>
    </r>
    <phoneticPr fontId="44" type="noConversion"/>
  </si>
  <si>
    <r>
      <rPr>
        <sz val="15"/>
        <rFont val="新細明體"/>
        <family val="1"/>
        <charset val="136"/>
      </rPr>
      <t>表</t>
    </r>
    <r>
      <rPr>
        <sz val="15"/>
        <rFont val="Times New Roman"/>
        <family val="1"/>
      </rPr>
      <t xml:space="preserve">4-3-4   </t>
    </r>
    <r>
      <rPr>
        <sz val="15"/>
        <rFont val="新細明體"/>
        <family val="1"/>
        <charset val="136"/>
      </rPr>
      <t>近</t>
    </r>
    <r>
      <rPr>
        <sz val="15"/>
        <rFont val="Times New Roman"/>
        <family val="1"/>
      </rPr>
      <t>10</t>
    </r>
    <r>
      <rPr>
        <sz val="15"/>
        <rFont val="新細明體"/>
        <family val="1"/>
        <charset val="136"/>
      </rPr>
      <t>年毒品犯罪者之處遇</t>
    </r>
    <phoneticPr fontId="44" type="noConversion"/>
  </si>
  <si>
    <r>
      <rPr>
        <sz val="12"/>
        <rFont val="新細明體"/>
        <family val="1"/>
        <charset val="136"/>
      </rPr>
      <t>新入監毒品受刑人</t>
    </r>
    <phoneticPr fontId="44" type="noConversion"/>
  </si>
  <si>
    <r>
      <rPr>
        <sz val="12"/>
        <color indexed="8"/>
        <rFont val="新細明體"/>
        <family val="1"/>
        <charset val="136"/>
      </rPr>
      <t>保護管束
新收毒品案件</t>
    </r>
    <phoneticPr fontId="44" type="noConversion"/>
  </si>
  <si>
    <r>
      <t>99</t>
    </r>
    <r>
      <rPr>
        <sz val="12"/>
        <rFont val="新細明體"/>
        <family val="1"/>
        <charset val="136"/>
      </rPr>
      <t>年</t>
    </r>
    <phoneticPr fontId="44" type="noConversion"/>
  </si>
  <si>
    <r>
      <rPr>
        <sz val="10"/>
        <rFont val="新細明體"/>
        <family val="1"/>
        <charset val="136"/>
      </rPr>
      <t>說　　明：</t>
    </r>
    <r>
      <rPr>
        <sz val="10"/>
        <rFont val="Times New Roman"/>
        <family val="1"/>
      </rPr>
      <t>1. %</t>
    </r>
    <r>
      <rPr>
        <sz val="10"/>
        <rFont val="新細明體"/>
        <family val="1"/>
        <charset val="136"/>
      </rPr>
      <t>為接受該項處遇之毒品犯罪者人數除以總人數再乘以</t>
    </r>
    <r>
      <rPr>
        <sz val="10"/>
        <rFont val="Times New Roman"/>
        <family val="1"/>
      </rPr>
      <t>100</t>
    </r>
    <r>
      <rPr>
        <sz val="10"/>
        <rFont val="新細明體"/>
        <family val="1"/>
        <charset val="136"/>
      </rPr>
      <t>。</t>
    </r>
    <phoneticPr fontId="44" type="noConversion"/>
  </si>
  <si>
    <r>
      <rPr>
        <sz val="10"/>
        <rFont val="新細明體"/>
        <family val="1"/>
        <charset val="136"/>
      </rPr>
      <t>　　　　　</t>
    </r>
    <r>
      <rPr>
        <sz val="10"/>
        <rFont val="Times New Roman"/>
        <family val="1"/>
      </rPr>
      <t xml:space="preserve">2. </t>
    </r>
    <r>
      <rPr>
        <sz val="10"/>
        <rFont val="新細明體"/>
        <family val="1"/>
        <charset val="136"/>
      </rPr>
      <t>各階段處遇之總人數，觀察勒戒詳如表</t>
    </r>
    <r>
      <rPr>
        <sz val="10"/>
        <rFont val="Times New Roman"/>
        <family val="1"/>
      </rPr>
      <t>2-4-13</t>
    </r>
    <r>
      <rPr>
        <sz val="10"/>
        <rFont val="新細明體"/>
        <family val="1"/>
        <charset val="136"/>
      </rPr>
      <t>、戒治詳如表</t>
    </r>
    <r>
      <rPr>
        <sz val="10"/>
        <rFont val="Times New Roman"/>
        <family val="1"/>
      </rPr>
      <t>2-4-14</t>
    </r>
    <r>
      <rPr>
        <sz val="10"/>
        <rFont val="新細明體"/>
        <family val="1"/>
        <charset val="136"/>
      </rPr>
      <t>、新入監詳如表</t>
    </r>
    <r>
      <rPr>
        <sz val="10"/>
        <rFont val="Times New Roman"/>
        <family val="1"/>
      </rPr>
      <t>2-4-2</t>
    </r>
    <r>
      <rPr>
        <sz val="10"/>
        <rFont val="新細明體"/>
        <family val="1"/>
        <charset val="136"/>
      </rPr>
      <t>、保護管束詳如表</t>
    </r>
    <r>
      <rPr>
        <sz val="10"/>
        <rFont val="Times New Roman"/>
        <family val="1"/>
      </rPr>
      <t>2-4-16</t>
    </r>
    <r>
      <rPr>
        <sz val="10"/>
        <rFont val="新細明體"/>
        <family val="1"/>
        <charset val="136"/>
      </rPr>
      <t>。</t>
    </r>
    <phoneticPr fontId="6" type="noConversion"/>
  </si>
  <si>
    <r>
      <rPr>
        <sz val="15"/>
        <rFont val="新細明體"/>
        <family val="1"/>
        <charset val="136"/>
      </rPr>
      <t>表</t>
    </r>
    <r>
      <rPr>
        <sz val="15"/>
        <rFont val="Times New Roman"/>
        <family val="1"/>
      </rPr>
      <t xml:space="preserve">4-3-5   </t>
    </r>
    <r>
      <rPr>
        <sz val="15"/>
        <rFont val="新細明體"/>
        <family val="1"/>
        <charset val="136"/>
      </rPr>
      <t>近</t>
    </r>
    <r>
      <rPr>
        <sz val="15"/>
        <rFont val="Times New Roman"/>
        <family val="1"/>
      </rPr>
      <t>10</t>
    </r>
    <r>
      <rPr>
        <sz val="15"/>
        <rFont val="新細明體"/>
        <family val="1"/>
        <charset val="136"/>
      </rPr>
      <t>年第三級、第四級毒品裁處講習與罰鍰統計</t>
    </r>
    <phoneticPr fontId="6" type="noConversion"/>
  </si>
  <si>
    <r>
      <rPr>
        <sz val="12"/>
        <color indexed="8"/>
        <rFont val="新細明體"/>
        <family val="1"/>
        <charset val="136"/>
      </rPr>
      <t>年別</t>
    </r>
  </si>
  <si>
    <r>
      <rPr>
        <sz val="12"/>
        <color theme="1"/>
        <rFont val="新細明體"/>
        <family val="1"/>
        <charset val="136"/>
      </rPr>
      <t>裁處講習</t>
    </r>
    <phoneticPr fontId="40" type="noConversion"/>
  </si>
  <si>
    <r>
      <rPr>
        <sz val="12"/>
        <color indexed="8"/>
        <rFont val="新細明體"/>
        <family val="1"/>
        <charset val="136"/>
      </rPr>
      <t>裁處罰鍰</t>
    </r>
  </si>
  <si>
    <r>
      <rPr>
        <sz val="12"/>
        <color theme="1"/>
        <rFont val="新細明體"/>
        <family val="1"/>
        <charset val="136"/>
      </rPr>
      <t>裁處罰鍰金額</t>
    </r>
    <phoneticPr fontId="40" type="noConversion"/>
  </si>
  <si>
    <r>
      <rPr>
        <sz val="12"/>
        <color theme="1"/>
        <rFont val="新細明體"/>
        <family val="1"/>
        <charset val="136"/>
      </rPr>
      <t>應接受人次</t>
    </r>
    <phoneticPr fontId="163" type="noConversion"/>
  </si>
  <si>
    <r>
      <rPr>
        <sz val="12"/>
        <color indexed="8"/>
        <rFont val="新細明體"/>
        <family val="1"/>
        <charset val="136"/>
      </rPr>
      <t>裁處人次</t>
    </r>
  </si>
  <si>
    <r>
      <rPr>
        <sz val="12"/>
        <color indexed="8"/>
        <rFont val="新細明體"/>
        <family val="1"/>
        <charset val="136"/>
      </rPr>
      <t>繳納人次</t>
    </r>
  </si>
  <si>
    <t>%</t>
    <phoneticPr fontId="40" type="noConversion"/>
  </si>
  <si>
    <r>
      <rPr>
        <sz val="12"/>
        <color theme="1"/>
        <rFont val="新細明體"/>
        <family val="1"/>
        <charset val="136"/>
      </rPr>
      <t>裁處金額</t>
    </r>
    <phoneticPr fontId="40" type="noConversion"/>
  </si>
  <si>
    <r>
      <rPr>
        <sz val="12"/>
        <color indexed="8"/>
        <rFont val="新細明體"/>
        <family val="1"/>
        <charset val="136"/>
      </rPr>
      <t>繳納金額</t>
    </r>
  </si>
  <si>
    <t>%</t>
    <phoneticPr fontId="40" type="noConversion"/>
  </si>
  <si>
    <r>
      <t>99</t>
    </r>
    <r>
      <rPr>
        <sz val="12"/>
        <color indexed="8"/>
        <rFont val="新細明體"/>
        <family val="1"/>
        <charset val="136"/>
      </rPr>
      <t>年</t>
    </r>
    <phoneticPr fontId="6" type="noConversion"/>
  </si>
  <si>
    <r>
      <t>100</t>
    </r>
    <r>
      <rPr>
        <sz val="12"/>
        <color indexed="8"/>
        <rFont val="新細明體"/>
        <family val="1"/>
        <charset val="136"/>
      </rPr>
      <t>年</t>
    </r>
  </si>
  <si>
    <r>
      <t>101</t>
    </r>
    <r>
      <rPr>
        <sz val="12"/>
        <color indexed="8"/>
        <rFont val="新細明體"/>
        <family val="1"/>
        <charset val="136"/>
      </rPr>
      <t>年</t>
    </r>
  </si>
  <si>
    <r>
      <t>102</t>
    </r>
    <r>
      <rPr>
        <sz val="12"/>
        <color indexed="8"/>
        <rFont val="新細明體"/>
        <family val="1"/>
        <charset val="136"/>
      </rPr>
      <t>年</t>
    </r>
  </si>
  <si>
    <r>
      <t>103</t>
    </r>
    <r>
      <rPr>
        <sz val="12"/>
        <color indexed="8"/>
        <rFont val="新細明體"/>
        <family val="1"/>
        <charset val="136"/>
      </rPr>
      <t>年</t>
    </r>
  </si>
  <si>
    <r>
      <t>104</t>
    </r>
    <r>
      <rPr>
        <sz val="12"/>
        <color indexed="8"/>
        <rFont val="新細明體"/>
        <family val="1"/>
        <charset val="136"/>
      </rPr>
      <t>年</t>
    </r>
  </si>
  <si>
    <r>
      <t>105</t>
    </r>
    <r>
      <rPr>
        <sz val="12"/>
        <color theme="1"/>
        <rFont val="新細明體"/>
        <family val="1"/>
        <charset val="136"/>
      </rPr>
      <t>年</t>
    </r>
    <r>
      <rPr>
        <sz val="12"/>
        <color indexed="8"/>
        <rFont val="標楷體"/>
        <family val="4"/>
      </rPr>
      <t/>
    </r>
  </si>
  <si>
    <r>
      <t>106</t>
    </r>
    <r>
      <rPr>
        <sz val="12"/>
        <color theme="1"/>
        <rFont val="新細明體"/>
        <family val="1"/>
        <charset val="136"/>
      </rPr>
      <t>年</t>
    </r>
    <r>
      <rPr>
        <sz val="12"/>
        <color indexed="8"/>
        <rFont val="標楷體"/>
        <family val="4"/>
      </rPr>
      <t/>
    </r>
  </si>
  <si>
    <r>
      <t>107</t>
    </r>
    <r>
      <rPr>
        <sz val="12"/>
        <color theme="1"/>
        <rFont val="新細明體"/>
        <family val="1"/>
        <charset val="136"/>
      </rPr>
      <t>年</t>
    </r>
    <r>
      <rPr>
        <sz val="12"/>
        <color indexed="8"/>
        <rFont val="標楷體"/>
        <family val="4"/>
      </rPr>
      <t/>
    </r>
  </si>
  <si>
    <r>
      <t>108</t>
    </r>
    <r>
      <rPr>
        <sz val="12"/>
        <color theme="1"/>
        <rFont val="新細明體"/>
        <family val="1"/>
        <charset val="136"/>
      </rPr>
      <t>年</t>
    </r>
    <r>
      <rPr>
        <sz val="12"/>
        <color indexed="8"/>
        <rFont val="標楷體"/>
        <family val="4"/>
      </rPr>
      <t/>
    </r>
  </si>
  <si>
    <r>
      <rPr>
        <sz val="10"/>
        <rFont val="新細明體"/>
        <family val="1"/>
        <charset val="136"/>
      </rPr>
      <t>資料來源：內政部警政署刑事警察局</t>
    </r>
  </si>
  <si>
    <r>
      <rPr>
        <sz val="10"/>
        <color theme="1"/>
        <rFont val="新細明體"/>
        <family val="1"/>
        <charset val="136"/>
      </rPr>
      <t>說　　明：</t>
    </r>
    <r>
      <rPr>
        <sz val="10"/>
        <color indexed="8"/>
        <rFont val="新細明體"/>
        <family val="1"/>
        <charset val="136"/>
      </rPr>
      <t>裁處罰鍰</t>
    </r>
    <r>
      <rPr>
        <sz val="10"/>
        <color indexed="8"/>
        <rFont val="Times New Roman"/>
        <family val="1"/>
      </rPr>
      <t>%</t>
    </r>
    <r>
      <rPr>
        <sz val="10"/>
        <color indexed="8"/>
        <rFont val="新細明體"/>
        <family val="1"/>
        <charset val="136"/>
      </rPr>
      <t>為繳納人</t>
    </r>
    <r>
      <rPr>
        <sz val="10"/>
        <color rgb="FF000000"/>
        <rFont val="新細明體"/>
        <family val="1"/>
        <charset val="136"/>
      </rPr>
      <t>次</t>
    </r>
    <r>
      <rPr>
        <sz val="10"/>
        <color indexed="8"/>
        <rFont val="新細明體"/>
        <family val="1"/>
        <charset val="136"/>
      </rPr>
      <t>除以裁處人</t>
    </r>
    <r>
      <rPr>
        <sz val="10"/>
        <color rgb="FF000000"/>
        <rFont val="新細明體"/>
        <family val="1"/>
        <charset val="136"/>
      </rPr>
      <t>次</t>
    </r>
    <r>
      <rPr>
        <sz val="10"/>
        <color indexed="8"/>
        <rFont val="新細明體"/>
        <family val="1"/>
        <charset val="136"/>
      </rPr>
      <t>，裁處罰鍰金額</t>
    </r>
    <r>
      <rPr>
        <sz val="10"/>
        <color indexed="8"/>
        <rFont val="Times New Roman"/>
        <family val="1"/>
      </rPr>
      <t>%</t>
    </r>
    <r>
      <rPr>
        <sz val="10"/>
        <color indexed="8"/>
        <rFont val="新細明體"/>
        <family val="1"/>
        <charset val="136"/>
      </rPr>
      <t>為繳納金額除以裁處金額。</t>
    </r>
    <phoneticPr fontId="6" type="noConversion"/>
  </si>
  <si>
    <r>
      <rPr>
        <sz val="15"/>
        <rFont val="新細明體"/>
        <family val="1"/>
        <charset val="136"/>
      </rPr>
      <t>表</t>
    </r>
    <r>
      <rPr>
        <sz val="15"/>
        <rFont val="Times New Roman"/>
        <family val="1"/>
      </rPr>
      <t xml:space="preserve">4-4-1   </t>
    </r>
    <r>
      <rPr>
        <sz val="15"/>
        <rFont val="新細明體"/>
        <family val="1"/>
        <charset val="136"/>
      </rPr>
      <t>近</t>
    </r>
    <r>
      <rPr>
        <sz val="15"/>
        <rFont val="Times New Roman"/>
        <family val="1"/>
      </rPr>
      <t>5</t>
    </r>
    <r>
      <rPr>
        <sz val="15"/>
        <rFont val="新細明體"/>
        <family val="1"/>
        <charset val="136"/>
      </rPr>
      <t>年地方檢察署執行裁判確定有罪非本國籍人犯國籍</t>
    </r>
    <phoneticPr fontId="44" type="noConversion"/>
  </si>
  <si>
    <r>
      <rPr>
        <sz val="12"/>
        <rFont val="新細明體"/>
        <family val="1"/>
        <charset val="136"/>
      </rPr>
      <t>國</t>
    </r>
    <r>
      <rPr>
        <sz val="12"/>
        <rFont val="Times New Roman"/>
        <family val="1"/>
      </rPr>
      <t xml:space="preserve">   </t>
    </r>
    <r>
      <rPr>
        <sz val="12"/>
        <rFont val="新細明體"/>
        <family val="1"/>
        <charset val="136"/>
      </rPr>
      <t>籍</t>
    </r>
    <r>
      <rPr>
        <sz val="12"/>
        <rFont val="Times New Roman"/>
        <family val="1"/>
      </rPr>
      <t xml:space="preserve">   </t>
    </r>
    <r>
      <rPr>
        <sz val="12"/>
        <rFont val="新細明體"/>
        <family val="1"/>
        <charset val="136"/>
      </rPr>
      <t>別</t>
    </r>
    <phoneticPr fontId="44" type="noConversion"/>
  </si>
  <si>
    <r>
      <t>104</t>
    </r>
    <r>
      <rPr>
        <sz val="12"/>
        <rFont val="新細明體"/>
        <family val="1"/>
        <charset val="136"/>
      </rPr>
      <t>年</t>
    </r>
    <phoneticPr fontId="44" type="noConversion"/>
  </si>
  <si>
    <r>
      <rPr>
        <sz val="12"/>
        <rFont val="新細明體"/>
        <family val="1"/>
        <charset val="136"/>
      </rPr>
      <t>總計</t>
    </r>
    <phoneticPr fontId="44" type="noConversion"/>
  </si>
  <si>
    <r>
      <rPr>
        <sz val="12"/>
        <rFont val="新細明體"/>
        <family val="1"/>
        <charset val="136"/>
      </rPr>
      <t>越南</t>
    </r>
    <phoneticPr fontId="44" type="noConversion"/>
  </si>
  <si>
    <r>
      <rPr>
        <sz val="12"/>
        <rFont val="新細明體"/>
        <family val="1"/>
        <charset val="136"/>
      </rPr>
      <t>泰國</t>
    </r>
    <phoneticPr fontId="44" type="noConversion"/>
  </si>
  <si>
    <r>
      <rPr>
        <sz val="12"/>
        <rFont val="新細明體"/>
        <family val="1"/>
        <charset val="136"/>
      </rPr>
      <t>印尼</t>
    </r>
    <phoneticPr fontId="44" type="noConversion"/>
  </si>
  <si>
    <r>
      <rPr>
        <sz val="12"/>
        <rFont val="新細明體"/>
        <family val="1"/>
        <charset val="136"/>
      </rPr>
      <t>菲律賓</t>
    </r>
    <phoneticPr fontId="44" type="noConversion"/>
  </si>
  <si>
    <r>
      <rPr>
        <sz val="12"/>
        <rFont val="新細明體"/>
        <family val="1"/>
        <charset val="136"/>
      </rPr>
      <t>馬來西亞</t>
    </r>
    <phoneticPr fontId="44" type="noConversion"/>
  </si>
  <si>
    <r>
      <rPr>
        <sz val="12"/>
        <rFont val="新細明體"/>
        <family val="1"/>
        <charset val="136"/>
      </rPr>
      <t>美國</t>
    </r>
    <phoneticPr fontId="44" type="noConversion"/>
  </si>
  <si>
    <r>
      <rPr>
        <sz val="12"/>
        <rFont val="新細明體"/>
        <family val="1"/>
        <charset val="136"/>
      </rPr>
      <t>韓國</t>
    </r>
    <phoneticPr fontId="44" type="noConversion"/>
  </si>
  <si>
    <r>
      <rPr>
        <sz val="12"/>
        <rFont val="新細明體"/>
        <family val="1"/>
        <charset val="136"/>
      </rPr>
      <t>日本</t>
    </r>
    <phoneticPr fontId="44" type="noConversion"/>
  </si>
  <si>
    <r>
      <rPr>
        <sz val="12"/>
        <rFont val="新細明體"/>
        <family val="1"/>
        <charset val="136"/>
      </rPr>
      <t>緬甸</t>
    </r>
    <phoneticPr fontId="44" type="noConversion"/>
  </si>
  <si>
    <r>
      <rPr>
        <sz val="12"/>
        <rFont val="新細明體"/>
        <family val="1"/>
        <charset val="136"/>
      </rPr>
      <t>其他</t>
    </r>
    <phoneticPr fontId="44" type="noConversion"/>
  </si>
  <si>
    <r>
      <rPr>
        <sz val="10"/>
        <rFont val="新細明體"/>
        <family val="1"/>
        <charset val="136"/>
      </rPr>
      <t>說　　明：本表不含中國大陸、港、澳地區人士。</t>
    </r>
    <phoneticPr fontId="44" type="noConversion"/>
  </si>
  <si>
    <r>
      <rPr>
        <sz val="15"/>
        <rFont val="新細明體"/>
        <family val="1"/>
        <charset val="136"/>
      </rPr>
      <t>表</t>
    </r>
    <r>
      <rPr>
        <sz val="15"/>
        <rFont val="Times New Roman"/>
        <family val="1"/>
      </rPr>
      <t>4-4-2</t>
    </r>
    <r>
      <rPr>
        <sz val="15"/>
        <rFont val="新細明體"/>
        <family val="1"/>
        <charset val="136"/>
      </rPr>
      <t>　近</t>
    </r>
    <r>
      <rPr>
        <sz val="15"/>
        <rFont val="Times New Roman"/>
        <family val="1"/>
      </rPr>
      <t>3</t>
    </r>
    <r>
      <rPr>
        <sz val="15"/>
        <rFont val="新細明體"/>
        <family val="1"/>
        <charset val="136"/>
      </rPr>
      <t>年地方檢察署執行普通刑法裁判確定有罪之非本國籍人犯罪名</t>
    </r>
    <phoneticPr fontId="44" type="noConversion"/>
  </si>
  <si>
    <r>
      <rPr>
        <sz val="12"/>
        <rFont val="新細明體"/>
        <family val="1"/>
        <charset val="136"/>
      </rPr>
      <t>罪</t>
    </r>
    <r>
      <rPr>
        <sz val="12"/>
        <rFont val="Times New Roman"/>
        <family val="1"/>
      </rPr>
      <t xml:space="preserve">        </t>
    </r>
    <r>
      <rPr>
        <sz val="12"/>
        <rFont val="新細明體"/>
        <family val="1"/>
        <charset val="136"/>
      </rPr>
      <t>名</t>
    </r>
    <r>
      <rPr>
        <sz val="12"/>
        <rFont val="Times New Roman"/>
        <family val="1"/>
      </rPr>
      <t xml:space="preserve">        </t>
    </r>
    <r>
      <rPr>
        <sz val="12"/>
        <rFont val="新細明體"/>
        <family val="1"/>
        <charset val="136"/>
      </rPr>
      <t>別</t>
    </r>
    <phoneticPr fontId="44" type="noConversion"/>
  </si>
  <si>
    <t>%</t>
    <phoneticPr fontId="44" type="noConversion"/>
  </si>
  <si>
    <r>
      <rPr>
        <sz val="12"/>
        <rFont val="新細明體"/>
        <family val="1"/>
        <charset val="136"/>
      </rPr>
      <t>總計</t>
    </r>
    <phoneticPr fontId="44" type="noConversion"/>
  </si>
  <si>
    <r>
      <rPr>
        <sz val="12"/>
        <rFont val="新細明體"/>
        <family val="1"/>
        <charset val="136"/>
      </rPr>
      <t>公</t>
    </r>
    <r>
      <rPr>
        <sz val="12"/>
        <rFont val="Times New Roman"/>
        <family val="1"/>
      </rPr>
      <t xml:space="preserve"> </t>
    </r>
    <r>
      <rPr>
        <sz val="12"/>
        <rFont val="新細明體"/>
        <family val="1"/>
        <charset val="136"/>
      </rPr>
      <t>共</t>
    </r>
    <r>
      <rPr>
        <sz val="12"/>
        <rFont val="Times New Roman"/>
        <family val="1"/>
      </rPr>
      <t xml:space="preserve"> </t>
    </r>
    <r>
      <rPr>
        <sz val="12"/>
        <rFont val="新細明體"/>
        <family val="1"/>
        <charset val="136"/>
      </rPr>
      <t>危</t>
    </r>
    <r>
      <rPr>
        <sz val="12"/>
        <rFont val="Times New Roman"/>
        <family val="1"/>
      </rPr>
      <t xml:space="preserve"> </t>
    </r>
    <r>
      <rPr>
        <sz val="12"/>
        <rFont val="新細明體"/>
        <family val="1"/>
        <charset val="136"/>
      </rPr>
      <t>險罪</t>
    </r>
    <phoneticPr fontId="44" type="noConversion"/>
  </si>
  <si>
    <r>
      <rPr>
        <sz val="12"/>
        <rFont val="新細明體"/>
        <family val="1"/>
        <charset val="136"/>
      </rPr>
      <t>詐欺罪</t>
    </r>
    <phoneticPr fontId="44" type="noConversion"/>
  </si>
  <si>
    <r>
      <rPr>
        <sz val="12"/>
        <rFont val="新細明體"/>
        <family val="1"/>
        <charset val="136"/>
      </rPr>
      <t>遺棄罪</t>
    </r>
    <phoneticPr fontId="44" type="noConversion"/>
  </si>
  <si>
    <r>
      <rPr>
        <sz val="12"/>
        <rFont val="新細明體"/>
        <family val="1"/>
        <charset val="136"/>
      </rPr>
      <t>強盜搶奪及海盜罪</t>
    </r>
    <phoneticPr fontId="44" type="noConversion"/>
  </si>
  <si>
    <r>
      <rPr>
        <sz val="12"/>
        <rFont val="新細明體"/>
        <family val="1"/>
        <charset val="136"/>
      </rPr>
      <t>藏匿人犯罪</t>
    </r>
    <phoneticPr fontId="44" type="noConversion"/>
  </si>
  <si>
    <r>
      <rPr>
        <sz val="10"/>
        <rFont val="新細明體"/>
        <family val="1"/>
        <charset val="136"/>
      </rPr>
      <t>說　　明：本表不含中國大陸、港、澳地區人士。</t>
    </r>
    <phoneticPr fontId="44" type="noConversion"/>
  </si>
  <si>
    <r>
      <rPr>
        <sz val="15"/>
        <rFont val="新細明體"/>
        <family val="1"/>
        <charset val="136"/>
      </rPr>
      <t>表</t>
    </r>
    <r>
      <rPr>
        <sz val="15"/>
        <rFont val="Times New Roman"/>
        <family val="1"/>
      </rPr>
      <t>4-4-3</t>
    </r>
    <r>
      <rPr>
        <sz val="15"/>
        <rFont val="新細明體"/>
        <family val="1"/>
        <charset val="136"/>
      </rPr>
      <t>　近</t>
    </r>
    <r>
      <rPr>
        <sz val="15"/>
        <rFont val="Times New Roman"/>
        <family val="1"/>
      </rPr>
      <t>3</t>
    </r>
    <r>
      <rPr>
        <sz val="15"/>
        <rFont val="新細明體"/>
        <family val="1"/>
        <charset val="136"/>
      </rPr>
      <t>年地方檢察署執行特別刑法裁判確定有罪之非本國籍人犯罪名</t>
    </r>
    <phoneticPr fontId="44" type="noConversion"/>
  </si>
  <si>
    <t>-</t>
    <phoneticPr fontId="6" type="noConversion"/>
  </si>
  <si>
    <r>
      <rPr>
        <sz val="10"/>
        <rFont val="新細明體"/>
        <family val="1"/>
        <charset val="136"/>
      </rPr>
      <t>資料來源：法務部統計處</t>
    </r>
    <phoneticPr fontId="44" type="noConversion"/>
  </si>
  <si>
    <r>
      <rPr>
        <sz val="10"/>
        <rFont val="新細明體"/>
        <family val="1"/>
        <charset val="136"/>
      </rPr>
      <t>說　　明：</t>
    </r>
    <r>
      <rPr>
        <sz val="10"/>
        <rFont val="Times New Roman"/>
        <family val="1"/>
      </rPr>
      <t>1.</t>
    </r>
    <r>
      <rPr>
        <sz val="10"/>
        <rFont val="新細明體"/>
        <family val="1"/>
        <charset val="136"/>
      </rPr>
      <t>本表不含中國大陸、港、澳地區人士。</t>
    </r>
    <phoneticPr fontId="44" type="noConversion"/>
  </si>
  <si>
    <r>
      <rPr>
        <sz val="10"/>
        <rFont val="新細明體"/>
        <family val="1"/>
        <charset val="136"/>
      </rPr>
      <t>　　　　　</t>
    </r>
    <r>
      <rPr>
        <sz val="10"/>
        <rFont val="Times New Roman"/>
        <family val="1"/>
      </rPr>
      <t>2.</t>
    </r>
    <r>
      <rPr>
        <sz val="10"/>
        <rFont val="新細明體"/>
        <family val="1"/>
        <charset val="136"/>
      </rPr>
      <t>兒童及少年性交易防制條例自</t>
    </r>
    <r>
      <rPr>
        <sz val="10"/>
        <rFont val="Times New Roman"/>
        <family val="1"/>
      </rPr>
      <t>106</t>
    </r>
    <r>
      <rPr>
        <sz val="10"/>
        <rFont val="新細明體"/>
        <family val="1"/>
        <charset val="136"/>
      </rPr>
      <t>年</t>
    </r>
    <r>
      <rPr>
        <sz val="10"/>
        <rFont val="Times New Roman"/>
        <family val="1"/>
      </rPr>
      <t>1</t>
    </r>
    <r>
      <rPr>
        <sz val="10"/>
        <rFont val="新細明體"/>
        <family val="1"/>
        <charset val="136"/>
      </rPr>
      <t>月</t>
    </r>
    <r>
      <rPr>
        <sz val="10"/>
        <rFont val="Times New Roman"/>
        <family val="1"/>
      </rPr>
      <t>1</t>
    </r>
    <r>
      <rPr>
        <sz val="10"/>
        <rFont val="新細明體"/>
        <family val="1"/>
        <charset val="136"/>
      </rPr>
      <t>日起名稱修正為兒童及少年性剝削防制條例。</t>
    </r>
    <phoneticPr fontId="44" type="noConversion"/>
  </si>
  <si>
    <r>
      <rPr>
        <sz val="15"/>
        <color theme="1"/>
        <rFont val="新細明體"/>
        <family val="1"/>
        <charset val="136"/>
      </rPr>
      <t>表</t>
    </r>
    <r>
      <rPr>
        <sz val="15"/>
        <color theme="1"/>
        <rFont val="Times New Roman"/>
        <family val="1"/>
      </rPr>
      <t xml:space="preserve">5-1-1  </t>
    </r>
    <r>
      <rPr>
        <sz val="15"/>
        <color theme="1"/>
        <rFont val="新細明體"/>
        <family val="1"/>
        <charset val="136"/>
      </rPr>
      <t>近</t>
    </r>
    <r>
      <rPr>
        <sz val="15"/>
        <color theme="1"/>
        <rFont val="Times New Roman"/>
        <family val="1"/>
      </rPr>
      <t>10</t>
    </r>
    <r>
      <rPr>
        <sz val="15"/>
        <color theme="1"/>
        <rFont val="新細明體"/>
        <family val="1"/>
        <charset val="136"/>
      </rPr>
      <t>年刑事案件被害者人數－按案件類別</t>
    </r>
    <phoneticPr fontId="6" type="noConversion"/>
  </si>
  <si>
    <r>
      <rPr>
        <sz val="12"/>
        <color theme="1"/>
        <rFont val="新細明體"/>
        <family val="1"/>
        <charset val="136"/>
      </rPr>
      <t>單位：人、</t>
    </r>
    <r>
      <rPr>
        <sz val="12"/>
        <color theme="1"/>
        <rFont val="Times New Roman"/>
        <family val="1"/>
      </rPr>
      <t>%</t>
    </r>
    <phoneticPr fontId="6" type="noConversion"/>
  </si>
  <si>
    <r>
      <t>107</t>
    </r>
    <r>
      <rPr>
        <sz val="12"/>
        <color theme="1"/>
        <rFont val="新細明體"/>
        <family val="1"/>
        <charset val="136"/>
      </rPr>
      <t>年</t>
    </r>
    <phoneticPr fontId="6" type="noConversion"/>
  </si>
  <si>
    <r>
      <t>108</t>
    </r>
    <r>
      <rPr>
        <sz val="12"/>
        <color theme="1"/>
        <rFont val="細明體"/>
        <family val="3"/>
        <charset val="136"/>
      </rPr>
      <t>年</t>
    </r>
    <phoneticPr fontId="6" type="noConversion"/>
  </si>
  <si>
    <t>總計</t>
    <phoneticPr fontId="6" type="noConversion"/>
  </si>
  <si>
    <t>一般竊盜</t>
    <phoneticPr fontId="6" type="noConversion"/>
  </si>
  <si>
    <t>詐欺</t>
  </si>
  <si>
    <t>駕駛過失</t>
  </si>
  <si>
    <t>傷害（不含駕駛過失）</t>
  </si>
  <si>
    <t>妨害自由</t>
  </si>
  <si>
    <t>妨害名譽（信用）</t>
  </si>
  <si>
    <t>侵占</t>
  </si>
  <si>
    <t>公共危險（其它）</t>
    <phoneticPr fontId="6" type="noConversion"/>
  </si>
  <si>
    <t>機車竊盜</t>
  </si>
  <si>
    <t>毀棄損壞</t>
  </si>
  <si>
    <t>性交猥褻</t>
  </si>
  <si>
    <t>偽造文書</t>
  </si>
  <si>
    <t>違反保護令罪</t>
  </si>
  <si>
    <t>公共危險（酒後駕駛）</t>
    <phoneticPr fontId="6" type="noConversion"/>
  </si>
  <si>
    <t>妨害電腦使用</t>
  </si>
  <si>
    <t>妨害公務</t>
  </si>
  <si>
    <t>汽車竊盜</t>
  </si>
  <si>
    <t>背信</t>
  </si>
  <si>
    <t>重利</t>
  </si>
  <si>
    <t>恐嚇取財</t>
  </si>
  <si>
    <t>組織犯罪防制條例</t>
  </si>
  <si>
    <t>妨害秘密</t>
  </si>
  <si>
    <t>兒童及少年性剝削防制條例</t>
  </si>
  <si>
    <t>性騷擾防治法</t>
  </si>
  <si>
    <t>妨害家庭（婚姻）</t>
  </si>
  <si>
    <t>竊佔</t>
  </si>
  <si>
    <t>洗錢防制法</t>
  </si>
  <si>
    <t>故意殺人</t>
  </si>
  <si>
    <t>誣告</t>
  </si>
  <si>
    <t>銀行法</t>
  </si>
  <si>
    <t>強（海）盜</t>
  </si>
  <si>
    <t>妨害風化</t>
  </si>
  <si>
    <t>強制性交</t>
  </si>
  <si>
    <t>對幼性交</t>
  </si>
  <si>
    <t>搶奪</t>
  </si>
  <si>
    <t>妨害秩序</t>
  </si>
  <si>
    <t>少年事件處理法</t>
  </si>
  <si>
    <t>遺棄</t>
  </si>
  <si>
    <t>贓物</t>
  </si>
  <si>
    <t>槍砲彈藥刀械管制條例</t>
    <phoneticPr fontId="6" type="noConversion"/>
  </si>
  <si>
    <t>公職人選罷免法</t>
  </si>
  <si>
    <t>過失致死（不含駕駛過失）</t>
  </si>
  <si>
    <t>廢棄物清理法</t>
  </si>
  <si>
    <t>偽造有價證券</t>
  </si>
  <si>
    <t>妨害農工商</t>
  </si>
  <si>
    <t>偽證</t>
  </si>
  <si>
    <t>賭博</t>
  </si>
  <si>
    <t>刑法瀆職</t>
  </si>
  <si>
    <t>醫師法</t>
  </si>
  <si>
    <t>偽造貨幣</t>
  </si>
  <si>
    <t>動物保護法</t>
  </si>
  <si>
    <t>山坡地保育利用條例</t>
  </si>
  <si>
    <t>水土保持法</t>
  </si>
  <si>
    <t>共強性交</t>
  </si>
  <si>
    <t>毒品</t>
  </si>
  <si>
    <t>-</t>
    <phoneticPr fontId="6" type="noConversion"/>
  </si>
  <si>
    <t>藏匿人犯</t>
  </si>
  <si>
    <t>建築法</t>
  </si>
  <si>
    <t>擄人勒贖</t>
  </si>
  <si>
    <t>食品衛生管理法</t>
  </si>
  <si>
    <t>-</t>
    <phoneticPr fontId="6" type="noConversion"/>
  </si>
  <si>
    <t>緊急醫療救護法</t>
  </si>
  <si>
    <t>-</t>
    <phoneticPr fontId="6" type="noConversion"/>
  </si>
  <si>
    <t>臺灣地區與大陸地區人民關係條例</t>
  </si>
  <si>
    <t>-</t>
    <phoneticPr fontId="6" type="noConversion"/>
  </si>
  <si>
    <t>證券交易法</t>
  </si>
  <si>
    <t>證券投資信託及顧問法</t>
    <phoneticPr fontId="6" type="noConversion"/>
  </si>
  <si>
    <t>侵害墳墓屍體</t>
  </si>
  <si>
    <t>商業會計法</t>
  </si>
  <si>
    <t>勞工安全衛生法</t>
  </si>
  <si>
    <t>-</t>
    <phoneticPr fontId="6" type="noConversion"/>
  </si>
  <si>
    <t>湮滅證據</t>
  </si>
  <si>
    <t>稅捐稽徵法</t>
  </si>
  <si>
    <t>總統副總統選舉罷免法</t>
  </si>
  <si>
    <t>公平交易法</t>
  </si>
  <si>
    <t>野生動物保育法</t>
  </si>
  <si>
    <t>植物防疫檢疫法</t>
  </si>
  <si>
    <t>菸酒管理法</t>
  </si>
  <si>
    <t>墮胎</t>
  </si>
  <si>
    <t>人類免疫缺乏病毒傳染防治及感染</t>
  </si>
  <si>
    <t>自來水法</t>
  </si>
  <si>
    <t>律師法</t>
  </si>
  <si>
    <t>貪污治罪條例</t>
  </si>
  <si>
    <t>褻瀆祀典</t>
  </si>
  <si>
    <t>入出國及移民法</t>
  </si>
  <si>
    <t>公司法</t>
  </si>
  <si>
    <t>文化資產保存法</t>
  </si>
  <si>
    <t>-</t>
    <phoneticPr fontId="6" type="noConversion"/>
  </si>
  <si>
    <t>水污染防治法</t>
  </si>
  <si>
    <t>水利法</t>
  </si>
  <si>
    <t>空氣污染防治法</t>
  </si>
  <si>
    <t>消防法</t>
  </si>
  <si>
    <t>專利法</t>
  </si>
  <si>
    <t>-</t>
    <phoneticPr fontId="6" type="noConversion"/>
  </si>
  <si>
    <t>通訊保障及監察法</t>
  </si>
  <si>
    <t>-</t>
    <phoneticPr fontId="6" type="noConversion"/>
  </si>
  <si>
    <t>期貨交易法</t>
  </si>
  <si>
    <t>著作權仲介團體條例</t>
  </si>
  <si>
    <t>郵政法</t>
  </si>
  <si>
    <t>集會遊行法</t>
  </si>
  <si>
    <t>農業金融法</t>
  </si>
  <si>
    <t>農藥管理法</t>
  </si>
  <si>
    <t>農礦工商管理條例</t>
  </si>
  <si>
    <t>電子遊戲場業管理條例</t>
  </si>
  <si>
    <t>護照條例</t>
  </si>
  <si>
    <t>內亂</t>
  </si>
  <si>
    <t>公寓大廈管理條例</t>
  </si>
  <si>
    <t>外患</t>
  </si>
  <si>
    <t>平均地權條例</t>
  </si>
  <si>
    <t>民用航空法</t>
  </si>
  <si>
    <t>石油管理法</t>
  </si>
  <si>
    <t>妨害兵役治罪條例</t>
  </si>
  <si>
    <t>妨害投票</t>
  </si>
  <si>
    <t>妨害國幣懲治條例</t>
  </si>
  <si>
    <t>其他案類</t>
  </si>
  <si>
    <t>法醫師法</t>
  </si>
  <si>
    <t>保險法</t>
  </si>
  <si>
    <t>信用合作社法</t>
  </si>
  <si>
    <t>政府採購法</t>
  </si>
  <si>
    <t>毒性化學物質管理法</t>
  </si>
  <si>
    <t>要塞堡壘地帶法</t>
  </si>
  <si>
    <t>海商法</t>
  </si>
  <si>
    <t>畜牧法</t>
  </si>
  <si>
    <t>健康食品管理法</t>
  </si>
  <si>
    <t>偽造度量衡</t>
  </si>
  <si>
    <t>動物用藥品管理法</t>
  </si>
  <si>
    <t>動物傳染防治條例</t>
  </si>
  <si>
    <t>動產擔保交易法</t>
  </si>
  <si>
    <t>區域計畫法</t>
  </si>
  <si>
    <t>商品檢驗法</t>
  </si>
  <si>
    <t>商業登記法</t>
  </si>
  <si>
    <t>國家安全法</t>
  </si>
  <si>
    <t>國家機密保護法</t>
  </si>
  <si>
    <t>脫逃</t>
  </si>
  <si>
    <t>勞動基準法</t>
  </si>
  <si>
    <t>勞動檢查法</t>
  </si>
  <si>
    <t>就業服務法</t>
  </si>
  <si>
    <t>替代役實施條例</t>
  </si>
  <si>
    <t>-</t>
    <phoneticPr fontId="6" type="noConversion"/>
  </si>
  <si>
    <t>飲用水管理條例</t>
  </si>
  <si>
    <t>傳染病防治法</t>
  </si>
  <si>
    <t>農會法</t>
  </si>
  <si>
    <t>電業法</t>
  </si>
  <si>
    <t>漁業法</t>
  </si>
  <si>
    <t>精神衛生法</t>
  </si>
  <si>
    <t>墳墓設置管理條例</t>
  </si>
  <si>
    <t>環境用藥管理法</t>
  </si>
  <si>
    <t>醫事檢驗師法</t>
  </si>
  <si>
    <t>懲治走私條例</t>
  </si>
  <si>
    <t>礦業法</t>
  </si>
  <si>
    <t>鐵路法</t>
  </si>
  <si>
    <r>
      <rPr>
        <sz val="10"/>
        <color theme="1"/>
        <rFont val="細明體"/>
        <family val="3"/>
        <charset val="136"/>
      </rPr>
      <t>資料來源：</t>
    </r>
    <r>
      <rPr>
        <sz val="10"/>
        <color theme="1"/>
        <rFont val="Times New Roman"/>
        <family val="1"/>
      </rPr>
      <t xml:space="preserve">  </t>
    </r>
    <r>
      <rPr>
        <sz val="10"/>
        <color theme="1"/>
        <rFont val="細明體"/>
        <family val="3"/>
        <charset val="136"/>
      </rPr>
      <t>內政部警政署刑事警察局、內政部統計年報</t>
    </r>
    <phoneticPr fontId="6" type="noConversion"/>
  </si>
  <si>
    <r>
      <t>說　　明：1. 本表係向刑事警察局申請資料來源中</t>
    </r>
    <r>
      <rPr>
        <sz val="10"/>
        <color theme="1"/>
        <rFont val="新細明體"/>
        <family val="1"/>
        <charset val="136"/>
      </rPr>
      <t>「</t>
    </r>
    <r>
      <rPr>
        <sz val="10"/>
        <color theme="1"/>
        <rFont val="細明體"/>
        <family val="3"/>
        <charset val="136"/>
      </rPr>
      <t>其他</t>
    </r>
    <r>
      <rPr>
        <sz val="10"/>
        <color theme="1"/>
        <rFont val="新細明體"/>
        <family val="1"/>
        <charset val="136"/>
      </rPr>
      <t>」</t>
    </r>
    <r>
      <rPr>
        <sz val="10"/>
        <color theme="1"/>
        <rFont val="細明體"/>
        <family val="3"/>
        <charset val="136"/>
      </rPr>
      <t>項所含各項數據後製作而成，並以各列數據總合作為當年度犯罪被害人數總計結果。
　　　　　2. 所謂駕駛過失，係指汽、機車駕駛人因交通違規行為而涉過失致死或致傷。其後亦同。</t>
    </r>
    <phoneticPr fontId="6" type="noConversion"/>
  </si>
  <si>
    <r>
      <rPr>
        <sz val="15"/>
        <rFont val="新細明體"/>
        <family val="1"/>
        <charset val="136"/>
      </rPr>
      <t>表</t>
    </r>
    <r>
      <rPr>
        <sz val="15"/>
        <rFont val="Times New Roman"/>
        <family val="1"/>
      </rPr>
      <t>5-1-2  108</t>
    </r>
    <r>
      <rPr>
        <sz val="15"/>
        <rFont val="新細明體"/>
        <family val="1"/>
        <charset val="136"/>
      </rPr>
      <t>年刑事案件被害者人數－按性別與年齡層</t>
    </r>
    <phoneticPr fontId="6" type="noConversion"/>
  </si>
  <si>
    <r>
      <rPr>
        <sz val="12"/>
        <rFont val="新細明體"/>
        <family val="1"/>
        <charset val="136"/>
      </rPr>
      <t>單位：人、</t>
    </r>
    <r>
      <rPr>
        <sz val="12"/>
        <rFont val="Times New Roman"/>
        <family val="1"/>
      </rPr>
      <t>%</t>
    </r>
    <phoneticPr fontId="6" type="noConversion"/>
  </si>
  <si>
    <r>
      <rPr>
        <sz val="12"/>
        <rFont val="新細明體"/>
        <family val="1"/>
        <charset val="136"/>
      </rPr>
      <t>總計</t>
    </r>
    <phoneticPr fontId="6" type="noConversion"/>
  </si>
  <si>
    <r>
      <rPr>
        <sz val="12"/>
        <rFont val="新細明體"/>
        <family val="1"/>
        <charset val="136"/>
      </rPr>
      <t>兒童</t>
    </r>
    <r>
      <rPr>
        <sz val="12"/>
        <rFont val="Times New Roman"/>
        <family val="1"/>
      </rPr>
      <t>(0-11</t>
    </r>
    <r>
      <rPr>
        <sz val="12"/>
        <rFont val="新細明體"/>
        <family val="1"/>
        <charset val="136"/>
      </rPr>
      <t>歲</t>
    </r>
    <r>
      <rPr>
        <sz val="12"/>
        <rFont val="Times New Roman"/>
        <family val="1"/>
      </rPr>
      <t>)</t>
    </r>
    <phoneticPr fontId="6" type="noConversion"/>
  </si>
  <si>
    <r>
      <rPr>
        <sz val="12"/>
        <rFont val="新細明體"/>
        <family val="1"/>
        <charset val="136"/>
      </rPr>
      <t>少年</t>
    </r>
    <r>
      <rPr>
        <sz val="12"/>
        <rFont val="Times New Roman"/>
        <family val="1"/>
      </rPr>
      <t>(12-17</t>
    </r>
    <r>
      <rPr>
        <sz val="12"/>
        <rFont val="新細明體"/>
        <family val="1"/>
        <charset val="136"/>
      </rPr>
      <t>歲</t>
    </r>
    <r>
      <rPr>
        <sz val="12"/>
        <rFont val="Times New Roman"/>
        <family val="1"/>
      </rPr>
      <t>)</t>
    </r>
    <phoneticPr fontId="6" type="noConversion"/>
  </si>
  <si>
    <r>
      <rPr>
        <sz val="12"/>
        <rFont val="新細明體"/>
        <family val="1"/>
        <charset val="136"/>
      </rPr>
      <t>青年</t>
    </r>
    <r>
      <rPr>
        <sz val="12"/>
        <rFont val="Times New Roman"/>
        <family val="1"/>
      </rPr>
      <t>(18-23</t>
    </r>
    <r>
      <rPr>
        <sz val="12"/>
        <rFont val="新細明體"/>
        <family val="1"/>
        <charset val="136"/>
      </rPr>
      <t>歲</t>
    </r>
    <r>
      <rPr>
        <sz val="12"/>
        <rFont val="Times New Roman"/>
        <family val="1"/>
      </rPr>
      <t>)</t>
    </r>
    <phoneticPr fontId="6" type="noConversion"/>
  </si>
  <si>
    <r>
      <rPr>
        <sz val="12"/>
        <rFont val="新細明體"/>
        <family val="1"/>
        <charset val="136"/>
      </rPr>
      <t>男性</t>
    </r>
    <phoneticPr fontId="6" type="noConversion"/>
  </si>
  <si>
    <r>
      <rPr>
        <sz val="12"/>
        <rFont val="新細明體"/>
        <family val="1"/>
        <charset val="136"/>
      </rPr>
      <t>女性</t>
    </r>
    <phoneticPr fontId="6" type="noConversion"/>
  </si>
  <si>
    <r>
      <rPr>
        <sz val="12"/>
        <rFont val="新細明體"/>
        <family val="1"/>
        <charset val="136"/>
      </rPr>
      <t>總計</t>
    </r>
    <r>
      <rPr>
        <sz val="12"/>
        <rFont val="Times New Roman"/>
        <family val="1"/>
      </rPr>
      <t>/</t>
    </r>
    <r>
      <rPr>
        <sz val="12"/>
        <rFont val="新細明體"/>
        <family val="1"/>
        <charset val="136"/>
      </rPr>
      <t>比率</t>
    </r>
    <phoneticPr fontId="6" type="noConversion"/>
  </si>
  <si>
    <t>竊盜</t>
    <phoneticPr fontId="6" type="noConversion"/>
  </si>
  <si>
    <t>駕駛過失</t>
    <phoneticPr fontId="6" type="noConversion"/>
  </si>
  <si>
    <t>公共危險（其它）</t>
    <phoneticPr fontId="6" type="noConversion"/>
  </si>
  <si>
    <t>-</t>
    <phoneticPr fontId="6" type="noConversion"/>
  </si>
  <si>
    <t>公共危險（酒後駕駛）</t>
    <phoneticPr fontId="6" type="noConversion"/>
  </si>
  <si>
    <t>電腦處理個人資料保護法</t>
  </si>
  <si>
    <t>槍砲彈藥刀械管制條例</t>
    <phoneticPr fontId="6" type="noConversion"/>
  </si>
  <si>
    <t>證券投資信託及顧問法</t>
    <phoneticPr fontId="6" type="noConversion"/>
  </si>
  <si>
    <r>
      <t xml:space="preserve"> </t>
    </r>
    <r>
      <rPr>
        <sz val="10"/>
        <rFont val="細明體"/>
        <family val="3"/>
        <charset val="136"/>
      </rPr>
      <t>資料來源：內政部警政署刑事警察局、內政部統計年報</t>
    </r>
    <phoneticPr fontId="6" type="noConversion"/>
  </si>
  <si>
    <r>
      <t xml:space="preserve"> </t>
    </r>
    <r>
      <rPr>
        <sz val="10"/>
        <rFont val="細明體"/>
        <family val="3"/>
        <charset val="136"/>
      </rPr>
      <t>說　　明：本表係向刑事警察局申請資料來源中「其他」項所含各項數據後製作而成，並以各列數據總合作為當年度犯罪被害人數總計結果。</t>
    </r>
    <phoneticPr fontId="6" type="noConversion"/>
  </si>
  <si>
    <r>
      <rPr>
        <sz val="15"/>
        <rFont val="新細明體"/>
        <family val="1"/>
        <charset val="136"/>
      </rPr>
      <t>表</t>
    </r>
    <r>
      <rPr>
        <sz val="15"/>
        <rFont val="Times New Roman"/>
        <family val="1"/>
      </rPr>
      <t>5-1-2  108</t>
    </r>
    <r>
      <rPr>
        <sz val="15"/>
        <rFont val="新細明體"/>
        <family val="1"/>
        <charset val="136"/>
      </rPr>
      <t>年刑事案件被害者人數－按性別與年齡層</t>
    </r>
    <r>
      <rPr>
        <sz val="15"/>
        <rFont val="Times New Roman"/>
        <family val="1"/>
      </rPr>
      <t>(</t>
    </r>
    <r>
      <rPr>
        <sz val="15"/>
        <rFont val="新細明體"/>
        <family val="1"/>
        <charset val="136"/>
      </rPr>
      <t>續</t>
    </r>
    <r>
      <rPr>
        <sz val="15"/>
        <rFont val="Times New Roman"/>
        <family val="1"/>
      </rPr>
      <t>)</t>
    </r>
    <phoneticPr fontId="6" type="noConversion"/>
  </si>
  <si>
    <r>
      <rPr>
        <sz val="12"/>
        <rFont val="新細明體"/>
        <family val="1"/>
        <charset val="136"/>
      </rPr>
      <t>單位：人、</t>
    </r>
    <r>
      <rPr>
        <sz val="12"/>
        <rFont val="Times New Roman"/>
        <family val="1"/>
      </rPr>
      <t>%</t>
    </r>
    <phoneticPr fontId="6" type="noConversion"/>
  </si>
  <si>
    <r>
      <rPr>
        <sz val="12"/>
        <rFont val="新細明體"/>
        <family val="1"/>
        <charset val="136"/>
      </rPr>
      <t>成年</t>
    </r>
    <r>
      <rPr>
        <sz val="12"/>
        <rFont val="Times New Roman"/>
        <family val="1"/>
      </rPr>
      <t>(24-39</t>
    </r>
    <r>
      <rPr>
        <sz val="12"/>
        <rFont val="新細明體"/>
        <family val="1"/>
        <charset val="136"/>
      </rPr>
      <t>歲</t>
    </r>
    <r>
      <rPr>
        <sz val="12"/>
        <rFont val="Times New Roman"/>
        <family val="1"/>
      </rPr>
      <t>)</t>
    </r>
    <phoneticPr fontId="6" type="noConversion"/>
  </si>
  <si>
    <r>
      <rPr>
        <sz val="12"/>
        <rFont val="新細明體"/>
        <family val="1"/>
        <charset val="136"/>
      </rPr>
      <t>壯年</t>
    </r>
    <r>
      <rPr>
        <sz val="12"/>
        <rFont val="Times New Roman"/>
        <family val="1"/>
      </rPr>
      <t>(40-64</t>
    </r>
    <r>
      <rPr>
        <sz val="12"/>
        <rFont val="新細明體"/>
        <family val="1"/>
        <charset val="136"/>
      </rPr>
      <t>歲</t>
    </r>
    <r>
      <rPr>
        <sz val="12"/>
        <rFont val="Times New Roman"/>
        <family val="1"/>
      </rPr>
      <t>)</t>
    </r>
    <phoneticPr fontId="6" type="noConversion"/>
  </si>
  <si>
    <r>
      <rPr>
        <sz val="12"/>
        <rFont val="新細明體"/>
        <family val="1"/>
        <charset val="136"/>
      </rPr>
      <t>老年</t>
    </r>
    <r>
      <rPr>
        <sz val="12"/>
        <rFont val="Times New Roman"/>
        <family val="1"/>
      </rPr>
      <t>(65</t>
    </r>
    <r>
      <rPr>
        <sz val="12"/>
        <rFont val="新細明體"/>
        <family val="1"/>
        <charset val="136"/>
      </rPr>
      <t>歲以上</t>
    </r>
    <r>
      <rPr>
        <sz val="12"/>
        <rFont val="Times New Roman"/>
        <family val="1"/>
      </rPr>
      <t>)</t>
    </r>
    <phoneticPr fontId="6" type="noConversion"/>
  </si>
  <si>
    <r>
      <rPr>
        <sz val="12"/>
        <rFont val="新細明體"/>
        <family val="1"/>
        <charset val="136"/>
      </rPr>
      <t>不詳</t>
    </r>
    <phoneticPr fontId="6" type="noConversion"/>
  </si>
  <si>
    <r>
      <rPr>
        <sz val="12"/>
        <rFont val="新細明體"/>
        <family val="1"/>
        <charset val="136"/>
      </rPr>
      <t>總計</t>
    </r>
    <phoneticPr fontId="6" type="noConversion"/>
  </si>
  <si>
    <r>
      <rPr>
        <sz val="12"/>
        <rFont val="新細明體"/>
        <family val="1"/>
        <charset val="136"/>
      </rPr>
      <t>男性</t>
    </r>
    <phoneticPr fontId="6" type="noConversion"/>
  </si>
  <si>
    <r>
      <rPr>
        <sz val="12"/>
        <rFont val="新細明體"/>
        <family val="1"/>
        <charset val="136"/>
      </rPr>
      <t>女性</t>
    </r>
    <phoneticPr fontId="6" type="noConversion"/>
  </si>
  <si>
    <r>
      <rPr>
        <sz val="12"/>
        <rFont val="新細明體"/>
        <family val="1"/>
        <charset val="136"/>
      </rPr>
      <t>總計</t>
    </r>
    <r>
      <rPr>
        <sz val="12"/>
        <rFont val="Times New Roman"/>
        <family val="1"/>
      </rPr>
      <t>/</t>
    </r>
    <r>
      <rPr>
        <sz val="12"/>
        <rFont val="新細明體"/>
        <family val="1"/>
        <charset val="136"/>
      </rPr>
      <t>比率</t>
    </r>
    <phoneticPr fontId="6" type="noConversion"/>
  </si>
  <si>
    <t>駕駛過失</t>
    <phoneticPr fontId="6" type="noConversion"/>
  </si>
  <si>
    <t>公共危險（其它）</t>
    <phoneticPr fontId="6" type="noConversion"/>
  </si>
  <si>
    <t>公共危險（酒後駕駛）</t>
    <phoneticPr fontId="6" type="noConversion"/>
  </si>
  <si>
    <t>槍砲彈藥刀械管制條例</t>
    <phoneticPr fontId="6" type="noConversion"/>
  </si>
  <si>
    <r>
      <t xml:space="preserve"> </t>
    </r>
    <r>
      <rPr>
        <sz val="10"/>
        <rFont val="細明體"/>
        <family val="3"/>
        <charset val="136"/>
      </rPr>
      <t>資料來源：內政部警政署刑事警察局、內政部統計年報</t>
    </r>
    <phoneticPr fontId="6" type="noConversion"/>
  </si>
  <si>
    <r>
      <t xml:space="preserve"> </t>
    </r>
    <r>
      <rPr>
        <sz val="10"/>
        <rFont val="細明體"/>
        <family val="3"/>
        <charset val="136"/>
      </rPr>
      <t>說　　明：本表係向刑事警察局申請資料來源中「其他」項所含各項數據後製作而成，並以各列數據總合作為當年度犯罪被害人數總計結果。</t>
    </r>
    <phoneticPr fontId="6" type="noConversion"/>
  </si>
  <si>
    <r>
      <rPr>
        <sz val="15"/>
        <rFont val="新細明體"/>
        <family val="1"/>
        <charset val="136"/>
      </rPr>
      <t>表</t>
    </r>
    <r>
      <rPr>
        <sz val="15"/>
        <rFont val="Times New Roman"/>
        <family val="1"/>
      </rPr>
      <t>5-1-3</t>
    </r>
    <r>
      <rPr>
        <sz val="15"/>
        <rFont val="新細明體"/>
        <family val="1"/>
        <charset val="136"/>
      </rPr>
      <t>　近</t>
    </r>
    <r>
      <rPr>
        <sz val="15"/>
        <rFont val="Times New Roman"/>
        <family val="1"/>
      </rPr>
      <t>10</t>
    </r>
    <r>
      <rPr>
        <sz val="15"/>
        <rFont val="新細明體"/>
        <family val="1"/>
        <charset val="136"/>
      </rPr>
      <t>年家庭暴力事件被害人性別、案件類型</t>
    </r>
    <phoneticPr fontId="44" type="noConversion"/>
  </si>
  <si>
    <r>
      <rPr>
        <sz val="11"/>
        <rFont val="新細明體"/>
        <family val="1"/>
        <charset val="136"/>
      </rPr>
      <t>單位：人</t>
    </r>
    <phoneticPr fontId="44" type="noConversion"/>
  </si>
  <si>
    <r>
      <rPr>
        <sz val="11"/>
        <rFont val="新細明體"/>
        <family val="1"/>
        <charset val="136"/>
      </rPr>
      <t>婚姻</t>
    </r>
    <r>
      <rPr>
        <sz val="11"/>
        <rFont val="Times New Roman"/>
        <family val="1"/>
      </rPr>
      <t>/</t>
    </r>
    <r>
      <rPr>
        <sz val="11"/>
        <rFont val="新細明體"/>
        <family val="1"/>
        <charset val="136"/>
      </rPr>
      <t>離婚</t>
    </r>
    <r>
      <rPr>
        <sz val="11"/>
        <rFont val="Times New Roman"/>
        <family val="1"/>
      </rPr>
      <t>/</t>
    </r>
    <r>
      <rPr>
        <sz val="11"/>
        <rFont val="新細明體"/>
        <family val="1"/>
        <charset val="136"/>
      </rPr>
      <t>同居關係暴力</t>
    </r>
  </si>
  <si>
    <r>
      <rPr>
        <sz val="11"/>
        <rFont val="新細明體"/>
        <family val="1"/>
        <charset val="136"/>
      </rPr>
      <t>兒少保護</t>
    </r>
  </si>
  <si>
    <r>
      <rPr>
        <sz val="11"/>
        <rFont val="新細明體"/>
        <family val="1"/>
        <charset val="136"/>
      </rPr>
      <t>老人虐待</t>
    </r>
  </si>
  <si>
    <r>
      <rPr>
        <sz val="11"/>
        <rFont val="新細明體"/>
        <family val="1"/>
        <charset val="136"/>
      </rPr>
      <t>其他</t>
    </r>
    <phoneticPr fontId="6" type="noConversion"/>
  </si>
  <si>
    <t>合計</t>
    <phoneticPr fontId="6" type="noConversion"/>
  </si>
  <si>
    <r>
      <rPr>
        <sz val="11"/>
        <rFont val="新細明體"/>
        <family val="1"/>
        <charset val="136"/>
      </rPr>
      <t>其他</t>
    </r>
    <r>
      <rPr>
        <sz val="11"/>
        <rFont val="Times New Roman"/>
        <family val="1"/>
      </rPr>
      <t>/</t>
    </r>
    <r>
      <rPr>
        <sz val="11"/>
        <rFont val="新細明體"/>
        <family val="1"/>
        <charset val="136"/>
      </rPr>
      <t>不詳</t>
    </r>
    <phoneticPr fontId="6" type="noConversion"/>
  </si>
  <si>
    <t>合計</t>
    <phoneticPr fontId="6" type="noConversion"/>
  </si>
  <si>
    <t>合計</t>
    <phoneticPr fontId="6" type="noConversion"/>
  </si>
  <si>
    <r>
      <rPr>
        <sz val="11"/>
        <rFont val="新細明體"/>
        <family val="1"/>
        <charset val="136"/>
      </rPr>
      <t>其他</t>
    </r>
    <r>
      <rPr>
        <sz val="11"/>
        <rFont val="Times New Roman"/>
        <family val="1"/>
      </rPr>
      <t>/</t>
    </r>
    <r>
      <rPr>
        <sz val="11"/>
        <rFont val="新細明體"/>
        <family val="1"/>
        <charset val="136"/>
      </rPr>
      <t>不詳</t>
    </r>
    <phoneticPr fontId="6" type="noConversion"/>
  </si>
  <si>
    <r>
      <t>102</t>
    </r>
    <r>
      <rPr>
        <sz val="11"/>
        <rFont val="新細明體"/>
        <family val="1"/>
        <charset val="136"/>
      </rPr>
      <t>年</t>
    </r>
  </si>
  <si>
    <r>
      <t>103</t>
    </r>
    <r>
      <rPr>
        <sz val="11"/>
        <rFont val="新細明體"/>
        <family val="1"/>
        <charset val="136"/>
      </rPr>
      <t>年</t>
    </r>
    <phoneticPr fontId="44" type="noConversion"/>
  </si>
  <si>
    <r>
      <t>104</t>
    </r>
    <r>
      <rPr>
        <sz val="11"/>
        <rFont val="新細明體"/>
        <family val="1"/>
        <charset val="136"/>
      </rPr>
      <t>年</t>
    </r>
    <phoneticPr fontId="6" type="noConversion"/>
  </si>
  <si>
    <r>
      <t>105</t>
    </r>
    <r>
      <rPr>
        <sz val="11"/>
        <rFont val="新細明體"/>
        <family val="1"/>
        <charset val="136"/>
      </rPr>
      <t>年</t>
    </r>
    <phoneticPr fontId="6" type="noConversion"/>
  </si>
  <si>
    <r>
      <t>106</t>
    </r>
    <r>
      <rPr>
        <sz val="11"/>
        <rFont val="新細明體"/>
        <family val="1"/>
        <charset val="136"/>
      </rPr>
      <t>年</t>
    </r>
    <phoneticPr fontId="6" type="noConversion"/>
  </si>
  <si>
    <r>
      <t>107</t>
    </r>
    <r>
      <rPr>
        <sz val="11"/>
        <rFont val="新細明體"/>
        <family val="1"/>
        <charset val="136"/>
      </rPr>
      <t>年</t>
    </r>
    <r>
      <rPr>
        <sz val="11"/>
        <color indexed="8"/>
        <rFont val="標楷體"/>
        <family val="4"/>
        <charset val="136"/>
      </rPr>
      <t/>
    </r>
  </si>
  <si>
    <r>
      <t>108</t>
    </r>
    <r>
      <rPr>
        <sz val="11"/>
        <rFont val="新細明體"/>
        <family val="1"/>
        <charset val="136"/>
      </rPr>
      <t>年</t>
    </r>
    <r>
      <rPr>
        <sz val="11"/>
        <color indexed="8"/>
        <rFont val="標楷體"/>
        <family val="4"/>
        <charset val="136"/>
      </rPr>
      <t/>
    </r>
  </si>
  <si>
    <t>-</t>
    <phoneticPr fontId="6" type="noConversion"/>
  </si>
  <si>
    <r>
      <rPr>
        <sz val="11"/>
        <rFont val="新細明體"/>
        <family val="1"/>
        <charset val="136"/>
      </rPr>
      <t>資料來源：衛生福利部保護服務司</t>
    </r>
    <phoneticPr fontId="44" type="noConversion"/>
  </si>
  <si>
    <r>
      <rPr>
        <sz val="11"/>
        <rFont val="新細明體"/>
        <family val="1"/>
        <charset val="136"/>
      </rPr>
      <t xml:space="preserve">說　　明：
</t>
    </r>
    <r>
      <rPr>
        <sz val="11"/>
        <rFont val="Times New Roman"/>
        <family val="1"/>
      </rPr>
      <t xml:space="preserve">1. </t>
    </r>
    <r>
      <rPr>
        <sz val="11"/>
        <rFont val="新細明體"/>
        <family val="1"/>
        <charset val="136"/>
      </rPr>
      <t>該年度之內之曾受暴人數，同一人在同一年度中，不論通報多少次，均只計</t>
    </r>
    <r>
      <rPr>
        <sz val="11"/>
        <rFont val="Times New Roman"/>
        <family val="1"/>
      </rPr>
      <t>1</t>
    </r>
    <r>
      <rPr>
        <sz val="11"/>
        <rFont val="新細明體"/>
        <family val="1"/>
        <charset val="136"/>
      </rPr>
      <t xml:space="preserve">人。
</t>
    </r>
    <r>
      <rPr>
        <sz val="11"/>
        <rFont val="Times New Roman"/>
        <family val="1"/>
      </rPr>
      <t xml:space="preserve">2. </t>
    </r>
    <r>
      <rPr>
        <sz val="11"/>
        <rFont val="新細明體"/>
        <family val="1"/>
        <charset val="136"/>
      </rPr>
      <t>案件類型之「其他」</t>
    </r>
    <r>
      <rPr>
        <sz val="11"/>
        <rFont val="Times New Roman"/>
        <family val="1"/>
      </rPr>
      <t>:</t>
    </r>
    <r>
      <rPr>
        <sz val="11"/>
        <rFont val="新細明體"/>
        <family val="1"/>
        <charset val="136"/>
      </rPr>
      <t>係指其他家庭成員間暴力、直系血</t>
    </r>
    <r>
      <rPr>
        <sz val="11"/>
        <rFont val="Times New Roman"/>
        <family val="1"/>
      </rPr>
      <t>(</t>
    </r>
    <r>
      <rPr>
        <sz val="11"/>
        <rFont val="新細明體"/>
        <family val="1"/>
        <charset val="136"/>
      </rPr>
      <t>姻</t>
    </r>
    <r>
      <rPr>
        <sz val="11"/>
        <rFont val="Times New Roman"/>
        <family val="1"/>
      </rPr>
      <t>)</t>
    </r>
    <r>
      <rPr>
        <sz val="11"/>
        <rFont val="新細明體"/>
        <family val="1"/>
        <charset val="136"/>
      </rPr>
      <t>親卑親屬虐待尊親屬（被害人年齡未滿</t>
    </r>
    <r>
      <rPr>
        <sz val="11"/>
        <rFont val="Times New Roman"/>
        <family val="1"/>
      </rPr>
      <t>65</t>
    </r>
    <r>
      <rPr>
        <sz val="11"/>
        <rFont val="新細明體"/>
        <family val="1"/>
        <charset val="136"/>
      </rPr>
      <t>歲）兩類案件類型之加總。</t>
    </r>
    <phoneticPr fontId="44" type="noConversion"/>
  </si>
  <si>
    <r>
      <rPr>
        <sz val="15"/>
        <rFont val="新細明體"/>
        <family val="1"/>
        <charset val="136"/>
      </rPr>
      <t>表</t>
    </r>
    <r>
      <rPr>
        <sz val="15"/>
        <rFont val="Times New Roman"/>
        <family val="1"/>
      </rPr>
      <t xml:space="preserve">5-2-1   </t>
    </r>
    <r>
      <rPr>
        <sz val="15"/>
        <rFont val="新細明體"/>
        <family val="1"/>
        <charset val="136"/>
      </rPr>
      <t>近</t>
    </r>
    <r>
      <rPr>
        <sz val="15"/>
        <rFont val="Times New Roman"/>
        <family val="1"/>
      </rPr>
      <t>10</t>
    </r>
    <r>
      <rPr>
        <sz val="15"/>
        <rFont val="新細明體"/>
        <family val="1"/>
        <charset val="136"/>
      </rPr>
      <t>年財團法人犯罪被害人保護協會被害人保護服務情形</t>
    </r>
    <phoneticPr fontId="44" type="noConversion"/>
  </si>
  <si>
    <r>
      <rPr>
        <sz val="12"/>
        <rFont val="新細明體"/>
        <family val="1"/>
        <charset val="136"/>
      </rPr>
      <t>項</t>
    </r>
    <r>
      <rPr>
        <sz val="12"/>
        <rFont val="Times New Roman"/>
        <family val="1"/>
      </rPr>
      <t xml:space="preserve">  </t>
    </r>
    <r>
      <rPr>
        <sz val="12"/>
        <rFont val="新細明體"/>
        <family val="1"/>
        <charset val="136"/>
      </rPr>
      <t>目</t>
    </r>
    <r>
      <rPr>
        <sz val="12"/>
        <rFont val="Times New Roman"/>
        <family val="1"/>
      </rPr>
      <t xml:space="preserve">  </t>
    </r>
    <r>
      <rPr>
        <sz val="12"/>
        <rFont val="新細明體"/>
        <family val="1"/>
        <charset val="136"/>
      </rPr>
      <t>別</t>
    </r>
  </si>
  <si>
    <r>
      <t>103</t>
    </r>
    <r>
      <rPr>
        <sz val="12"/>
        <rFont val="新細明體"/>
        <family val="1"/>
        <charset val="136"/>
      </rPr>
      <t>年</t>
    </r>
    <phoneticPr fontId="44" type="noConversion"/>
  </si>
  <si>
    <r>
      <t>108</t>
    </r>
    <r>
      <rPr>
        <sz val="12"/>
        <color theme="1"/>
        <rFont val="細明體"/>
        <family val="3"/>
        <charset val="136"/>
      </rPr>
      <t>年</t>
    </r>
    <phoneticPr fontId="6" type="noConversion"/>
  </si>
  <si>
    <r>
      <rPr>
        <sz val="12"/>
        <rFont val="新細明體"/>
        <family val="1"/>
        <charset val="136"/>
      </rPr>
      <t>保護案件來源</t>
    </r>
    <r>
      <rPr>
        <sz val="12"/>
        <rFont val="Times New Roman"/>
        <family val="1"/>
      </rPr>
      <t>(</t>
    </r>
    <r>
      <rPr>
        <sz val="12"/>
        <rFont val="新細明體"/>
        <family val="1"/>
        <charset val="136"/>
      </rPr>
      <t>件</t>
    </r>
    <r>
      <rPr>
        <sz val="12"/>
        <rFont val="Times New Roman"/>
        <family val="1"/>
      </rPr>
      <t>)</t>
    </r>
    <phoneticPr fontId="6" type="noConversion"/>
  </si>
  <si>
    <r>
      <rPr>
        <sz val="12"/>
        <rFont val="新細明體"/>
        <family val="1"/>
        <charset val="136"/>
      </rPr>
      <t>自請保護</t>
    </r>
  </si>
  <si>
    <r>
      <rPr>
        <sz val="12"/>
        <rFont val="新細明體"/>
        <family val="1"/>
        <charset val="136"/>
      </rPr>
      <t>通知保護</t>
    </r>
  </si>
  <si>
    <r>
      <rPr>
        <sz val="12"/>
        <rFont val="新細明體"/>
        <family val="1"/>
        <charset val="136"/>
      </rPr>
      <t>查訪保護</t>
    </r>
  </si>
  <si>
    <r>
      <rPr>
        <sz val="12"/>
        <rFont val="新細明體"/>
        <family val="1"/>
        <charset val="136"/>
      </rPr>
      <t>保護服務對象</t>
    </r>
    <r>
      <rPr>
        <sz val="12"/>
        <rFont val="Times New Roman"/>
        <family val="1"/>
      </rPr>
      <t>(</t>
    </r>
    <r>
      <rPr>
        <sz val="12"/>
        <rFont val="新細明體"/>
        <family val="1"/>
        <charset val="136"/>
      </rPr>
      <t>人</t>
    </r>
    <r>
      <rPr>
        <sz val="12"/>
        <rFont val="Times New Roman"/>
        <family val="1"/>
      </rPr>
      <t>)</t>
    </r>
    <phoneticPr fontId="6" type="noConversion"/>
  </si>
  <si>
    <r>
      <rPr>
        <sz val="12"/>
        <rFont val="新細明體"/>
        <family val="1"/>
        <charset val="136"/>
      </rPr>
      <t>被害人</t>
    </r>
  </si>
  <si>
    <r>
      <rPr>
        <sz val="12"/>
        <rFont val="新細明體"/>
        <family val="1"/>
        <charset val="136"/>
      </rPr>
      <t>家屬及遺屬</t>
    </r>
    <phoneticPr fontId="44" type="noConversion"/>
  </si>
  <si>
    <r>
      <rPr>
        <sz val="12"/>
        <rFont val="新細明體"/>
        <family val="1"/>
        <charset val="136"/>
      </rPr>
      <t>保護案件類型</t>
    </r>
    <r>
      <rPr>
        <sz val="12"/>
        <rFont val="Times New Roman"/>
        <family val="1"/>
      </rPr>
      <t>(</t>
    </r>
    <r>
      <rPr>
        <sz val="12"/>
        <rFont val="新細明體"/>
        <family val="1"/>
        <charset val="136"/>
      </rPr>
      <t>件</t>
    </r>
    <r>
      <rPr>
        <sz val="12"/>
        <rFont val="Times New Roman"/>
        <family val="1"/>
      </rPr>
      <t>)</t>
    </r>
    <phoneticPr fontId="6" type="noConversion"/>
  </si>
  <si>
    <r>
      <rPr>
        <sz val="12"/>
        <rFont val="新細明體"/>
        <family val="1"/>
        <charset val="136"/>
      </rPr>
      <t>死亡</t>
    </r>
    <phoneticPr fontId="44" type="noConversion"/>
  </si>
  <si>
    <r>
      <rPr>
        <sz val="12"/>
        <rFont val="新細明體"/>
        <family val="1"/>
        <charset val="136"/>
      </rPr>
      <t>重傷害</t>
    </r>
    <phoneticPr fontId="44" type="noConversion"/>
  </si>
  <si>
    <r>
      <rPr>
        <sz val="12"/>
        <rFont val="新細明體"/>
        <family val="1"/>
        <charset val="136"/>
      </rPr>
      <t>性侵害</t>
    </r>
    <phoneticPr fontId="44" type="noConversion"/>
  </si>
  <si>
    <r>
      <rPr>
        <sz val="12"/>
        <rFont val="新細明體"/>
        <family val="1"/>
        <charset val="136"/>
      </rPr>
      <t>家庭暴力</t>
    </r>
    <phoneticPr fontId="44" type="noConversion"/>
  </si>
  <si>
    <r>
      <rPr>
        <sz val="12"/>
        <rFont val="新細明體"/>
        <family val="1"/>
        <charset val="136"/>
      </rPr>
      <t>其他</t>
    </r>
    <phoneticPr fontId="44" type="noConversion"/>
  </si>
  <si>
    <r>
      <rPr>
        <sz val="12"/>
        <rFont val="新細明體"/>
        <family val="1"/>
        <charset val="136"/>
      </rPr>
      <t>保護協助項目</t>
    </r>
    <r>
      <rPr>
        <sz val="12"/>
        <rFont val="Times New Roman"/>
        <family val="1"/>
      </rPr>
      <t>(</t>
    </r>
    <r>
      <rPr>
        <sz val="12"/>
        <rFont val="新細明體"/>
        <family val="1"/>
        <charset val="136"/>
      </rPr>
      <t>人次</t>
    </r>
    <r>
      <rPr>
        <sz val="12"/>
        <rFont val="Times New Roman"/>
        <family val="1"/>
      </rPr>
      <t>)</t>
    </r>
  </si>
  <si>
    <t>法律訴訟補償服務</t>
    <phoneticPr fontId="6" type="noConversion"/>
  </si>
  <si>
    <t>法律協助</t>
    <phoneticPr fontId="44" type="noConversion"/>
  </si>
  <si>
    <t>申請補償</t>
    <phoneticPr fontId="44" type="noConversion"/>
  </si>
  <si>
    <t>-</t>
    <phoneticPr fontId="6" type="noConversion"/>
  </si>
  <si>
    <t>-</t>
    <phoneticPr fontId="6" type="noConversion"/>
  </si>
  <si>
    <t>急難救助保護服務</t>
    <phoneticPr fontId="6" type="noConversion"/>
  </si>
  <si>
    <t>急難救助</t>
    <phoneticPr fontId="44" type="noConversion"/>
  </si>
  <si>
    <t>970</t>
  </si>
  <si>
    <t>人身保護</t>
    <phoneticPr fontId="44" type="noConversion"/>
  </si>
  <si>
    <t>230</t>
  </si>
  <si>
    <t>169</t>
  </si>
  <si>
    <t>49</t>
  </si>
  <si>
    <t>家庭關懷重建服務</t>
  </si>
  <si>
    <t>關懷服務</t>
    <phoneticPr fontId="44" type="noConversion"/>
  </si>
  <si>
    <t>家庭支持</t>
    <phoneticPr fontId="44" type="noConversion"/>
  </si>
  <si>
    <t>勞動促進</t>
    <phoneticPr fontId="44" type="noConversion"/>
  </si>
  <si>
    <t>助學服務</t>
    <phoneticPr fontId="44" type="noConversion"/>
  </si>
  <si>
    <t>身心照護輔導服務</t>
  </si>
  <si>
    <t>醫護服務</t>
    <phoneticPr fontId="44" type="noConversion"/>
  </si>
  <si>
    <t>302</t>
  </si>
  <si>
    <t>320</t>
  </si>
  <si>
    <t>307</t>
  </si>
  <si>
    <t>諮商輔導</t>
    <phoneticPr fontId="44" type="noConversion"/>
  </si>
  <si>
    <t>(108年新增) 需求評估</t>
    <phoneticPr fontId="44" type="noConversion"/>
  </si>
  <si>
    <t>(108年前分類) 訪視慰問</t>
    <phoneticPr fontId="44" type="noConversion"/>
  </si>
  <si>
    <t>(108年前分類) 查詢諮商</t>
    <phoneticPr fontId="44" type="noConversion"/>
  </si>
  <si>
    <t>(108年前分類) 其他服務</t>
    <phoneticPr fontId="44" type="noConversion"/>
  </si>
  <si>
    <r>
      <rPr>
        <sz val="10"/>
        <rFont val="新細明體"/>
        <family val="1"/>
        <charset val="136"/>
      </rPr>
      <t>資料來源：犯罪被害人保護協會</t>
    </r>
    <phoneticPr fontId="44" type="noConversion"/>
  </si>
  <si>
    <r>
      <t xml:space="preserve"> </t>
    </r>
    <r>
      <rPr>
        <sz val="10"/>
        <rFont val="新細明體"/>
        <family val="1"/>
        <charset val="136"/>
      </rPr>
      <t>說　　明：</t>
    </r>
    <r>
      <rPr>
        <sz val="10"/>
        <rFont val="Times New Roman"/>
        <family val="1"/>
      </rPr>
      <t xml:space="preserve">1. </t>
    </r>
    <r>
      <rPr>
        <sz val="10"/>
        <rFont val="新細明體"/>
        <family val="1"/>
        <charset val="136"/>
      </rPr>
      <t>「申請補償」原併於「法律協助」項目，</t>
    </r>
    <r>
      <rPr>
        <sz val="10"/>
        <rFont val="Times New Roman"/>
        <family val="1"/>
      </rPr>
      <t>108</t>
    </r>
    <r>
      <rPr>
        <sz val="10"/>
        <rFont val="新細明體"/>
        <family val="1"/>
        <charset val="136"/>
      </rPr>
      <t>年度起單獨列計。
　　　　　</t>
    </r>
    <r>
      <rPr>
        <sz val="10"/>
        <rFont val="Times New Roman"/>
        <family val="1"/>
      </rPr>
      <t xml:space="preserve"> 2. </t>
    </r>
    <r>
      <rPr>
        <sz val="10"/>
        <rFont val="新細明體"/>
        <family val="1"/>
        <charset val="136"/>
      </rPr>
      <t>「醫療服務」更名為「醫護服務」，包含醫療及照護。
　　　　　</t>
    </r>
    <r>
      <rPr>
        <sz val="10"/>
        <rFont val="Times New Roman"/>
        <family val="1"/>
      </rPr>
      <t xml:space="preserve"> 3. </t>
    </r>
    <r>
      <rPr>
        <sz val="10"/>
        <rFont val="新細明體"/>
        <family val="1"/>
        <charset val="136"/>
      </rPr>
      <t>「緊急資助」更名為「急難救助」，包含緊急資助及殯葬協助。
　　　　　</t>
    </r>
    <r>
      <rPr>
        <sz val="10"/>
        <rFont val="Times New Roman"/>
        <family val="1"/>
      </rPr>
      <t xml:space="preserve"> 4. </t>
    </r>
    <r>
      <rPr>
        <sz val="10"/>
        <rFont val="新細明體"/>
        <family val="1"/>
        <charset val="136"/>
      </rPr>
      <t>「心理輔導」更名為「諮商輔導」，包含諮商治療及心理輔導。
　　　　　</t>
    </r>
    <r>
      <rPr>
        <sz val="10"/>
        <rFont val="Times New Roman"/>
        <family val="1"/>
      </rPr>
      <t xml:space="preserve"> 5. </t>
    </r>
    <r>
      <rPr>
        <sz val="10"/>
        <rFont val="新細明體"/>
        <family val="1"/>
        <charset val="136"/>
      </rPr>
      <t>「安置收容」為「人身保護」之範圍，改列「人身保護」項下，包含安全保護及居住安置。
　　　　　</t>
    </r>
    <r>
      <rPr>
        <sz val="10"/>
        <rFont val="Times New Roman"/>
        <family val="1"/>
      </rPr>
      <t xml:space="preserve"> 6. </t>
    </r>
    <r>
      <rPr>
        <sz val="10"/>
        <rFont val="新細明體"/>
        <family val="1"/>
        <charset val="136"/>
      </rPr>
      <t>「訪視慰問」的訪視部分，改列「需求評估」；慰問部分更名為「關懷慰問」（關懷服務之一部）。
　　　　　</t>
    </r>
    <r>
      <rPr>
        <sz val="10"/>
        <rFont val="Times New Roman"/>
        <family val="1"/>
      </rPr>
      <t xml:space="preserve"> 7. </t>
    </r>
    <r>
      <rPr>
        <sz val="10"/>
        <rFont val="新細明體"/>
        <family val="1"/>
        <charset val="136"/>
      </rPr>
      <t>「查詢諮商」及「其他服務」依內容屬性列入各項目內。</t>
    </r>
    <phoneticPr fontId="44" type="noConversion"/>
  </si>
  <si>
    <r>
      <rPr>
        <sz val="15"/>
        <rFont val="新細明體"/>
        <family val="1"/>
        <charset val="136"/>
      </rPr>
      <t>表</t>
    </r>
    <r>
      <rPr>
        <sz val="15"/>
        <rFont val="Times New Roman"/>
        <family val="1"/>
      </rPr>
      <t>5-3-1</t>
    </r>
    <r>
      <rPr>
        <sz val="15"/>
        <rFont val="新細明體"/>
        <family val="1"/>
        <charset val="136"/>
      </rPr>
      <t>　近</t>
    </r>
    <r>
      <rPr>
        <sz val="15"/>
        <rFont val="Times New Roman"/>
        <family val="1"/>
      </rPr>
      <t>10</t>
    </r>
    <r>
      <rPr>
        <sz val="15"/>
        <rFont val="新細明體"/>
        <family val="1"/>
        <charset val="136"/>
      </rPr>
      <t>年地方檢察署犯罪被害補償事件收結情形</t>
    </r>
    <phoneticPr fontId="44" type="noConversion"/>
  </si>
  <si>
    <r>
      <rPr>
        <sz val="12"/>
        <rFont val="新細明體"/>
        <family val="1"/>
        <charset val="136"/>
      </rPr>
      <t>單位：件</t>
    </r>
    <phoneticPr fontId="44" type="noConversion"/>
  </si>
  <si>
    <r>
      <rPr>
        <sz val="12"/>
        <rFont val="新細明體"/>
        <family val="1"/>
        <charset val="136"/>
      </rPr>
      <t>新收案件</t>
    </r>
    <phoneticPr fontId="44" type="noConversion"/>
  </si>
  <si>
    <r>
      <rPr>
        <sz val="12"/>
        <rFont val="新細明體"/>
        <family val="1"/>
        <charset val="136"/>
      </rPr>
      <t>　　</t>
    </r>
    <r>
      <rPr>
        <sz val="12"/>
        <rFont val="Times New Roman"/>
        <family val="1"/>
      </rPr>
      <t xml:space="preserve"> </t>
    </r>
    <r>
      <rPr>
        <sz val="12"/>
        <rFont val="新細明體"/>
        <family val="1"/>
        <charset val="136"/>
      </rPr>
      <t>申請犯罪被害補償金事件</t>
    </r>
    <phoneticPr fontId="44" type="noConversion"/>
  </si>
  <si>
    <r>
      <rPr>
        <sz val="12"/>
        <rFont val="新細明體"/>
        <family val="1"/>
        <charset val="136"/>
      </rPr>
      <t>　　</t>
    </r>
    <r>
      <rPr>
        <sz val="12"/>
        <rFont val="Times New Roman"/>
        <family val="1"/>
      </rPr>
      <t xml:space="preserve"> </t>
    </r>
    <r>
      <rPr>
        <sz val="12"/>
        <rFont val="新細明體"/>
        <family val="1"/>
        <charset val="136"/>
      </rPr>
      <t>暫時補償金事件</t>
    </r>
    <phoneticPr fontId="44" type="noConversion"/>
  </si>
  <si>
    <r>
      <rPr>
        <sz val="12"/>
        <rFont val="新細明體"/>
        <family val="1"/>
        <charset val="136"/>
      </rPr>
      <t>　　</t>
    </r>
    <r>
      <rPr>
        <sz val="12"/>
        <rFont val="Times New Roman"/>
        <family val="1"/>
      </rPr>
      <t xml:space="preserve"> </t>
    </r>
    <r>
      <rPr>
        <sz val="12"/>
        <rFont val="新細明體"/>
        <family val="1"/>
        <charset val="136"/>
      </rPr>
      <t>返還補償金事件</t>
    </r>
    <phoneticPr fontId="44" type="noConversion"/>
  </si>
  <si>
    <r>
      <rPr>
        <sz val="12"/>
        <rFont val="新細明體"/>
        <family val="1"/>
        <charset val="136"/>
      </rPr>
      <t>　　</t>
    </r>
    <r>
      <rPr>
        <sz val="12"/>
        <rFont val="Times New Roman"/>
        <family val="1"/>
      </rPr>
      <t xml:space="preserve"> </t>
    </r>
    <r>
      <rPr>
        <sz val="12"/>
        <rFont val="新細明體"/>
        <family val="1"/>
        <charset val="136"/>
      </rPr>
      <t>檢察官行使求償權事件</t>
    </r>
    <phoneticPr fontId="44" type="noConversion"/>
  </si>
  <si>
    <r>
      <rPr>
        <sz val="12"/>
        <rFont val="新細明體"/>
        <family val="1"/>
        <charset val="136"/>
      </rPr>
      <t>終結案件</t>
    </r>
    <phoneticPr fontId="44" type="noConversion"/>
  </si>
  <si>
    <r>
      <rPr>
        <sz val="12"/>
        <rFont val="新細明體"/>
        <family val="1"/>
        <charset val="136"/>
      </rPr>
      <t>　　</t>
    </r>
    <r>
      <rPr>
        <sz val="12"/>
        <rFont val="Times New Roman"/>
        <family val="1"/>
      </rPr>
      <t xml:space="preserve"> </t>
    </r>
    <r>
      <rPr>
        <sz val="12"/>
        <rFont val="新細明體"/>
        <family val="1"/>
        <charset val="136"/>
      </rPr>
      <t>申請犯罪被害補償金事件</t>
    </r>
    <phoneticPr fontId="44" type="noConversion"/>
  </si>
  <si>
    <r>
      <rPr>
        <sz val="12"/>
        <rFont val="新細明體"/>
        <family val="1"/>
        <charset val="136"/>
      </rPr>
      <t>　　　　</t>
    </r>
    <r>
      <rPr>
        <sz val="12"/>
        <rFont val="Times New Roman"/>
        <family val="1"/>
      </rPr>
      <t xml:space="preserve"> </t>
    </r>
    <r>
      <rPr>
        <sz val="12"/>
        <rFont val="新細明體"/>
        <family val="1"/>
        <charset val="136"/>
      </rPr>
      <t>決定補償</t>
    </r>
    <phoneticPr fontId="44" type="noConversion"/>
  </si>
  <si>
    <r>
      <rPr>
        <sz val="12"/>
        <rFont val="新細明體"/>
        <family val="1"/>
        <charset val="136"/>
      </rPr>
      <t>　　　　</t>
    </r>
    <r>
      <rPr>
        <sz val="12"/>
        <rFont val="Times New Roman"/>
        <family val="1"/>
      </rPr>
      <t xml:space="preserve"> </t>
    </r>
    <r>
      <rPr>
        <sz val="12"/>
        <rFont val="新細明體"/>
        <family val="1"/>
        <charset val="136"/>
      </rPr>
      <t>駁　　回</t>
    </r>
    <phoneticPr fontId="44" type="noConversion"/>
  </si>
  <si>
    <r>
      <rPr>
        <sz val="12"/>
        <rFont val="新細明體"/>
        <family val="1"/>
        <charset val="136"/>
      </rPr>
      <t>　　　　</t>
    </r>
    <r>
      <rPr>
        <sz val="12"/>
        <rFont val="Times New Roman"/>
        <family val="1"/>
      </rPr>
      <t xml:space="preserve"> </t>
    </r>
    <r>
      <rPr>
        <sz val="12"/>
        <rFont val="新細明體"/>
        <family val="1"/>
        <charset val="136"/>
      </rPr>
      <t>撤　　回</t>
    </r>
    <phoneticPr fontId="44" type="noConversion"/>
  </si>
  <si>
    <r>
      <rPr>
        <sz val="12"/>
        <rFont val="新細明體"/>
        <family val="1"/>
        <charset val="136"/>
      </rPr>
      <t>　　　　</t>
    </r>
    <r>
      <rPr>
        <sz val="12"/>
        <rFont val="Times New Roman"/>
        <family val="1"/>
      </rPr>
      <t xml:space="preserve"> </t>
    </r>
    <r>
      <rPr>
        <sz val="12"/>
        <rFont val="新細明體"/>
        <family val="1"/>
        <charset val="136"/>
      </rPr>
      <t>其　　他</t>
    </r>
    <phoneticPr fontId="44" type="noConversion"/>
  </si>
  <si>
    <r>
      <rPr>
        <sz val="12"/>
        <rFont val="新細明體"/>
        <family val="1"/>
        <charset val="136"/>
      </rPr>
      <t>　　</t>
    </r>
    <r>
      <rPr>
        <sz val="12"/>
        <rFont val="Times New Roman"/>
        <family val="1"/>
      </rPr>
      <t xml:space="preserve"> </t>
    </r>
    <r>
      <rPr>
        <sz val="12"/>
        <rFont val="新細明體"/>
        <family val="1"/>
        <charset val="136"/>
      </rPr>
      <t>暫時補償金事件</t>
    </r>
    <phoneticPr fontId="44" type="noConversion"/>
  </si>
  <si>
    <r>
      <rPr>
        <sz val="12"/>
        <rFont val="新細明體"/>
        <family val="1"/>
        <charset val="136"/>
      </rPr>
      <t>　　　　</t>
    </r>
    <r>
      <rPr>
        <sz val="12"/>
        <rFont val="Times New Roman"/>
        <family val="1"/>
      </rPr>
      <t xml:space="preserve"> </t>
    </r>
    <r>
      <rPr>
        <sz val="12"/>
        <rFont val="新細明體"/>
        <family val="1"/>
        <charset val="136"/>
      </rPr>
      <t>決定補償</t>
    </r>
    <phoneticPr fontId="44" type="noConversion"/>
  </si>
  <si>
    <r>
      <rPr>
        <sz val="12"/>
        <rFont val="新細明體"/>
        <family val="1"/>
        <charset val="136"/>
      </rPr>
      <t>　　　　</t>
    </r>
    <r>
      <rPr>
        <sz val="12"/>
        <rFont val="Times New Roman"/>
        <family val="1"/>
      </rPr>
      <t xml:space="preserve"> </t>
    </r>
    <r>
      <rPr>
        <sz val="12"/>
        <rFont val="新細明體"/>
        <family val="1"/>
        <charset val="136"/>
      </rPr>
      <t>其　　他</t>
    </r>
    <phoneticPr fontId="44" type="noConversion"/>
  </si>
  <si>
    <r>
      <rPr>
        <sz val="12"/>
        <rFont val="新細明體"/>
        <family val="1"/>
        <charset val="136"/>
      </rPr>
      <t>　　</t>
    </r>
    <r>
      <rPr>
        <sz val="12"/>
        <rFont val="Times New Roman"/>
        <family val="1"/>
      </rPr>
      <t xml:space="preserve"> </t>
    </r>
    <r>
      <rPr>
        <sz val="12"/>
        <rFont val="新細明體"/>
        <family val="1"/>
        <charset val="136"/>
      </rPr>
      <t>返還補償金事件</t>
    </r>
    <phoneticPr fontId="44" type="noConversion"/>
  </si>
  <si>
    <r>
      <rPr>
        <sz val="12"/>
        <rFont val="新細明體"/>
        <family val="1"/>
        <charset val="136"/>
      </rPr>
      <t>　　　　</t>
    </r>
    <r>
      <rPr>
        <sz val="12"/>
        <rFont val="Times New Roman"/>
        <family val="1"/>
      </rPr>
      <t xml:space="preserve"> </t>
    </r>
    <r>
      <rPr>
        <sz val="12"/>
        <rFont val="新細明體"/>
        <family val="1"/>
        <charset val="136"/>
      </rPr>
      <t>清償完畢</t>
    </r>
    <phoneticPr fontId="44" type="noConversion"/>
  </si>
  <si>
    <r>
      <rPr>
        <sz val="12"/>
        <rFont val="新細明體"/>
        <family val="1"/>
        <charset val="136"/>
      </rPr>
      <t>　　　　</t>
    </r>
    <r>
      <rPr>
        <sz val="12"/>
        <rFont val="Times New Roman"/>
        <family val="1"/>
      </rPr>
      <t xml:space="preserve"> </t>
    </r>
    <r>
      <rPr>
        <sz val="12"/>
        <rFont val="新細明體"/>
        <family val="1"/>
        <charset val="136"/>
      </rPr>
      <t>取得債權憑證</t>
    </r>
    <phoneticPr fontId="44" type="noConversion"/>
  </si>
  <si>
    <r>
      <rPr>
        <sz val="12"/>
        <rFont val="新細明體"/>
        <family val="1"/>
        <charset val="136"/>
      </rPr>
      <t>　　　　</t>
    </r>
    <r>
      <rPr>
        <sz val="12"/>
        <rFont val="Times New Roman"/>
        <family val="1"/>
      </rPr>
      <t xml:space="preserve"> </t>
    </r>
    <r>
      <rPr>
        <sz val="12"/>
        <rFont val="新細明體"/>
        <family val="1"/>
        <charset val="136"/>
      </rPr>
      <t>簽准報結</t>
    </r>
    <phoneticPr fontId="44" type="noConversion"/>
  </si>
  <si>
    <r>
      <rPr>
        <sz val="15"/>
        <rFont val="新細明體"/>
        <family val="1"/>
        <charset val="136"/>
      </rPr>
      <t>表</t>
    </r>
    <r>
      <rPr>
        <sz val="15"/>
        <rFont val="Times New Roman"/>
        <family val="1"/>
      </rPr>
      <t>5-3-2</t>
    </r>
    <r>
      <rPr>
        <sz val="15"/>
        <rFont val="新細明體"/>
        <family val="1"/>
        <charset val="136"/>
      </rPr>
      <t>　近</t>
    </r>
    <r>
      <rPr>
        <sz val="15"/>
        <rFont val="Times New Roman"/>
        <family val="1"/>
      </rPr>
      <t>10</t>
    </r>
    <r>
      <rPr>
        <sz val="15"/>
        <rFont val="新細明體"/>
        <family val="1"/>
        <charset val="136"/>
      </rPr>
      <t>年地方檢察署申請犯罪被害補償金事件及暫時補償金事件決定補償情形</t>
    </r>
    <phoneticPr fontId="44" type="noConversion"/>
  </si>
  <si>
    <r>
      <rPr>
        <sz val="12"/>
        <rFont val="新細明體"/>
        <family val="1"/>
        <charset val="136"/>
      </rPr>
      <t>單位：件、人、新臺幣千元</t>
    </r>
    <phoneticPr fontId="72" type="noConversion"/>
  </si>
  <si>
    <r>
      <rPr>
        <sz val="12"/>
        <rFont val="新細明體"/>
        <family val="1"/>
        <charset val="136"/>
      </rPr>
      <t>申請犯罪被害補償金事件</t>
    </r>
    <phoneticPr fontId="44" type="noConversion"/>
  </si>
  <si>
    <r>
      <rPr>
        <sz val="12"/>
        <rFont val="新細明體"/>
        <family val="1"/>
        <charset val="136"/>
      </rPr>
      <t>　決定補償情形</t>
    </r>
    <phoneticPr fontId="44" type="noConversion"/>
  </si>
  <si>
    <r>
      <rPr>
        <sz val="12"/>
        <rFont val="新細明體"/>
        <family val="1"/>
        <charset val="136"/>
      </rPr>
      <t>　　</t>
    </r>
    <r>
      <rPr>
        <sz val="12"/>
        <rFont val="Times New Roman"/>
        <family val="1"/>
      </rPr>
      <t xml:space="preserve"> </t>
    </r>
    <r>
      <rPr>
        <sz val="12"/>
        <rFont val="新細明體"/>
        <family val="1"/>
        <charset val="136"/>
      </rPr>
      <t>件　數</t>
    </r>
    <phoneticPr fontId="72" type="noConversion"/>
  </si>
  <si>
    <r>
      <rPr>
        <sz val="12"/>
        <rFont val="新細明體"/>
        <family val="1"/>
        <charset val="136"/>
      </rPr>
      <t>　　</t>
    </r>
    <r>
      <rPr>
        <sz val="12"/>
        <rFont val="Times New Roman"/>
        <family val="1"/>
      </rPr>
      <t xml:space="preserve"> </t>
    </r>
    <r>
      <rPr>
        <sz val="12"/>
        <rFont val="新細明體"/>
        <family val="1"/>
        <charset val="136"/>
      </rPr>
      <t>人　數</t>
    </r>
    <phoneticPr fontId="72" type="noConversion"/>
  </si>
  <si>
    <r>
      <rPr>
        <sz val="12"/>
        <rFont val="新細明體"/>
        <family val="1"/>
        <charset val="136"/>
      </rPr>
      <t>　　</t>
    </r>
    <r>
      <rPr>
        <sz val="12"/>
        <rFont val="Times New Roman"/>
        <family val="1"/>
      </rPr>
      <t xml:space="preserve"> </t>
    </r>
    <r>
      <rPr>
        <sz val="12"/>
        <rFont val="新細明體"/>
        <family val="1"/>
        <charset val="136"/>
      </rPr>
      <t>金　額</t>
    </r>
    <phoneticPr fontId="72" type="noConversion"/>
  </si>
  <si>
    <r>
      <rPr>
        <sz val="12"/>
        <rFont val="新細明體"/>
        <family val="1"/>
        <charset val="136"/>
      </rPr>
      <t>暫時補償金事件</t>
    </r>
    <phoneticPr fontId="44" type="noConversion"/>
  </si>
  <si>
    <r>
      <rPr>
        <sz val="12"/>
        <rFont val="新細明體"/>
        <family val="1"/>
        <charset val="136"/>
      </rPr>
      <t>　決定補償情形</t>
    </r>
    <phoneticPr fontId="44" type="noConversion"/>
  </si>
  <si>
    <r>
      <rPr>
        <sz val="12"/>
        <rFont val="新細明體"/>
        <family val="1"/>
        <charset val="136"/>
      </rPr>
      <t>　　</t>
    </r>
    <r>
      <rPr>
        <sz val="12"/>
        <rFont val="Times New Roman"/>
        <family val="1"/>
      </rPr>
      <t xml:space="preserve"> </t>
    </r>
    <r>
      <rPr>
        <sz val="12"/>
        <rFont val="新細明體"/>
        <family val="1"/>
        <charset val="136"/>
      </rPr>
      <t>件　數</t>
    </r>
    <phoneticPr fontId="72" type="noConversion"/>
  </si>
  <si>
    <r>
      <rPr>
        <sz val="12"/>
        <rFont val="新細明體"/>
        <family val="1"/>
        <charset val="136"/>
      </rPr>
      <t>　　</t>
    </r>
    <r>
      <rPr>
        <sz val="12"/>
        <rFont val="Times New Roman"/>
        <family val="1"/>
      </rPr>
      <t xml:space="preserve"> </t>
    </r>
    <r>
      <rPr>
        <sz val="12"/>
        <rFont val="新細明體"/>
        <family val="1"/>
        <charset val="136"/>
      </rPr>
      <t>金　額</t>
    </r>
    <phoneticPr fontId="72" type="noConversion"/>
  </si>
  <si>
    <r>
      <rPr>
        <sz val="15"/>
        <rFont val="新細明體"/>
        <family val="1"/>
        <charset val="136"/>
      </rPr>
      <t>表</t>
    </r>
    <r>
      <rPr>
        <sz val="15"/>
        <rFont val="Times New Roman"/>
        <family val="1"/>
      </rPr>
      <t xml:space="preserve">5-3-3    </t>
    </r>
    <r>
      <rPr>
        <sz val="15"/>
        <rFont val="新細明體"/>
        <family val="1"/>
        <charset val="136"/>
      </rPr>
      <t>近</t>
    </r>
    <r>
      <rPr>
        <sz val="15"/>
        <rFont val="Times New Roman"/>
        <family val="1"/>
      </rPr>
      <t>10</t>
    </r>
    <r>
      <rPr>
        <sz val="15"/>
        <rFont val="新細明體"/>
        <family val="1"/>
        <charset val="136"/>
      </rPr>
      <t>年地方檢察署申請犯罪被害補償金終結事件被害人性別</t>
    </r>
    <phoneticPr fontId="72" type="noConversion"/>
  </si>
  <si>
    <r>
      <rPr>
        <sz val="12"/>
        <rFont val="新細明體"/>
        <family val="1"/>
        <charset val="136"/>
      </rPr>
      <t>年</t>
    </r>
    <r>
      <rPr>
        <sz val="12"/>
        <rFont val="Times New Roman"/>
        <family val="1"/>
      </rPr>
      <t xml:space="preserve">  </t>
    </r>
    <r>
      <rPr>
        <sz val="12"/>
        <rFont val="新細明體"/>
        <family val="1"/>
        <charset val="136"/>
      </rPr>
      <t>別</t>
    </r>
    <phoneticPr fontId="44" type="noConversion"/>
  </si>
  <si>
    <r>
      <rPr>
        <sz val="12"/>
        <rFont val="新細明體"/>
        <family val="1"/>
        <charset val="136"/>
      </rPr>
      <t>總</t>
    </r>
    <r>
      <rPr>
        <sz val="12"/>
        <rFont val="Times New Roman"/>
        <family val="1"/>
      </rPr>
      <t xml:space="preserve">          </t>
    </r>
    <r>
      <rPr>
        <sz val="12"/>
        <rFont val="新細明體"/>
        <family val="1"/>
        <charset val="136"/>
      </rPr>
      <t>計</t>
    </r>
  </si>
  <si>
    <r>
      <rPr>
        <sz val="12"/>
        <rFont val="新細明體"/>
        <family val="1"/>
        <charset val="136"/>
      </rPr>
      <t>人</t>
    </r>
    <phoneticPr fontId="44" type="noConversion"/>
  </si>
  <si>
    <r>
      <rPr>
        <sz val="12"/>
        <rFont val="新細明體"/>
        <family val="1"/>
        <charset val="136"/>
      </rPr>
      <t>人</t>
    </r>
    <phoneticPr fontId="44" type="noConversion"/>
  </si>
  <si>
    <r>
      <t>94</t>
    </r>
    <r>
      <rPr>
        <sz val="12"/>
        <rFont val="新細明體"/>
        <family val="1"/>
        <charset val="136"/>
      </rPr>
      <t>年</t>
    </r>
    <phoneticPr fontId="72" type="noConversion"/>
  </si>
  <si>
    <r>
      <t>95</t>
    </r>
    <r>
      <rPr>
        <sz val="12"/>
        <rFont val="新細明體"/>
        <family val="1"/>
        <charset val="136"/>
      </rPr>
      <t>年</t>
    </r>
    <phoneticPr fontId="72" type="noConversion"/>
  </si>
  <si>
    <r>
      <t>96</t>
    </r>
    <r>
      <rPr>
        <sz val="12"/>
        <rFont val="新細明體"/>
        <family val="1"/>
        <charset val="136"/>
      </rPr>
      <t>年</t>
    </r>
    <phoneticPr fontId="72" type="noConversion"/>
  </si>
  <si>
    <r>
      <rPr>
        <sz val="15"/>
        <rFont val="新細明體"/>
        <family val="1"/>
        <charset val="136"/>
      </rPr>
      <t>表</t>
    </r>
    <r>
      <rPr>
        <sz val="15"/>
        <rFont val="Times New Roman"/>
        <family val="1"/>
      </rPr>
      <t xml:space="preserve">5-3-4   </t>
    </r>
    <r>
      <rPr>
        <sz val="15"/>
        <rFont val="新細明體"/>
        <family val="1"/>
        <charset val="136"/>
      </rPr>
      <t>近</t>
    </r>
    <r>
      <rPr>
        <sz val="15"/>
        <rFont val="Times New Roman"/>
        <family val="1"/>
      </rPr>
      <t>10</t>
    </r>
    <r>
      <rPr>
        <sz val="15"/>
        <rFont val="新細明體"/>
        <family val="1"/>
        <charset val="136"/>
      </rPr>
      <t>年地方檢察署申請犯罪被害補償金終結事件被害人年齡</t>
    </r>
    <phoneticPr fontId="72" type="noConversion"/>
  </si>
  <si>
    <r>
      <t>20</t>
    </r>
    <r>
      <rPr>
        <sz val="12"/>
        <rFont val="新細明體"/>
        <family val="1"/>
        <charset val="136"/>
      </rPr>
      <t>歲
未</t>
    </r>
    <r>
      <rPr>
        <sz val="12"/>
        <rFont val="Times New Roman"/>
        <family val="1"/>
      </rPr>
      <t xml:space="preserve">    </t>
    </r>
    <r>
      <rPr>
        <sz val="12"/>
        <rFont val="新細明體"/>
        <family val="1"/>
        <charset val="136"/>
      </rPr>
      <t>滿</t>
    </r>
    <phoneticPr fontId="6" type="noConversion"/>
  </si>
  <si>
    <r>
      <t>20</t>
    </r>
    <r>
      <rPr>
        <sz val="12"/>
        <rFont val="新細明體"/>
        <family val="1"/>
        <charset val="136"/>
      </rPr>
      <t>至</t>
    </r>
    <r>
      <rPr>
        <sz val="12"/>
        <rFont val="Times New Roman"/>
        <family val="1"/>
      </rPr>
      <t>30</t>
    </r>
    <r>
      <rPr>
        <sz val="12"/>
        <rFont val="新細明體"/>
        <family val="1"/>
        <charset val="136"/>
      </rPr>
      <t>歲
未</t>
    </r>
    <r>
      <rPr>
        <sz val="12"/>
        <rFont val="Times New Roman"/>
        <family val="1"/>
      </rPr>
      <t xml:space="preserve">   </t>
    </r>
    <r>
      <rPr>
        <sz val="12"/>
        <rFont val="新細明體"/>
        <family val="1"/>
        <charset val="136"/>
      </rPr>
      <t>滿</t>
    </r>
    <phoneticPr fontId="72" type="noConversion"/>
  </si>
  <si>
    <r>
      <t>30</t>
    </r>
    <r>
      <rPr>
        <sz val="12"/>
        <rFont val="新細明體"/>
        <family val="1"/>
        <charset val="136"/>
      </rPr>
      <t>至</t>
    </r>
    <r>
      <rPr>
        <sz val="12"/>
        <rFont val="Times New Roman"/>
        <family val="1"/>
      </rPr>
      <t>40</t>
    </r>
    <r>
      <rPr>
        <sz val="12"/>
        <rFont val="新細明體"/>
        <family val="1"/>
        <charset val="136"/>
      </rPr>
      <t>歲
未</t>
    </r>
    <r>
      <rPr>
        <sz val="12"/>
        <rFont val="Times New Roman"/>
        <family val="1"/>
      </rPr>
      <t xml:space="preserve">   </t>
    </r>
    <r>
      <rPr>
        <sz val="12"/>
        <rFont val="新細明體"/>
        <family val="1"/>
        <charset val="136"/>
      </rPr>
      <t>滿</t>
    </r>
    <phoneticPr fontId="72" type="noConversion"/>
  </si>
  <si>
    <r>
      <t>40</t>
    </r>
    <r>
      <rPr>
        <sz val="12"/>
        <rFont val="新細明體"/>
        <family val="1"/>
        <charset val="136"/>
      </rPr>
      <t>至</t>
    </r>
    <r>
      <rPr>
        <sz val="12"/>
        <rFont val="Times New Roman"/>
        <family val="1"/>
      </rPr>
      <t>50</t>
    </r>
    <r>
      <rPr>
        <sz val="12"/>
        <rFont val="新細明體"/>
        <family val="1"/>
        <charset val="136"/>
      </rPr>
      <t>歲
未</t>
    </r>
    <r>
      <rPr>
        <sz val="12"/>
        <rFont val="Times New Roman"/>
        <family val="1"/>
      </rPr>
      <t xml:space="preserve">   </t>
    </r>
    <r>
      <rPr>
        <sz val="12"/>
        <rFont val="新細明體"/>
        <family val="1"/>
        <charset val="136"/>
      </rPr>
      <t>滿</t>
    </r>
    <phoneticPr fontId="72" type="noConversion"/>
  </si>
  <si>
    <r>
      <t>50</t>
    </r>
    <r>
      <rPr>
        <sz val="12"/>
        <rFont val="新細明體"/>
        <family val="1"/>
        <charset val="136"/>
      </rPr>
      <t>至</t>
    </r>
    <r>
      <rPr>
        <sz val="12"/>
        <rFont val="Times New Roman"/>
        <family val="1"/>
      </rPr>
      <t>60</t>
    </r>
    <r>
      <rPr>
        <sz val="12"/>
        <rFont val="新細明體"/>
        <family val="1"/>
        <charset val="136"/>
      </rPr>
      <t>歲
未</t>
    </r>
    <r>
      <rPr>
        <sz val="12"/>
        <rFont val="Times New Roman"/>
        <family val="1"/>
      </rPr>
      <t xml:space="preserve">   </t>
    </r>
    <r>
      <rPr>
        <sz val="12"/>
        <rFont val="新細明體"/>
        <family val="1"/>
        <charset val="136"/>
      </rPr>
      <t>滿</t>
    </r>
    <phoneticPr fontId="72" type="noConversion"/>
  </si>
  <si>
    <r>
      <t>60</t>
    </r>
    <r>
      <rPr>
        <sz val="12"/>
        <rFont val="新細明體"/>
        <family val="1"/>
        <charset val="136"/>
      </rPr>
      <t>至</t>
    </r>
    <r>
      <rPr>
        <sz val="12"/>
        <rFont val="Times New Roman"/>
        <family val="1"/>
      </rPr>
      <t>70</t>
    </r>
    <r>
      <rPr>
        <sz val="12"/>
        <rFont val="新細明體"/>
        <family val="1"/>
        <charset val="136"/>
      </rPr>
      <t>歲
未</t>
    </r>
    <r>
      <rPr>
        <sz val="12"/>
        <rFont val="Times New Roman"/>
        <family val="1"/>
      </rPr>
      <t xml:space="preserve">   </t>
    </r>
    <r>
      <rPr>
        <sz val="12"/>
        <rFont val="新細明體"/>
        <family val="1"/>
        <charset val="136"/>
      </rPr>
      <t>滿</t>
    </r>
    <phoneticPr fontId="72" type="noConversion"/>
  </si>
  <si>
    <r>
      <t>70</t>
    </r>
    <r>
      <rPr>
        <sz val="12"/>
        <rFont val="新細明體"/>
        <family val="1"/>
        <charset val="136"/>
      </rPr>
      <t>歲</t>
    </r>
    <r>
      <rPr>
        <sz val="12"/>
        <rFont val="Times New Roman"/>
        <family val="1"/>
      </rPr>
      <t xml:space="preserve"> 
</t>
    </r>
    <r>
      <rPr>
        <sz val="12"/>
        <rFont val="新細明體"/>
        <family val="1"/>
        <charset val="136"/>
      </rPr>
      <t>以</t>
    </r>
    <r>
      <rPr>
        <sz val="12"/>
        <rFont val="Times New Roman"/>
        <family val="1"/>
      </rPr>
      <t xml:space="preserve">    </t>
    </r>
    <r>
      <rPr>
        <sz val="12"/>
        <rFont val="新細明體"/>
        <family val="1"/>
        <charset val="136"/>
      </rPr>
      <t>上</t>
    </r>
    <phoneticPr fontId="6" type="noConversion"/>
  </si>
  <si>
    <r>
      <rPr>
        <sz val="12"/>
        <rFont val="新細明體"/>
        <family val="1"/>
        <charset val="136"/>
      </rPr>
      <t>別</t>
    </r>
  </si>
  <si>
    <r>
      <t>94</t>
    </r>
    <r>
      <rPr>
        <sz val="12"/>
        <rFont val="新細明體"/>
        <family val="1"/>
        <charset val="136"/>
      </rPr>
      <t>年</t>
    </r>
    <phoneticPr fontId="72" type="noConversion"/>
  </si>
  <si>
    <r>
      <t>95</t>
    </r>
    <r>
      <rPr>
        <sz val="12"/>
        <rFont val="新細明體"/>
        <family val="1"/>
        <charset val="136"/>
      </rPr>
      <t>年</t>
    </r>
    <phoneticPr fontId="72" type="noConversion"/>
  </si>
  <si>
    <r>
      <t>96</t>
    </r>
    <r>
      <rPr>
        <sz val="12"/>
        <rFont val="新細明體"/>
        <family val="1"/>
        <charset val="136"/>
      </rPr>
      <t>年</t>
    </r>
    <phoneticPr fontId="72" type="noConversion"/>
  </si>
  <si>
    <r>
      <rPr>
        <sz val="15"/>
        <rFont val="新細明體"/>
        <family val="1"/>
        <charset val="136"/>
      </rPr>
      <t>表</t>
    </r>
    <r>
      <rPr>
        <sz val="15"/>
        <rFont val="Times New Roman"/>
        <family val="1"/>
      </rPr>
      <t xml:space="preserve">5-3-5   </t>
    </r>
    <r>
      <rPr>
        <sz val="15"/>
        <rFont val="新細明體"/>
        <family val="1"/>
        <charset val="136"/>
      </rPr>
      <t>近</t>
    </r>
    <r>
      <rPr>
        <sz val="15"/>
        <rFont val="Times New Roman"/>
        <family val="1"/>
      </rPr>
      <t>10</t>
    </r>
    <r>
      <rPr>
        <sz val="15"/>
        <rFont val="新細明體"/>
        <family val="1"/>
        <charset val="136"/>
      </rPr>
      <t>年地方檢察署申請犯罪被害補償金終結事件申請至決定經過期間</t>
    </r>
    <phoneticPr fontId="72" type="noConversion"/>
  </si>
  <si>
    <r>
      <rPr>
        <sz val="11"/>
        <rFont val="新細明體"/>
        <family val="1"/>
        <charset val="136"/>
      </rPr>
      <t>單位：件</t>
    </r>
  </si>
  <si>
    <r>
      <rPr>
        <sz val="12"/>
        <rFont val="新細明體"/>
        <family val="1"/>
        <charset val="136"/>
      </rPr>
      <t>期</t>
    </r>
    <r>
      <rPr>
        <sz val="12"/>
        <rFont val="Times New Roman"/>
        <family val="1"/>
      </rPr>
      <t xml:space="preserve">    </t>
    </r>
    <r>
      <rPr>
        <sz val="12"/>
        <rFont val="新細明體"/>
        <family val="1"/>
        <charset val="136"/>
      </rPr>
      <t>間</t>
    </r>
    <r>
      <rPr>
        <sz val="12"/>
        <rFont val="Times New Roman"/>
        <family val="1"/>
      </rPr>
      <t xml:space="preserve">    </t>
    </r>
    <r>
      <rPr>
        <sz val="12"/>
        <rFont val="新細明體"/>
        <family val="1"/>
        <charset val="136"/>
      </rPr>
      <t>別</t>
    </r>
    <phoneticPr fontId="44" type="noConversion"/>
  </si>
  <si>
    <r>
      <rPr>
        <sz val="12"/>
        <rFont val="新細明體"/>
        <family val="1"/>
        <charset val="136"/>
      </rPr>
      <t>總計</t>
    </r>
    <phoneticPr fontId="44" type="noConversion"/>
  </si>
  <si>
    <r>
      <rPr>
        <sz val="12"/>
        <rFont val="新細明體"/>
        <family val="1"/>
        <charset val="136"/>
      </rPr>
      <t>一月未滿</t>
    </r>
    <phoneticPr fontId="44" type="noConversion"/>
  </si>
  <si>
    <r>
      <rPr>
        <sz val="12"/>
        <rFont val="新細明體"/>
        <family val="1"/>
        <charset val="136"/>
      </rPr>
      <t>一月至二月未滿</t>
    </r>
    <phoneticPr fontId="44" type="noConversion"/>
  </si>
  <si>
    <r>
      <rPr>
        <sz val="12"/>
        <rFont val="新細明體"/>
        <family val="1"/>
        <charset val="136"/>
      </rPr>
      <t>二月至三月未滿</t>
    </r>
    <phoneticPr fontId="44" type="noConversion"/>
  </si>
  <si>
    <r>
      <rPr>
        <sz val="12"/>
        <rFont val="新細明體"/>
        <family val="1"/>
        <charset val="136"/>
      </rPr>
      <t>三月至四月未滿</t>
    </r>
    <phoneticPr fontId="44" type="noConversion"/>
  </si>
  <si>
    <r>
      <rPr>
        <sz val="12"/>
        <rFont val="新細明體"/>
        <family val="1"/>
        <charset val="136"/>
      </rPr>
      <t>四月至六月未滿</t>
    </r>
    <phoneticPr fontId="44" type="noConversion"/>
  </si>
  <si>
    <r>
      <rPr>
        <sz val="12"/>
        <rFont val="新細明體"/>
        <family val="1"/>
        <charset val="136"/>
      </rPr>
      <t>六月至八月未滿</t>
    </r>
    <phoneticPr fontId="44" type="noConversion"/>
  </si>
  <si>
    <r>
      <rPr>
        <sz val="12"/>
        <rFont val="新細明體"/>
        <family val="1"/>
        <charset val="136"/>
      </rPr>
      <t>八月至十月未滿</t>
    </r>
    <phoneticPr fontId="44" type="noConversion"/>
  </si>
  <si>
    <r>
      <rPr>
        <sz val="12"/>
        <rFont val="新細明體"/>
        <family val="1"/>
        <charset val="136"/>
      </rPr>
      <t>十月至一年未滿</t>
    </r>
    <phoneticPr fontId="44" type="noConversion"/>
  </si>
  <si>
    <r>
      <rPr>
        <sz val="12"/>
        <rFont val="新細明體"/>
        <family val="1"/>
        <charset val="136"/>
      </rPr>
      <t>一年以上</t>
    </r>
    <phoneticPr fontId="44" type="noConversion"/>
  </si>
  <si>
    <r>
      <rPr>
        <sz val="15"/>
        <rFont val="新細明體"/>
        <family val="1"/>
        <charset val="136"/>
      </rPr>
      <t>表</t>
    </r>
    <r>
      <rPr>
        <sz val="15"/>
        <rFont val="Times New Roman"/>
        <family val="1"/>
      </rPr>
      <t xml:space="preserve">5-3-6   </t>
    </r>
    <r>
      <rPr>
        <sz val="15"/>
        <rFont val="新細明體"/>
        <family val="1"/>
        <charset val="136"/>
      </rPr>
      <t>近</t>
    </r>
    <r>
      <rPr>
        <sz val="15"/>
        <rFont val="Times New Roman"/>
        <family val="1"/>
      </rPr>
      <t>10</t>
    </r>
    <r>
      <rPr>
        <sz val="15"/>
        <rFont val="新細明體"/>
        <family val="1"/>
        <charset val="136"/>
      </rPr>
      <t>年地方檢察署申請犯罪被害補償金終結事件申請人人數－按與被害人關係分</t>
    </r>
    <phoneticPr fontId="72" type="noConversion"/>
  </si>
  <si>
    <r>
      <rPr>
        <sz val="11"/>
        <rFont val="新細明體"/>
        <family val="1"/>
        <charset val="136"/>
      </rPr>
      <t>單位：人</t>
    </r>
  </si>
  <si>
    <r>
      <rPr>
        <sz val="12"/>
        <rFont val="新細明體"/>
        <family val="1"/>
        <charset val="136"/>
      </rPr>
      <t>關</t>
    </r>
    <r>
      <rPr>
        <sz val="12"/>
        <rFont val="Times New Roman"/>
        <family val="1"/>
      </rPr>
      <t xml:space="preserve">    </t>
    </r>
    <r>
      <rPr>
        <sz val="12"/>
        <rFont val="新細明體"/>
        <family val="1"/>
        <charset val="136"/>
      </rPr>
      <t>係</t>
    </r>
    <r>
      <rPr>
        <sz val="12"/>
        <rFont val="Times New Roman"/>
        <family val="1"/>
      </rPr>
      <t xml:space="preserve">    </t>
    </r>
    <r>
      <rPr>
        <sz val="12"/>
        <rFont val="新細明體"/>
        <family val="1"/>
        <charset val="136"/>
      </rPr>
      <t>別</t>
    </r>
    <phoneticPr fontId="44" type="noConversion"/>
  </si>
  <si>
    <r>
      <rPr>
        <sz val="12"/>
        <rFont val="新細明體"/>
        <family val="1"/>
        <charset val="136"/>
      </rPr>
      <t>總計</t>
    </r>
    <phoneticPr fontId="44" type="noConversion"/>
  </si>
  <si>
    <r>
      <rPr>
        <sz val="12"/>
        <rFont val="新細明體"/>
        <family val="1"/>
        <charset val="136"/>
      </rPr>
      <t>本人</t>
    </r>
    <phoneticPr fontId="44" type="noConversion"/>
  </si>
  <si>
    <r>
      <rPr>
        <sz val="12"/>
        <rFont val="新細明體"/>
        <family val="1"/>
        <charset val="136"/>
      </rPr>
      <t>父母</t>
    </r>
    <phoneticPr fontId="44" type="noConversion"/>
  </si>
  <si>
    <r>
      <rPr>
        <sz val="12"/>
        <rFont val="新細明體"/>
        <family val="1"/>
        <charset val="136"/>
      </rPr>
      <t>配偶</t>
    </r>
    <phoneticPr fontId="44" type="noConversion"/>
  </si>
  <si>
    <r>
      <rPr>
        <sz val="12"/>
        <rFont val="新細明體"/>
        <family val="1"/>
        <charset val="136"/>
      </rPr>
      <t>子女</t>
    </r>
    <phoneticPr fontId="44" type="noConversion"/>
  </si>
  <si>
    <r>
      <rPr>
        <sz val="12"/>
        <rFont val="新細明體"/>
        <family val="1"/>
        <charset val="136"/>
      </rPr>
      <t>祖父母</t>
    </r>
    <phoneticPr fontId="44" type="noConversion"/>
  </si>
  <si>
    <r>
      <rPr>
        <sz val="12"/>
        <rFont val="新細明體"/>
        <family val="1"/>
        <charset val="136"/>
      </rPr>
      <t>孫子女</t>
    </r>
    <phoneticPr fontId="44" type="noConversion"/>
  </si>
  <si>
    <r>
      <rPr>
        <sz val="12"/>
        <rFont val="新細明體"/>
        <family val="1"/>
        <charset val="136"/>
      </rPr>
      <t>兄弟姊妹</t>
    </r>
    <phoneticPr fontId="44" type="noConversion"/>
  </si>
  <si>
    <r>
      <rPr>
        <sz val="12"/>
        <rFont val="新細明體"/>
        <family val="1"/>
        <charset val="136"/>
      </rPr>
      <t>其他</t>
    </r>
    <phoneticPr fontId="44" type="noConversion"/>
  </si>
  <si>
    <r>
      <rPr>
        <sz val="15"/>
        <rFont val="新細明體"/>
        <family val="1"/>
        <charset val="136"/>
      </rPr>
      <t>表</t>
    </r>
    <r>
      <rPr>
        <sz val="15"/>
        <rFont val="Times New Roman"/>
        <family val="1"/>
      </rPr>
      <t xml:space="preserve">5-3-7   </t>
    </r>
    <r>
      <rPr>
        <sz val="15"/>
        <rFont val="新細明體"/>
        <family val="1"/>
        <charset val="136"/>
      </rPr>
      <t>近</t>
    </r>
    <r>
      <rPr>
        <sz val="15"/>
        <rFont val="Times New Roman"/>
        <family val="1"/>
      </rPr>
      <t>10</t>
    </r>
    <r>
      <rPr>
        <sz val="15"/>
        <rFont val="新細明體"/>
        <family val="1"/>
        <charset val="136"/>
      </rPr>
      <t>年地方檢察署申請犯罪被害補償金事件終結件數－依罪名分</t>
    </r>
    <phoneticPr fontId="72" type="noConversion"/>
  </si>
  <si>
    <r>
      <rPr>
        <sz val="12"/>
        <rFont val="新細明體"/>
        <family val="1"/>
        <charset val="136"/>
      </rPr>
      <t>年</t>
    </r>
    <r>
      <rPr>
        <sz val="12"/>
        <rFont val="Times New Roman"/>
        <family val="1"/>
      </rPr>
      <t xml:space="preserve">  </t>
    </r>
    <r>
      <rPr>
        <sz val="12"/>
        <rFont val="新細明體"/>
        <family val="1"/>
        <charset val="136"/>
      </rPr>
      <t>別</t>
    </r>
    <phoneticPr fontId="44" type="noConversion"/>
  </si>
  <si>
    <r>
      <rPr>
        <sz val="12"/>
        <rFont val="新細明體"/>
        <family val="1"/>
        <charset val="136"/>
      </rPr>
      <t>妨</t>
    </r>
    <r>
      <rPr>
        <sz val="12"/>
        <rFont val="Times New Roman"/>
        <family val="1"/>
      </rPr>
      <t xml:space="preserve">    </t>
    </r>
    <r>
      <rPr>
        <sz val="12"/>
        <rFont val="新細明體"/>
        <family val="1"/>
        <charset val="136"/>
      </rPr>
      <t>害
性自主罪</t>
    </r>
    <phoneticPr fontId="72" type="noConversion"/>
  </si>
  <si>
    <r>
      <rPr>
        <sz val="12"/>
        <rFont val="新細明體"/>
        <family val="1"/>
        <charset val="136"/>
      </rPr>
      <t>兒童及少年性剝削防制條例</t>
    </r>
    <phoneticPr fontId="72" type="noConversion"/>
  </si>
  <si>
    <r>
      <rPr>
        <sz val="12"/>
        <rFont val="新細明體"/>
        <family val="1"/>
        <charset val="136"/>
      </rPr>
      <t>強盜及
海盜罪</t>
    </r>
    <phoneticPr fontId="44" type="noConversion"/>
  </si>
  <si>
    <r>
      <rPr>
        <sz val="12"/>
        <rFont val="新細明體"/>
        <family val="1"/>
        <charset val="136"/>
      </rPr>
      <t>妨</t>
    </r>
    <r>
      <rPr>
        <sz val="12"/>
        <rFont val="Times New Roman"/>
        <family val="1"/>
      </rPr>
      <t xml:space="preserve">  </t>
    </r>
    <r>
      <rPr>
        <sz val="12"/>
        <rFont val="新細明體"/>
        <family val="1"/>
        <charset val="136"/>
      </rPr>
      <t>害
自由罪</t>
    </r>
    <phoneticPr fontId="72" type="noConversion"/>
  </si>
  <si>
    <r>
      <rPr>
        <sz val="12"/>
        <rFont val="新細明體"/>
        <family val="1"/>
        <charset val="136"/>
      </rPr>
      <t>搶奪罪</t>
    </r>
  </si>
  <si>
    <r>
      <rPr>
        <sz val="11"/>
        <rFont val="新細明體"/>
        <family val="1"/>
        <charset val="136"/>
      </rPr>
      <t>家庭暴力防
治法－違反
保護令罪</t>
    </r>
    <phoneticPr fontId="72" type="noConversion"/>
  </si>
  <si>
    <r>
      <rPr>
        <sz val="12"/>
        <rFont val="新細明體"/>
        <family val="1"/>
        <charset val="136"/>
      </rPr>
      <t>擄</t>
    </r>
    <r>
      <rPr>
        <sz val="12"/>
        <rFont val="Times New Roman"/>
        <family val="1"/>
      </rPr>
      <t xml:space="preserve">  </t>
    </r>
    <r>
      <rPr>
        <sz val="12"/>
        <rFont val="新細明體"/>
        <family val="1"/>
        <charset val="136"/>
      </rPr>
      <t>人
勒贖罪</t>
    </r>
    <phoneticPr fontId="72" type="noConversion"/>
  </si>
  <si>
    <r>
      <rPr>
        <sz val="12"/>
        <rFont val="新細明體"/>
        <family val="1"/>
        <charset val="136"/>
      </rPr>
      <t>人口販運
防</t>
    </r>
    <r>
      <rPr>
        <sz val="12"/>
        <rFont val="Times New Roman"/>
        <family val="1"/>
      </rPr>
      <t xml:space="preserve"> </t>
    </r>
    <r>
      <rPr>
        <sz val="12"/>
        <rFont val="新細明體"/>
        <family val="1"/>
        <charset val="136"/>
      </rPr>
      <t>制</t>
    </r>
    <r>
      <rPr>
        <sz val="12"/>
        <rFont val="Times New Roman"/>
        <family val="1"/>
      </rPr>
      <t xml:space="preserve"> </t>
    </r>
    <r>
      <rPr>
        <sz val="12"/>
        <rFont val="新細明體"/>
        <family val="1"/>
        <charset val="136"/>
      </rPr>
      <t>法</t>
    </r>
    <phoneticPr fontId="72" type="noConversion"/>
  </si>
  <si>
    <t>其他</t>
    <phoneticPr fontId="6" type="noConversion"/>
  </si>
  <si>
    <t>99年</t>
  </si>
  <si>
    <t>100年</t>
  </si>
  <si>
    <t>101年</t>
  </si>
  <si>
    <t>102年</t>
  </si>
  <si>
    <t>103年</t>
  </si>
  <si>
    <t>104年</t>
  </si>
  <si>
    <t>105年</t>
  </si>
  <si>
    <t>106年</t>
  </si>
  <si>
    <t>107年</t>
  </si>
  <si>
    <t>108年</t>
  </si>
  <si>
    <r>
      <rPr>
        <sz val="15"/>
        <rFont val="新細明體"/>
        <family val="1"/>
        <charset val="136"/>
      </rPr>
      <t>表</t>
    </r>
    <r>
      <rPr>
        <sz val="15"/>
        <rFont val="Times New Roman"/>
        <family val="1"/>
      </rPr>
      <t xml:space="preserve">5-3-8   </t>
    </r>
    <r>
      <rPr>
        <sz val="15"/>
        <rFont val="新細明體"/>
        <family val="1"/>
        <charset val="136"/>
      </rPr>
      <t>近</t>
    </r>
    <r>
      <rPr>
        <sz val="15"/>
        <rFont val="Times New Roman"/>
        <family val="1"/>
      </rPr>
      <t>10</t>
    </r>
    <r>
      <rPr>
        <sz val="15"/>
        <rFont val="新細明體"/>
        <family val="1"/>
        <charset val="136"/>
      </rPr>
      <t>年地方檢察署申請犯罪被害補償金終結事件被害人類別</t>
    </r>
    <phoneticPr fontId="72" type="noConversion"/>
  </si>
  <si>
    <r>
      <rPr>
        <sz val="12"/>
        <rFont val="新細明體"/>
        <family val="1"/>
        <charset val="136"/>
      </rPr>
      <t>年</t>
    </r>
    <r>
      <rPr>
        <sz val="12"/>
        <rFont val="Times New Roman"/>
        <family val="1"/>
      </rPr>
      <t xml:space="preserve">  </t>
    </r>
    <r>
      <rPr>
        <sz val="12"/>
        <rFont val="新細明體"/>
        <family val="1"/>
        <charset val="136"/>
      </rPr>
      <t>別</t>
    </r>
    <phoneticPr fontId="44" type="noConversion"/>
  </si>
  <si>
    <r>
      <rPr>
        <sz val="12"/>
        <rFont val="新細明體"/>
        <family val="1"/>
        <charset val="136"/>
      </rPr>
      <t>總</t>
    </r>
    <r>
      <rPr>
        <sz val="12"/>
        <rFont val="Times New Roman"/>
        <family val="1"/>
      </rPr>
      <t xml:space="preserve"> </t>
    </r>
    <r>
      <rPr>
        <sz val="12"/>
        <rFont val="新細明體"/>
        <family val="1"/>
        <charset val="136"/>
      </rPr>
      <t>計</t>
    </r>
  </si>
  <si>
    <r>
      <rPr>
        <sz val="12"/>
        <rFont val="新細明體"/>
        <family val="1"/>
        <charset val="136"/>
      </rPr>
      <t>死</t>
    </r>
    <r>
      <rPr>
        <sz val="12"/>
        <rFont val="Times New Roman"/>
        <family val="1"/>
      </rPr>
      <t xml:space="preserve"> </t>
    </r>
    <r>
      <rPr>
        <sz val="12"/>
        <rFont val="新細明體"/>
        <family val="1"/>
        <charset val="136"/>
      </rPr>
      <t>亡</t>
    </r>
  </si>
  <si>
    <r>
      <rPr>
        <sz val="12"/>
        <rFont val="新細明體"/>
        <family val="1"/>
        <charset val="136"/>
      </rPr>
      <t>重</t>
    </r>
    <r>
      <rPr>
        <sz val="12"/>
        <rFont val="Times New Roman"/>
        <family val="1"/>
      </rPr>
      <t xml:space="preserve"> </t>
    </r>
    <r>
      <rPr>
        <sz val="12"/>
        <rFont val="新細明體"/>
        <family val="1"/>
        <charset val="136"/>
      </rPr>
      <t>傷</t>
    </r>
  </si>
  <si>
    <r>
      <rPr>
        <sz val="12"/>
        <rFont val="新細明體"/>
        <family val="1"/>
        <charset val="136"/>
      </rPr>
      <t>性侵害</t>
    </r>
  </si>
  <si>
    <r>
      <rPr>
        <sz val="12"/>
        <rFont val="新細明體"/>
        <family val="1"/>
        <charset val="136"/>
      </rPr>
      <t>人</t>
    </r>
    <phoneticPr fontId="72" type="noConversion"/>
  </si>
  <si>
    <r>
      <rPr>
        <sz val="12"/>
        <rFont val="新細明體"/>
        <family val="1"/>
        <charset val="136"/>
      </rPr>
      <t>人</t>
    </r>
    <phoneticPr fontId="72" type="noConversion"/>
  </si>
  <si>
    <r>
      <t>94</t>
    </r>
    <r>
      <rPr>
        <sz val="12"/>
        <rFont val="新細明體"/>
        <family val="1"/>
        <charset val="136"/>
      </rPr>
      <t>年</t>
    </r>
    <phoneticPr fontId="72" type="noConversion"/>
  </si>
  <si>
    <r>
      <t>95</t>
    </r>
    <r>
      <rPr>
        <sz val="12"/>
        <rFont val="新細明體"/>
        <family val="1"/>
        <charset val="136"/>
      </rPr>
      <t>年</t>
    </r>
    <phoneticPr fontId="72" type="noConversion"/>
  </si>
  <si>
    <r>
      <t>96</t>
    </r>
    <r>
      <rPr>
        <sz val="12"/>
        <rFont val="新細明體"/>
        <family val="1"/>
        <charset val="136"/>
      </rPr>
      <t>年</t>
    </r>
    <phoneticPr fontId="72" type="noConversion"/>
  </si>
  <si>
    <r>
      <rPr>
        <sz val="10"/>
        <rFont val="新細明體"/>
        <family val="1"/>
        <charset val="136"/>
      </rPr>
      <t>說　　明：自</t>
    </r>
    <r>
      <rPr>
        <sz val="10"/>
        <rFont val="Times New Roman"/>
        <family val="1"/>
      </rPr>
      <t>98</t>
    </r>
    <r>
      <rPr>
        <sz val="10"/>
        <rFont val="新細明體"/>
        <family val="1"/>
        <charset val="136"/>
      </rPr>
      <t>年</t>
    </r>
    <r>
      <rPr>
        <sz val="10"/>
        <rFont val="Times New Roman"/>
        <family val="1"/>
      </rPr>
      <t>8</t>
    </r>
    <r>
      <rPr>
        <sz val="10"/>
        <rFont val="新細明體"/>
        <family val="1"/>
        <charset val="136"/>
      </rPr>
      <t>月起新增性侵害補償金統計資料。</t>
    </r>
    <phoneticPr fontId="72" type="noConversion"/>
  </si>
  <si>
    <r>
      <t>99</t>
    </r>
    <r>
      <rPr>
        <sz val="12"/>
        <rFont val="新細明體"/>
        <family val="1"/>
        <charset val="136"/>
      </rPr>
      <t>年</t>
    </r>
    <phoneticPr fontId="44" type="noConversion"/>
  </si>
  <si>
    <r>
      <rPr>
        <sz val="12"/>
        <rFont val="新細明體"/>
        <family val="1"/>
        <charset val="136"/>
      </rPr>
      <t>第三人</t>
    </r>
    <phoneticPr fontId="115" type="noConversion"/>
  </si>
  <si>
    <r>
      <rPr>
        <sz val="12"/>
        <rFont val="新細明體"/>
        <family val="1"/>
        <charset val="136"/>
      </rPr>
      <t>證券交易法</t>
    </r>
    <phoneticPr fontId="44" type="noConversion"/>
  </si>
  <si>
    <r>
      <rPr>
        <sz val="12"/>
        <rFont val="新細明體"/>
        <family val="1"/>
        <charset val="136"/>
      </rPr>
      <t>侵占罪</t>
    </r>
    <phoneticPr fontId="44" type="noConversion"/>
  </si>
  <si>
    <t>貪污治罪條例</t>
    <phoneticPr fontId="44" type="noConversion"/>
  </si>
  <si>
    <r>
      <rPr>
        <sz val="12"/>
        <rFont val="新細明體"/>
        <family val="1"/>
        <charset val="136"/>
      </rPr>
      <t>野生動物保育法</t>
    </r>
    <phoneticPr fontId="44" type="noConversion"/>
  </si>
  <si>
    <t>食品安全衛生管理法</t>
    <phoneticPr fontId="44" type="noConversion"/>
  </si>
  <si>
    <r>
      <rPr>
        <sz val="12"/>
        <rFont val="新細明體"/>
        <family val="1"/>
        <charset val="136"/>
      </rPr>
      <t>竊盜罪</t>
    </r>
    <phoneticPr fontId="44" type="noConversion"/>
  </si>
  <si>
    <r>
      <rPr>
        <sz val="12"/>
        <rFont val="新細明體"/>
        <family val="1"/>
        <charset val="136"/>
      </rPr>
      <t>期貨交易法</t>
    </r>
    <phoneticPr fontId="44" type="noConversion"/>
  </si>
  <si>
    <r>
      <rPr>
        <sz val="12"/>
        <rFont val="新細明體"/>
        <family val="1"/>
        <charset val="136"/>
      </rPr>
      <t>妨害風化罪</t>
    </r>
    <phoneticPr fontId="44" type="noConversion"/>
  </si>
  <si>
    <t>毒品危害防制條例</t>
    <phoneticPr fontId="44" type="noConversion"/>
  </si>
  <si>
    <r>
      <rPr>
        <sz val="12"/>
        <rFont val="新細明體"/>
        <family val="1"/>
        <charset val="136"/>
      </rPr>
      <t>廢棄物清理法</t>
    </r>
    <phoneticPr fontId="44" type="noConversion"/>
  </si>
  <si>
    <t>化粧品衛生管理條例</t>
    <phoneticPr fontId="44" type="noConversion"/>
  </si>
  <si>
    <r>
      <rPr>
        <sz val="12"/>
        <rFont val="新細明體"/>
        <family val="1"/>
        <charset val="136"/>
      </rPr>
      <t>水污染防治法</t>
    </r>
    <phoneticPr fontId="44" type="noConversion"/>
  </si>
  <si>
    <t>恐嚇及擄人勒贖罪</t>
    <phoneticPr fontId="44" type="noConversion"/>
  </si>
  <si>
    <r>
      <rPr>
        <sz val="12"/>
        <rFont val="新細明體"/>
        <family val="1"/>
        <charset val="136"/>
      </rPr>
      <t>健康食品管理法</t>
    </r>
    <phoneticPr fontId="44" type="noConversion"/>
  </si>
  <si>
    <r>
      <rPr>
        <sz val="12"/>
        <rFont val="新細明體"/>
        <family val="1"/>
        <charset val="136"/>
      </rPr>
      <t>森林法</t>
    </r>
    <phoneticPr fontId="44" type="noConversion"/>
  </si>
  <si>
    <r>
      <rPr>
        <sz val="12"/>
        <rFont val="新細明體"/>
        <family val="1"/>
        <charset val="136"/>
      </rPr>
      <t>其他</t>
    </r>
    <phoneticPr fontId="44" type="noConversion"/>
  </si>
  <si>
    <r>
      <rPr>
        <sz val="10"/>
        <rFont val="新細明體"/>
        <family val="1"/>
        <charset val="136"/>
      </rPr>
      <t>說　　明：金額係指執行法院判決確定全部案件犯罪所得沒收、追徵、追繳及抵償金額總計，其中第三人資料自</t>
    </r>
    <r>
      <rPr>
        <sz val="10"/>
        <rFont val="Times New Roman"/>
        <family val="1"/>
      </rPr>
      <t>106</t>
    </r>
    <r>
      <rPr>
        <sz val="10"/>
        <rFont val="新細明體"/>
        <family val="1"/>
        <charset val="136"/>
      </rPr>
      <t>年</t>
    </r>
    <r>
      <rPr>
        <sz val="10"/>
        <rFont val="Times New Roman"/>
        <family val="1"/>
      </rPr>
      <t>8</t>
    </r>
    <r>
      <rPr>
        <sz val="10"/>
        <rFont val="新細明體"/>
        <family val="1"/>
        <charset val="136"/>
      </rPr>
      <t>月始建置蒐集。</t>
    </r>
    <r>
      <rPr>
        <sz val="10"/>
        <rFont val="Times New Roman"/>
        <family val="1"/>
      </rPr>
      <t/>
    </r>
    <phoneticPr fontId="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</si>
</sst>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 #,##0.00_);_(* \(#,##0.00\);_(* &quot;-&quot;??_);_(@_)"/>
    <numFmt numFmtId="177" formatCode="_(&quot;$&quot;* #,##0_);_(&quot;$&quot;* \(#,##0\);_(&quot;$&quot;* &quot;-&quot;_);_(@_)"/>
    <numFmt numFmtId="178" formatCode="_-* #,##0_-;\-* #,##0_-;_-* &quot;-&quot;??_-;_-@_-"/>
    <numFmt numFmtId="179" formatCode="#,##0_ "/>
    <numFmt numFmtId="180" formatCode="#,##0.00_ "/>
    <numFmt numFmtId="181" formatCode="_-* #,##0.0_-;\-* #,##0.0_-;_-* &quot;-&quot;?_-;_-@_-"/>
    <numFmt numFmtId="182" formatCode="0_ "/>
    <numFmt numFmtId="183" formatCode="_-* #,##0.00_-;\-* #,##0.00_-;_-* &quot;-&quot;_-;_-@_-"/>
    <numFmt numFmtId="184" formatCode="#,##0_ ;[Red]\-#,##0\ "/>
    <numFmt numFmtId="185" formatCode="0.0%"/>
    <numFmt numFmtId="186" formatCode="#,##0_);[Red]\(#,##0\)"/>
    <numFmt numFmtId="187" formatCode="#,##0.0_ "/>
    <numFmt numFmtId="188" formatCode="\(#,##0\)"/>
    <numFmt numFmtId="189" formatCode="0.0_);[Red]\(0.0\)"/>
    <numFmt numFmtId="190" formatCode="0.0"/>
    <numFmt numFmtId="191" formatCode="0.0_ "/>
    <numFmt numFmtId="192" formatCode="#,##0_ ;\ \-#,##0_ ;\ &quot;-&quot;_ ;@_ "/>
    <numFmt numFmtId="193" formatCode="0.00_);[Red]\(0.00\)"/>
    <numFmt numFmtId="194" formatCode="#,##0__"/>
    <numFmt numFmtId="195" formatCode="#,##0.00__"/>
    <numFmt numFmtId="196" formatCode="0_);[Red]\(0\)"/>
    <numFmt numFmtId="197" formatCode="0.00_ "/>
    <numFmt numFmtId="198" formatCode="#,##0.00_);\(#,##0.00\)"/>
    <numFmt numFmtId="199" formatCode="#####0;;\-"/>
    <numFmt numFmtId="200" formatCode="#,##0.00_);[Red]\(#,##0.00\)"/>
    <numFmt numFmtId="201" formatCode="#,##0;;\-__"/>
    <numFmt numFmtId="202" formatCode="#,##0.00;;\-__"/>
    <numFmt numFmtId="203" formatCode="###\ ##0"/>
    <numFmt numFmtId="204" formatCode="#,##0______"/>
    <numFmt numFmtId="205" formatCode="#,##0.00______"/>
    <numFmt numFmtId="206" formatCode="#,##0.00______;;\-______"/>
    <numFmt numFmtId="207" formatCode="#,##0__;;\-__"/>
    <numFmt numFmtId="208" formatCode="#,##0.00__;;\-__"/>
    <numFmt numFmtId="209" formatCode="&quot;基期：民國&quot;@&quot;=100&quot;"/>
    <numFmt numFmtId="210" formatCode="#,##0.00____"/>
    <numFmt numFmtId="211" formatCode="#,##0;;&quot;－&quot;"/>
    <numFmt numFmtId="212" formatCode="##\ ##0;\-##\ ##0;&quot;－&quot;"/>
    <numFmt numFmtId="213" formatCode="###0;;\-"/>
    <numFmt numFmtId="214" formatCode="@&quot;年&quot;&quot;底&quot;"/>
    <numFmt numFmtId="215" formatCode="#,##0;#,##0;&quot;－&quot;;@"/>
    <numFmt numFmtId="216" formatCode="#,##0.0;#,##0.0;&quot;－&quot;;@"/>
    <numFmt numFmtId="217" formatCode="&quot;基期：民國&quot;@&quot;年＝100&quot;"/>
    <numFmt numFmtId="218" formatCode="@&quot;年&quot;"/>
    <numFmt numFmtId="219" formatCode="#,##0;#,##0;&quot;-&quot;;@"/>
    <numFmt numFmtId="220" formatCode="#,##0.00;#,##0.00;&quot;-&quot;;@"/>
    <numFmt numFmtId="221" formatCode="_(* #,##0_);_(* \(#,##0\);_(* &quot;-&quot;_);_(@_)"/>
    <numFmt numFmtId="222" formatCode="_(* #,##0.00_);_(* \(#,##0.00\);_(* &quot;-&quot;_);_(@_)"/>
    <numFmt numFmtId="223" formatCode="__#,##0;;&quot;-&quot;"/>
    <numFmt numFmtId="224" formatCode="_(* #,##0.00_);_(* \(#,##0.00\)\);_(* &quot;-&quot;_);_(@_)"/>
    <numFmt numFmtId="225" formatCode="\ #,##0_-;\-* #,##0_-;\ &quot;－&quot;;@_-"/>
    <numFmt numFmtId="226" formatCode="@&quot;年底&quot;"/>
    <numFmt numFmtId="227" formatCode="&quot;(&quot;0&quot;)&quot;"/>
    <numFmt numFmtId="228" formatCode="_-* #,##0_-;\-* #,##0_-;_-* &quot;－&quot;_-;_-@_-"/>
    <numFmt numFmtId="229" formatCode="#,##0.00;[Red]\(#,##0.00\);\-"/>
    <numFmt numFmtId="230" formatCode="#,##0;_(* \(#,##0\);_(* &quot;-&quot;??_);_(@_)"/>
    <numFmt numFmtId="231" formatCode="#,##0;\-#,##0;\-"/>
    <numFmt numFmtId="232" formatCode="#,##0.00;\-#,##0.00;\-"/>
    <numFmt numFmtId="233" formatCode="#,##0;[Red]#,##0"/>
    <numFmt numFmtId="234" formatCode="_(* #,##0_);_(* \(#,##0\);_(* &quot;-&quot;??_);_(@_)"/>
    <numFmt numFmtId="235" formatCode="#,##0_-;\-#,##0_-;\-_-"/>
    <numFmt numFmtId="236" formatCode="#,##0_);[Red]\(#,##0\);\-_)"/>
    <numFmt numFmtId="237" formatCode="#,##0.00_ ;\ \-#,##0.00_ ;\ &quot;-&quot;_ ;@_ "/>
    <numFmt numFmtId="238" formatCode="#,##0____;;\-____"/>
    <numFmt numFmtId="239" formatCode="#,##0____"/>
    <numFmt numFmtId="240" formatCode="#,##0.00;[Red]#,##0.00"/>
    <numFmt numFmtId="241" formatCode="#,##0.00;;\-"/>
    <numFmt numFmtId="242" formatCode="#,##0;\(#,##0\)"/>
  </numFmts>
  <fonts count="167">
    <font>
      <sz val="12"/>
      <color theme="1"/>
      <name val="新細明體"/>
      <family val="2"/>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9"/>
      <name val="新細明體"/>
      <family val="2"/>
      <charset val="136"/>
      <scheme val="minor"/>
    </font>
    <font>
      <sz val="12"/>
      <name val="新細明體"/>
      <family val="1"/>
      <charset val="136"/>
    </font>
    <font>
      <sz val="12"/>
      <name val="Times New Roman"/>
      <family val="1"/>
    </font>
    <font>
      <sz val="12"/>
      <color theme="1"/>
      <name val="新細明體"/>
      <family val="1"/>
      <charset val="136"/>
      <scheme val="minor"/>
    </font>
    <font>
      <sz val="12"/>
      <color indexed="8"/>
      <name val="新細明體"/>
      <family val="1"/>
      <charset val="136"/>
    </font>
    <font>
      <sz val="12"/>
      <color indexed="8"/>
      <name val="標楷體"/>
      <family val="4"/>
      <charset val="136"/>
    </font>
    <font>
      <sz val="12"/>
      <color indexed="9"/>
      <name val="新細明體"/>
      <family val="1"/>
      <charset val="136"/>
    </font>
    <font>
      <sz val="12"/>
      <color indexed="9"/>
      <name val="標楷體"/>
      <family val="4"/>
      <charset val="136"/>
    </font>
    <font>
      <sz val="12"/>
      <color indexed="60"/>
      <name val="新細明體"/>
      <family val="1"/>
      <charset val="136"/>
    </font>
    <font>
      <sz val="12"/>
      <color indexed="60"/>
      <name val="標楷體"/>
      <family val="4"/>
      <charset val="136"/>
    </font>
    <font>
      <b/>
      <sz val="12"/>
      <color indexed="8"/>
      <name val="新細明體"/>
      <family val="1"/>
      <charset val="136"/>
    </font>
    <font>
      <b/>
      <sz val="12"/>
      <color indexed="8"/>
      <name val="標楷體"/>
      <family val="4"/>
      <charset val="136"/>
    </font>
    <font>
      <sz val="12"/>
      <color indexed="17"/>
      <name val="新細明體"/>
      <family val="1"/>
      <charset val="136"/>
    </font>
    <font>
      <sz val="12"/>
      <color indexed="17"/>
      <name val="標楷體"/>
      <family val="4"/>
      <charset val="136"/>
    </font>
    <font>
      <b/>
      <sz val="12"/>
      <color indexed="52"/>
      <name val="新細明體"/>
      <family val="1"/>
      <charset val="136"/>
    </font>
    <font>
      <b/>
      <sz val="12"/>
      <color indexed="52"/>
      <name val="標楷體"/>
      <family val="4"/>
      <charset val="136"/>
    </font>
    <font>
      <sz val="12"/>
      <color indexed="52"/>
      <name val="新細明體"/>
      <family val="1"/>
      <charset val="136"/>
    </font>
    <font>
      <sz val="12"/>
      <color indexed="52"/>
      <name val="標楷體"/>
      <family val="4"/>
      <charset val="136"/>
    </font>
    <font>
      <u/>
      <sz val="12"/>
      <color theme="10"/>
      <name val="新細明體"/>
      <family val="1"/>
      <charset val="136"/>
      <scheme val="minor"/>
    </font>
    <font>
      <i/>
      <sz val="12"/>
      <color indexed="23"/>
      <name val="新細明體"/>
      <family val="1"/>
      <charset val="136"/>
    </font>
    <font>
      <i/>
      <sz val="12"/>
      <color indexed="23"/>
      <name val="標楷體"/>
      <family val="4"/>
      <charset val="136"/>
    </font>
    <font>
      <b/>
      <sz val="15"/>
      <color indexed="56"/>
      <name val="新細明體"/>
      <family val="1"/>
      <charset val="136"/>
    </font>
    <font>
      <b/>
      <sz val="15"/>
      <color indexed="56"/>
      <name val="標楷體"/>
      <family val="4"/>
      <charset val="136"/>
    </font>
    <font>
      <b/>
      <sz val="13"/>
      <color indexed="56"/>
      <name val="新細明體"/>
      <family val="1"/>
      <charset val="136"/>
    </font>
    <font>
      <b/>
      <sz val="13"/>
      <color indexed="56"/>
      <name val="標楷體"/>
      <family val="4"/>
      <charset val="136"/>
    </font>
    <font>
      <b/>
      <sz val="11"/>
      <color indexed="56"/>
      <name val="新細明體"/>
      <family val="1"/>
      <charset val="136"/>
    </font>
    <font>
      <b/>
      <sz val="11"/>
      <color indexed="56"/>
      <name val="標楷體"/>
      <family val="4"/>
      <charset val="136"/>
    </font>
    <font>
      <b/>
      <sz val="18"/>
      <color indexed="56"/>
      <name val="新細明體"/>
      <family val="1"/>
      <charset val="136"/>
    </font>
    <font>
      <sz val="12"/>
      <color indexed="62"/>
      <name val="新細明體"/>
      <family val="1"/>
      <charset val="136"/>
    </font>
    <font>
      <sz val="12"/>
      <color indexed="62"/>
      <name val="標楷體"/>
      <family val="4"/>
      <charset val="136"/>
    </font>
    <font>
      <b/>
      <sz val="12"/>
      <color indexed="63"/>
      <name val="新細明體"/>
      <family val="1"/>
      <charset val="136"/>
    </font>
    <font>
      <b/>
      <sz val="12"/>
      <color indexed="63"/>
      <name val="標楷體"/>
      <family val="4"/>
      <charset val="136"/>
    </font>
    <font>
      <b/>
      <sz val="12"/>
      <color indexed="9"/>
      <name val="新細明體"/>
      <family val="1"/>
      <charset val="136"/>
    </font>
    <font>
      <b/>
      <sz val="12"/>
      <color indexed="9"/>
      <name val="標楷體"/>
      <family val="4"/>
      <charset val="136"/>
    </font>
    <font>
      <sz val="12"/>
      <color indexed="20"/>
      <name val="新細明體"/>
      <family val="1"/>
      <charset val="136"/>
    </font>
    <font>
      <sz val="12"/>
      <color indexed="20"/>
      <name val="標楷體"/>
      <family val="4"/>
      <charset val="136"/>
    </font>
    <font>
      <sz val="12"/>
      <color indexed="10"/>
      <name val="新細明體"/>
      <family val="1"/>
      <charset val="136"/>
    </font>
    <font>
      <sz val="12"/>
      <color indexed="10"/>
      <name val="標楷體"/>
      <family val="4"/>
      <charset val="136"/>
    </font>
    <font>
      <sz val="9"/>
      <name val="新細明體"/>
      <family val="1"/>
      <charset val="136"/>
    </font>
    <font>
      <u/>
      <sz val="12"/>
      <color theme="10"/>
      <name val="新細明體"/>
      <family val="2"/>
      <charset val="136"/>
      <scheme val="minor"/>
    </font>
    <font>
      <sz val="11"/>
      <color indexed="8"/>
      <name val="Times New Roman"/>
      <family val="1"/>
    </font>
    <font>
      <sz val="12"/>
      <color theme="1"/>
      <name val="標楷體"/>
      <family val="4"/>
      <charset val="136"/>
    </font>
    <font>
      <sz val="11"/>
      <color theme="1"/>
      <name val="標楷體"/>
      <family val="4"/>
      <charset val="136"/>
    </font>
    <font>
      <sz val="11"/>
      <name val="Times New Roman"/>
      <family val="1"/>
    </font>
    <font>
      <sz val="11"/>
      <color theme="1"/>
      <name val="Times New Roman"/>
      <family val="1"/>
    </font>
    <font>
      <sz val="12"/>
      <color theme="1"/>
      <name val="Times New Roman"/>
      <family val="1"/>
    </font>
    <font>
      <sz val="12"/>
      <color indexed="8"/>
      <name val="Times New Roman"/>
      <family val="1"/>
    </font>
    <font>
      <b/>
      <sz val="11"/>
      <color indexed="10"/>
      <name val="Times New Roman"/>
      <family val="1"/>
    </font>
    <font>
      <u/>
      <sz val="12"/>
      <color theme="1"/>
      <name val="Times New Roman"/>
      <family val="1"/>
    </font>
    <font>
      <sz val="11"/>
      <name val="明朝"/>
      <family val="1"/>
      <charset val="128"/>
    </font>
    <font>
      <sz val="12"/>
      <color rgb="FFFF0000"/>
      <name val="Times New Roman"/>
      <family val="1"/>
    </font>
    <font>
      <sz val="12"/>
      <name val="Courier"/>
      <family val="3"/>
    </font>
    <font>
      <sz val="10"/>
      <name val="元易中楷體"/>
      <family val="3"/>
      <charset val="136"/>
    </font>
    <font>
      <sz val="11"/>
      <color indexed="8"/>
      <name val="新細明體"/>
      <family val="1"/>
      <charset val="136"/>
    </font>
    <font>
      <u/>
      <sz val="12"/>
      <color theme="11"/>
      <name val="新細明體"/>
      <family val="2"/>
      <scheme val="minor"/>
    </font>
    <font>
      <sz val="9"/>
      <name val="新細明體"/>
      <family val="3"/>
      <charset val="136"/>
      <scheme val="minor"/>
    </font>
    <font>
      <sz val="10"/>
      <color theme="1"/>
      <name val="Times New Roman"/>
      <family val="1"/>
    </font>
    <font>
      <sz val="15"/>
      <name val="Times New Roman"/>
      <family val="1"/>
    </font>
    <font>
      <sz val="10"/>
      <name val="MS Sans Serif"/>
      <family val="2"/>
    </font>
    <font>
      <sz val="15"/>
      <color theme="1"/>
      <name val="Times New Roman"/>
      <family val="1"/>
    </font>
    <font>
      <sz val="1"/>
      <name val="Times New Roman"/>
      <family val="1"/>
    </font>
    <font>
      <sz val="10"/>
      <name val="Times New Roman"/>
      <family val="1"/>
    </font>
    <font>
      <sz val="10"/>
      <color indexed="22"/>
      <name val="Times New Roman"/>
      <family val="1"/>
    </font>
    <font>
      <sz val="7.5"/>
      <name val="Times New Roman"/>
      <family val="1"/>
    </font>
    <font>
      <sz val="7.5"/>
      <color indexed="8"/>
      <name val="Times New Roman"/>
      <family val="1"/>
    </font>
    <font>
      <sz val="15"/>
      <color indexed="8"/>
      <name val="Times New Roman"/>
      <family val="1"/>
    </font>
    <font>
      <sz val="9"/>
      <name val="細明體"/>
      <family val="3"/>
      <charset val="136"/>
    </font>
    <font>
      <sz val="14"/>
      <color theme="1"/>
      <name val="Times New Roman"/>
      <family val="1"/>
    </font>
    <font>
      <sz val="14"/>
      <color indexed="8"/>
      <name val="Times New Roman"/>
      <family val="1"/>
    </font>
    <font>
      <sz val="20"/>
      <color theme="1"/>
      <name val="Times New Roman"/>
      <family val="1"/>
    </font>
    <font>
      <sz val="11"/>
      <color rgb="FFFF0000"/>
      <name val="Times New Roman"/>
      <family val="1"/>
    </font>
    <font>
      <sz val="11"/>
      <color indexed="8"/>
      <name val="細明體"/>
      <family val="3"/>
      <charset val="136"/>
    </font>
    <font>
      <sz val="15"/>
      <name val="新細明體"/>
      <family val="1"/>
      <charset val="136"/>
    </font>
    <font>
      <sz val="11"/>
      <name val="新細明體"/>
      <family val="1"/>
      <charset val="136"/>
    </font>
    <font>
      <sz val="11"/>
      <color theme="1"/>
      <name val="新細明體"/>
      <family val="1"/>
      <charset val="136"/>
    </font>
    <font>
      <sz val="12"/>
      <color theme="1"/>
      <name val="新細明體"/>
      <family val="1"/>
      <charset val="136"/>
    </font>
    <font>
      <sz val="10"/>
      <name val="新細明體"/>
      <family val="1"/>
      <charset val="136"/>
    </font>
    <font>
      <sz val="14"/>
      <color theme="1"/>
      <name val="新細明體"/>
      <family val="1"/>
      <charset val="136"/>
    </font>
    <font>
      <sz val="14"/>
      <name val="Times New Roman"/>
      <family val="1"/>
    </font>
    <font>
      <sz val="14"/>
      <name val="新細明體"/>
      <family val="1"/>
      <charset val="136"/>
    </font>
    <font>
      <sz val="20"/>
      <color theme="1"/>
      <name val="新細明體"/>
      <family val="1"/>
      <charset val="136"/>
    </font>
    <font>
      <sz val="14"/>
      <color indexed="8"/>
      <name val="新細明體"/>
      <family val="1"/>
      <charset val="136"/>
    </font>
    <font>
      <sz val="14"/>
      <color rgb="FF000000"/>
      <name val="新細明體"/>
      <family val="1"/>
      <charset val="136"/>
    </font>
    <font>
      <sz val="16"/>
      <name val="Times New Roman"/>
      <family val="1"/>
    </font>
    <font>
      <sz val="16"/>
      <name val="新細明體"/>
      <family val="1"/>
      <charset val="136"/>
    </font>
    <font>
      <sz val="16"/>
      <color theme="1"/>
      <name val="新細明體"/>
      <family val="1"/>
      <charset val="136"/>
    </font>
    <font>
      <sz val="15"/>
      <color theme="1"/>
      <name val="新細明體"/>
      <family val="1"/>
      <charset val="136"/>
    </font>
    <font>
      <sz val="7.5"/>
      <name val="新細明體"/>
      <family val="1"/>
      <charset val="136"/>
    </font>
    <font>
      <sz val="7.5"/>
      <color indexed="8"/>
      <name val="新細明體"/>
      <family val="1"/>
      <charset val="136"/>
    </font>
    <font>
      <sz val="15"/>
      <color indexed="8"/>
      <name val="新細明體"/>
      <family val="1"/>
      <charset val="136"/>
    </font>
    <font>
      <sz val="12"/>
      <name val="細明體"/>
      <family val="3"/>
      <charset val="136"/>
    </font>
    <font>
      <sz val="16"/>
      <name val="細明體"/>
      <family val="3"/>
      <charset val="136"/>
    </font>
    <font>
      <sz val="10"/>
      <color theme="1"/>
      <name val="新細明體"/>
      <family val="1"/>
      <charset val="136"/>
    </font>
    <font>
      <sz val="11"/>
      <color theme="1"/>
      <name val="細明體"/>
      <family val="3"/>
      <charset val="136"/>
    </font>
    <font>
      <sz val="15"/>
      <color theme="1"/>
      <name val="細明體"/>
      <family val="3"/>
      <charset val="136"/>
    </font>
    <font>
      <sz val="12"/>
      <color theme="1"/>
      <name val="細明體"/>
      <family val="3"/>
      <charset val="136"/>
    </font>
    <font>
      <sz val="10"/>
      <color theme="1"/>
      <name val="新細明體"/>
      <family val="1"/>
      <charset val="136"/>
      <scheme val="major"/>
    </font>
    <font>
      <sz val="15"/>
      <name val="細明體"/>
      <family val="3"/>
      <charset val="136"/>
    </font>
    <font>
      <sz val="16"/>
      <name val="細明體"/>
      <family val="1"/>
      <charset val="136"/>
    </font>
    <font>
      <sz val="11"/>
      <name val="細明體"/>
      <family val="3"/>
      <charset val="136"/>
    </font>
    <font>
      <sz val="11"/>
      <color indexed="8"/>
      <name val="標楷體"/>
      <family val="4"/>
      <charset val="136"/>
    </font>
    <font>
      <sz val="11"/>
      <name val="標楷體"/>
      <family val="4"/>
      <charset val="136"/>
    </font>
    <font>
      <sz val="11"/>
      <name val="細明體"/>
      <family val="1"/>
      <charset val="136"/>
    </font>
    <font>
      <sz val="11"/>
      <name val="Times New Roman"/>
      <family val="1"/>
      <charset val="136"/>
    </font>
    <font>
      <sz val="11"/>
      <color theme="1"/>
      <name val="DFKai-SB"/>
      <family val="4"/>
      <charset val="136"/>
    </font>
    <font>
      <sz val="12"/>
      <color theme="1"/>
      <name val="Times New Roman"/>
      <family val="1"/>
      <charset val="136"/>
    </font>
    <font>
      <sz val="10"/>
      <name val="Arial"/>
      <family val="2"/>
    </font>
    <font>
      <sz val="12"/>
      <color theme="1"/>
      <name val="新細明體"/>
      <family val="2"/>
      <scheme val="minor"/>
    </font>
    <font>
      <sz val="12"/>
      <color theme="1"/>
      <name val="新細明體"/>
      <family val="2"/>
      <charset val="136"/>
    </font>
    <font>
      <sz val="9"/>
      <name val="新細明體"/>
      <family val="1"/>
      <charset val="136"/>
      <scheme val="minor"/>
    </font>
    <font>
      <sz val="12"/>
      <name val="新細明體"/>
      <family val="1"/>
      <charset val="136"/>
      <scheme val="major"/>
    </font>
    <font>
      <i/>
      <sz val="11"/>
      <name val="Times New Roman"/>
      <family val="1"/>
    </font>
    <font>
      <sz val="10"/>
      <color indexed="9"/>
      <name val="新細明體"/>
      <family val="1"/>
      <charset val="136"/>
    </font>
    <font>
      <sz val="20"/>
      <name val="Times New Roman"/>
      <family val="1"/>
    </font>
    <font>
      <sz val="12"/>
      <name val="標楷體"/>
      <family val="4"/>
      <charset val="136"/>
    </font>
    <font>
      <sz val="18"/>
      <name val="Times New Roman"/>
      <family val="1"/>
    </font>
    <font>
      <sz val="10"/>
      <name val="Times New Roman"/>
      <family val="1"/>
      <charset val="136"/>
    </font>
    <font>
      <sz val="9"/>
      <name val="標楷體"/>
      <family val="4"/>
      <charset val="136"/>
    </font>
    <font>
      <sz val="13"/>
      <color theme="1"/>
      <name val="新細明體"/>
      <family val="1"/>
      <charset val="136"/>
    </font>
    <font>
      <sz val="13"/>
      <name val="Times New Roman"/>
      <family val="1"/>
    </font>
    <font>
      <sz val="13"/>
      <name val="新細明體"/>
      <family val="1"/>
      <charset val="136"/>
    </font>
    <font>
      <sz val="12"/>
      <color indexed="55"/>
      <name val="Times New Roman"/>
      <family val="1"/>
    </font>
    <font>
      <sz val="12"/>
      <color indexed="55"/>
      <name val="新細明體"/>
      <family val="1"/>
      <charset val="136"/>
    </font>
    <font>
      <sz val="12"/>
      <name val="華康中黑體"/>
      <family val="3"/>
      <charset val="136"/>
    </font>
    <font>
      <b/>
      <sz val="12"/>
      <name val="Times New Roman"/>
      <family val="1"/>
    </font>
    <font>
      <sz val="9"/>
      <name val="Times New Roman"/>
      <family val="1"/>
    </font>
    <font>
      <sz val="10"/>
      <name val="細明體"/>
      <family val="3"/>
      <charset val="136"/>
    </font>
    <font>
      <sz val="8"/>
      <name val="Times New Roman"/>
      <family val="1"/>
    </font>
    <font>
      <sz val="8"/>
      <name val="新細明體"/>
      <family val="1"/>
      <charset val="136"/>
    </font>
    <font>
      <sz val="14"/>
      <name val="華康粗黑體(P)"/>
      <family val="1"/>
      <charset val="136"/>
    </font>
    <font>
      <sz val="10.5"/>
      <name val="Times New Roman"/>
      <family val="1"/>
    </font>
    <font>
      <sz val="10.5"/>
      <name val="新細明體"/>
      <family val="1"/>
      <charset val="136"/>
    </font>
    <font>
      <sz val="3.8"/>
      <name val="Times New Roman"/>
      <family val="1"/>
    </font>
    <font>
      <sz val="10"/>
      <color indexed="9"/>
      <name val="Times New Roman"/>
      <family val="1"/>
    </font>
    <font>
      <sz val="10.55"/>
      <name val="Times New Roman"/>
      <family val="1"/>
    </font>
    <font>
      <sz val="9.5"/>
      <name val="Times New Roman"/>
      <family val="1"/>
    </font>
    <font>
      <sz val="9.5"/>
      <name val="新細明體"/>
      <family val="1"/>
      <charset val="136"/>
    </font>
    <font>
      <b/>
      <sz val="14"/>
      <name val="元易粗黑體"/>
      <family val="3"/>
      <charset val="136"/>
    </font>
    <font>
      <sz val="13.5"/>
      <name val="Times New Roman"/>
      <family val="1"/>
    </font>
    <font>
      <sz val="10"/>
      <color rgb="FFFF0000"/>
      <name val="Times New Roman"/>
      <family val="1"/>
    </font>
    <font>
      <sz val="12"/>
      <name val="華康中楷體"/>
      <family val="3"/>
      <charset val="136"/>
    </font>
    <font>
      <sz val="9"/>
      <name val="華康中楷體"/>
      <family val="3"/>
      <charset val="136"/>
    </font>
    <font>
      <sz val="12"/>
      <color theme="1"/>
      <name val="新細明體"/>
      <family val="1"/>
      <charset val="136"/>
      <scheme val="major"/>
    </font>
    <font>
      <sz val="7"/>
      <name val="Times New Roman"/>
      <family val="1"/>
    </font>
    <font>
      <sz val="10"/>
      <color rgb="FF000000"/>
      <name val="新細明體"/>
      <family val="1"/>
      <charset val="136"/>
    </font>
    <font>
      <sz val="10"/>
      <color indexed="8"/>
      <name val="Times New Roman"/>
      <family val="1"/>
    </font>
    <font>
      <sz val="10"/>
      <color indexed="8"/>
      <name val="新細明體"/>
      <family val="1"/>
      <charset val="136"/>
    </font>
    <font>
      <b/>
      <sz val="10"/>
      <name val="Times New Roman"/>
      <family val="1"/>
    </font>
    <font>
      <b/>
      <sz val="12"/>
      <color theme="1"/>
      <name val="Times New Roman"/>
      <family val="1"/>
    </font>
    <font>
      <sz val="12"/>
      <color rgb="FF00B050"/>
      <name val="Times New Roman"/>
      <family val="1"/>
    </font>
    <font>
      <sz val="12"/>
      <name val="DFKai-SB"/>
      <family val="4"/>
      <charset val="136"/>
    </font>
    <font>
      <sz val="10"/>
      <name val="標楷體"/>
      <family val="4"/>
      <charset val="136"/>
    </font>
    <font>
      <sz val="11"/>
      <color theme="1"/>
      <name val="新細明體"/>
      <family val="1"/>
      <charset val="136"/>
      <scheme val="major"/>
    </font>
    <font>
      <sz val="15"/>
      <color theme="1"/>
      <name val="新細明體"/>
      <family val="2"/>
      <charset val="136"/>
    </font>
    <font>
      <sz val="10"/>
      <color theme="1"/>
      <name val="細明體"/>
      <family val="3"/>
      <charset val="136"/>
    </font>
    <font>
      <sz val="10"/>
      <color theme="1"/>
      <name val="新細明體"/>
      <family val="2"/>
      <charset val="136"/>
    </font>
    <font>
      <sz val="12"/>
      <color rgb="FF000000"/>
      <name val="Times New Roman"/>
      <family val="1"/>
    </font>
    <font>
      <sz val="15"/>
      <name val="標楷體"/>
      <family val="4"/>
    </font>
    <font>
      <sz val="12"/>
      <color indexed="8"/>
      <name val="標楷體"/>
      <family val="4"/>
    </font>
    <font>
      <sz val="12"/>
      <name val="新細明體"/>
      <family val="2"/>
      <charset val="136"/>
      <scheme val="minor"/>
    </font>
    <font>
      <sz val="6.75"/>
      <name val="Times New Roman"/>
      <family val="1"/>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s>
  <borders count="105">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diagonal/>
    </border>
    <border>
      <left style="thin">
        <color auto="1"/>
      </left>
      <right style="thin">
        <color auto="1"/>
      </right>
      <top/>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indexed="64"/>
      </top>
      <bottom/>
      <diagonal/>
    </border>
    <border>
      <left style="thin">
        <color auto="1"/>
      </left>
      <right/>
      <top style="thin">
        <color indexed="64"/>
      </top>
      <bottom/>
      <diagonal/>
    </border>
    <border>
      <left/>
      <right/>
      <top style="thick">
        <color auto="1"/>
      </top>
      <bottom style="thin">
        <color auto="1"/>
      </bottom>
      <diagonal/>
    </border>
    <border>
      <left style="thin">
        <color auto="1"/>
      </left>
      <right/>
      <top style="thick">
        <color auto="1"/>
      </top>
      <bottom style="thin">
        <color auto="1"/>
      </bottom>
      <diagonal/>
    </border>
    <border>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double">
        <color auto="1"/>
      </left>
      <right style="thin">
        <color auto="1"/>
      </right>
      <top style="thin">
        <color auto="1"/>
      </top>
      <bottom style="thin">
        <color auto="1"/>
      </bottom>
      <diagonal/>
    </border>
    <border>
      <left style="double">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1"/>
      </left>
      <right style="thin">
        <color theme="1"/>
      </right>
      <top/>
      <bottom/>
      <diagonal/>
    </border>
    <border>
      <left/>
      <right style="thin">
        <color theme="1"/>
      </right>
      <top/>
      <bottom/>
      <diagonal/>
    </border>
    <border>
      <left style="thin">
        <color theme="1"/>
      </left>
      <right style="thin">
        <color indexed="64"/>
      </right>
      <top style="thin">
        <color indexed="64"/>
      </top>
      <bottom/>
      <diagonal/>
    </border>
    <border>
      <left style="thin">
        <color theme="1"/>
      </left>
      <right style="thin">
        <color auto="1"/>
      </right>
      <top/>
      <bottom/>
      <diagonal/>
    </border>
    <border>
      <left/>
      <right/>
      <top/>
      <bottom style="medium">
        <color indexed="64"/>
      </bottom>
      <diagonal/>
    </border>
    <border>
      <left/>
      <right/>
      <top style="medium">
        <color indexed="64"/>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double">
        <color indexed="64"/>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style="thin">
        <color indexed="64"/>
      </right>
      <top style="thin">
        <color indexed="64"/>
      </top>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double">
        <color indexed="64"/>
      </left>
      <right style="thin">
        <color indexed="64"/>
      </right>
      <top/>
      <bottom style="double">
        <color indexed="64"/>
      </bottom>
      <diagonal/>
    </border>
    <border>
      <left/>
      <right style="double">
        <color indexed="64"/>
      </right>
      <top/>
      <bottom/>
      <diagonal/>
    </border>
    <border>
      <left style="thin">
        <color indexed="64"/>
      </left>
      <right style="double">
        <color indexed="64"/>
      </right>
      <top/>
      <bottom style="thin">
        <color indexed="64"/>
      </bottom>
      <diagonal/>
    </border>
    <border>
      <left style="double">
        <color indexed="64"/>
      </left>
      <right style="double">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bottom style="medium">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thin">
        <color indexed="64"/>
      </left>
      <right style="thin">
        <color indexed="64"/>
      </right>
      <top style="double">
        <color indexed="64"/>
      </top>
      <bottom style="thin">
        <color indexed="64"/>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bottom/>
      <diagonal/>
    </border>
    <border>
      <left style="thin">
        <color indexed="64"/>
      </left>
      <right style="double">
        <color indexed="64"/>
      </right>
      <top/>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thin">
        <color indexed="64"/>
      </left>
      <right style="thin">
        <color theme="2" tint="-9.9948118533890809E-2"/>
      </right>
      <top/>
      <bottom style="thin">
        <color auto="1"/>
      </bottom>
      <diagonal/>
    </border>
    <border>
      <left/>
      <right style="thin">
        <color indexed="64"/>
      </right>
      <top style="double">
        <color indexed="64"/>
      </top>
      <bottom/>
      <diagonal/>
    </border>
    <border>
      <left style="thin">
        <color indexed="64"/>
      </left>
      <right/>
      <top/>
      <bottom style="thick">
        <color indexed="64"/>
      </bottom>
      <diagonal/>
    </border>
    <border>
      <left/>
      <right/>
      <top style="thick">
        <color indexed="64"/>
      </top>
      <bottom/>
      <diagonal/>
    </border>
    <border>
      <left/>
      <right style="thin">
        <color indexed="64"/>
      </right>
      <top style="thick">
        <color indexed="64"/>
      </top>
      <bottom/>
      <diagonal/>
    </border>
    <border>
      <left/>
      <right/>
      <top/>
      <bottom style="hair">
        <color indexed="64"/>
      </bottom>
      <diagonal/>
    </border>
    <border>
      <left/>
      <right/>
      <top style="hair">
        <color indexed="64"/>
      </top>
      <bottom/>
      <diagonal/>
    </border>
    <border>
      <left style="thin">
        <color indexed="64"/>
      </left>
      <right/>
      <top style="hair">
        <color indexed="64"/>
      </top>
      <bottom/>
      <diagonal/>
    </border>
    <border>
      <left style="thin">
        <color indexed="64"/>
      </left>
      <right style="double">
        <color indexed="64"/>
      </right>
      <top style="thin">
        <color indexed="64"/>
      </top>
      <bottom/>
      <diagonal/>
    </border>
    <border>
      <left/>
      <right style="double">
        <color auto="1"/>
      </right>
      <top style="thin">
        <color auto="1"/>
      </top>
      <bottom style="thin">
        <color auto="1"/>
      </bottom>
      <diagonal/>
    </border>
    <border>
      <left/>
      <right style="double">
        <color auto="1"/>
      </right>
      <top/>
      <bottom style="thin">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top style="thin">
        <color auto="1"/>
      </top>
      <bottom style="double">
        <color auto="1"/>
      </bottom>
      <diagonal/>
    </border>
    <border>
      <left style="thin">
        <color auto="1"/>
      </left>
      <right/>
      <top/>
      <bottom style="double">
        <color auto="1"/>
      </bottom>
      <diagonal/>
    </border>
    <border>
      <left/>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thin">
        <color auto="1"/>
      </left>
      <right/>
      <top/>
      <bottom style="medium">
        <color auto="1"/>
      </bottom>
      <diagonal/>
    </border>
    <border>
      <left/>
      <right style="thin">
        <color indexed="64"/>
      </right>
      <top style="thick">
        <color indexed="64"/>
      </top>
      <bottom style="thick">
        <color indexed="64"/>
      </bottom>
      <diagonal/>
    </border>
    <border>
      <left style="thin">
        <color auto="1"/>
      </left>
      <right style="thin">
        <color auto="1"/>
      </right>
      <top style="thick">
        <color indexed="64"/>
      </top>
      <bottom style="thick">
        <color indexed="64"/>
      </bottom>
      <diagonal/>
    </border>
    <border>
      <left style="thin">
        <color indexed="64"/>
      </left>
      <right/>
      <top style="thick">
        <color indexed="64"/>
      </top>
      <bottom style="thick">
        <color indexed="64"/>
      </bottom>
      <diagonal/>
    </border>
    <border>
      <left/>
      <right/>
      <top style="thick">
        <color indexed="64"/>
      </top>
      <bottom style="thick">
        <color indexed="64"/>
      </bottom>
      <diagonal/>
    </border>
  </borders>
  <cellStyleXfs count="223">
    <xf numFmtId="0" fontId="0" fillId="0" borderId="0">
      <alignment vertical="center"/>
    </xf>
    <xf numFmtId="0" fontId="8" fillId="0" borderId="0"/>
    <xf numFmtId="0" fontId="10" fillId="2" borderId="0" applyNumberFormat="0" applyBorder="0" applyAlignment="0" applyProtection="0">
      <alignment vertical="center"/>
    </xf>
    <xf numFmtId="0" fontId="11" fillId="2" borderId="0" applyNumberFormat="0" applyBorder="0" applyAlignment="0" applyProtection="0">
      <alignment vertical="center"/>
    </xf>
    <xf numFmtId="0" fontId="10" fillId="3" borderId="0" applyNumberFormat="0" applyBorder="0" applyAlignment="0" applyProtection="0">
      <alignment vertical="center"/>
    </xf>
    <xf numFmtId="0" fontId="11" fillId="3" borderId="0" applyNumberFormat="0" applyBorder="0" applyAlignment="0" applyProtection="0">
      <alignment vertical="center"/>
    </xf>
    <xf numFmtId="0" fontId="10" fillId="4" borderId="0" applyNumberFormat="0" applyBorder="0" applyAlignment="0" applyProtection="0">
      <alignment vertical="center"/>
    </xf>
    <xf numFmtId="0" fontId="11" fillId="4" borderId="0" applyNumberFormat="0" applyBorder="0" applyAlignment="0" applyProtection="0">
      <alignment vertical="center"/>
    </xf>
    <xf numFmtId="0" fontId="10" fillId="5" borderId="0" applyNumberFormat="0" applyBorder="0" applyAlignment="0" applyProtection="0">
      <alignment vertical="center"/>
    </xf>
    <xf numFmtId="0" fontId="11" fillId="5" borderId="0" applyNumberFormat="0" applyBorder="0" applyAlignment="0" applyProtection="0">
      <alignment vertical="center"/>
    </xf>
    <xf numFmtId="0" fontId="10" fillId="6" borderId="0" applyNumberFormat="0" applyBorder="0" applyAlignment="0" applyProtection="0">
      <alignment vertical="center"/>
    </xf>
    <xf numFmtId="0" fontId="11" fillId="6" borderId="0" applyNumberFormat="0" applyBorder="0" applyAlignment="0" applyProtection="0">
      <alignment vertical="center"/>
    </xf>
    <xf numFmtId="0" fontId="10" fillId="7" borderId="0" applyNumberFormat="0" applyBorder="0" applyAlignment="0" applyProtection="0">
      <alignment vertical="center"/>
    </xf>
    <xf numFmtId="0" fontId="11" fillId="7" borderId="0" applyNumberFormat="0" applyBorder="0" applyAlignment="0" applyProtection="0">
      <alignment vertical="center"/>
    </xf>
    <xf numFmtId="0" fontId="10" fillId="8" borderId="0" applyNumberFormat="0" applyBorder="0" applyAlignment="0" applyProtection="0">
      <alignment vertical="center"/>
    </xf>
    <xf numFmtId="0" fontId="11" fillId="8" borderId="0" applyNumberFormat="0" applyBorder="0" applyAlignment="0" applyProtection="0">
      <alignment vertical="center"/>
    </xf>
    <xf numFmtId="0" fontId="10" fillId="9" borderId="0" applyNumberFormat="0" applyBorder="0" applyAlignment="0" applyProtection="0">
      <alignment vertical="center"/>
    </xf>
    <xf numFmtId="0" fontId="11" fillId="9" borderId="0" applyNumberFormat="0" applyBorder="0" applyAlignment="0" applyProtection="0">
      <alignment vertical="center"/>
    </xf>
    <xf numFmtId="0" fontId="10" fillId="10" borderId="0" applyNumberFormat="0" applyBorder="0" applyAlignment="0" applyProtection="0">
      <alignment vertical="center"/>
    </xf>
    <xf numFmtId="0" fontId="11" fillId="10" borderId="0" applyNumberFormat="0" applyBorder="0" applyAlignment="0" applyProtection="0">
      <alignment vertical="center"/>
    </xf>
    <xf numFmtId="0" fontId="10" fillId="5" borderId="0" applyNumberFormat="0" applyBorder="0" applyAlignment="0" applyProtection="0">
      <alignment vertical="center"/>
    </xf>
    <xf numFmtId="0" fontId="11" fillId="5" borderId="0" applyNumberFormat="0" applyBorder="0" applyAlignment="0" applyProtection="0">
      <alignment vertical="center"/>
    </xf>
    <xf numFmtId="0" fontId="10" fillId="8" borderId="0" applyNumberFormat="0" applyBorder="0" applyAlignment="0" applyProtection="0">
      <alignment vertical="center"/>
    </xf>
    <xf numFmtId="0" fontId="11" fillId="8" borderId="0" applyNumberFormat="0" applyBorder="0" applyAlignment="0" applyProtection="0">
      <alignment vertical="center"/>
    </xf>
    <xf numFmtId="0" fontId="10" fillId="11" borderId="0" applyNumberFormat="0" applyBorder="0" applyAlignment="0" applyProtection="0">
      <alignment vertical="center"/>
    </xf>
    <xf numFmtId="0" fontId="11" fillId="11" borderId="0" applyNumberFormat="0" applyBorder="0" applyAlignment="0" applyProtection="0">
      <alignment vertical="center"/>
    </xf>
    <xf numFmtId="0" fontId="12" fillId="12" borderId="0" applyNumberFormat="0" applyBorder="0" applyAlignment="0" applyProtection="0">
      <alignment vertical="center"/>
    </xf>
    <xf numFmtId="0" fontId="13" fillId="12" borderId="0" applyNumberFormat="0" applyBorder="0" applyAlignment="0" applyProtection="0">
      <alignment vertical="center"/>
    </xf>
    <xf numFmtId="0" fontId="12" fillId="9" borderId="0" applyNumberFormat="0" applyBorder="0" applyAlignment="0" applyProtection="0">
      <alignment vertical="center"/>
    </xf>
    <xf numFmtId="0" fontId="13" fillId="9" borderId="0" applyNumberFormat="0" applyBorder="0" applyAlignment="0" applyProtection="0">
      <alignment vertical="center"/>
    </xf>
    <xf numFmtId="0" fontId="12" fillId="10" borderId="0" applyNumberFormat="0" applyBorder="0" applyAlignment="0" applyProtection="0">
      <alignment vertical="center"/>
    </xf>
    <xf numFmtId="0" fontId="13" fillId="10" borderId="0" applyNumberFormat="0" applyBorder="0" applyAlignment="0" applyProtection="0">
      <alignment vertical="center"/>
    </xf>
    <xf numFmtId="0" fontId="12" fillId="13" borderId="0" applyNumberFormat="0" applyBorder="0" applyAlignment="0" applyProtection="0">
      <alignment vertical="center"/>
    </xf>
    <xf numFmtId="0" fontId="13" fillId="13" borderId="0" applyNumberFormat="0" applyBorder="0" applyAlignment="0" applyProtection="0">
      <alignment vertical="center"/>
    </xf>
    <xf numFmtId="0" fontId="12" fillId="14" borderId="0" applyNumberFormat="0" applyBorder="0" applyAlignment="0" applyProtection="0">
      <alignment vertical="center"/>
    </xf>
    <xf numFmtId="0" fontId="13" fillId="14" borderId="0" applyNumberFormat="0" applyBorder="0" applyAlignment="0" applyProtection="0">
      <alignment vertical="center"/>
    </xf>
    <xf numFmtId="0" fontId="12" fillId="15" borderId="0" applyNumberFormat="0" applyBorder="0" applyAlignment="0" applyProtection="0">
      <alignment vertical="center"/>
    </xf>
    <xf numFmtId="0" fontId="13" fillId="15" borderId="0" applyNumberFormat="0" applyBorder="0" applyAlignment="0" applyProtection="0">
      <alignment vertical="center"/>
    </xf>
    <xf numFmtId="0" fontId="7" fillId="0" borderId="0">
      <alignment vertical="center"/>
    </xf>
    <xf numFmtId="0" fontId="9" fillId="0" borderId="0">
      <alignment vertical="center"/>
    </xf>
    <xf numFmtId="0" fontId="9" fillId="0" borderId="0">
      <alignment vertical="center"/>
    </xf>
    <xf numFmtId="0" fontId="10" fillId="0" borderId="0">
      <alignment vertical="center"/>
    </xf>
    <xf numFmtId="0" fontId="8" fillId="0" borderId="0"/>
    <xf numFmtId="0" fontId="5" fillId="0" borderId="0">
      <alignment vertical="center"/>
    </xf>
    <xf numFmtId="0" fontId="10" fillId="0" borderId="0">
      <alignment vertical="center"/>
    </xf>
    <xf numFmtId="0" fontId="8" fillId="0" borderId="0"/>
    <xf numFmtId="0" fontId="8" fillId="0" borderId="0"/>
    <xf numFmtId="0" fontId="7" fillId="0" borderId="0"/>
    <xf numFmtId="0" fontId="7" fillId="0" borderId="0"/>
    <xf numFmtId="0" fontId="7" fillId="0" borderId="0"/>
    <xf numFmtId="43" fontId="10" fillId="0" borderId="0" applyFont="0" applyFill="0" applyBorder="0" applyAlignment="0" applyProtection="0">
      <alignment vertical="center"/>
    </xf>
    <xf numFmtId="43" fontId="7" fillId="0" borderId="0" applyFont="0" applyFill="0" applyBorder="0" applyAlignment="0" applyProtection="0">
      <alignment vertical="center"/>
    </xf>
    <xf numFmtId="176" fontId="8" fillId="0" borderId="0" applyFont="0" applyFill="0" applyBorder="0" applyAlignment="0" applyProtection="0"/>
    <xf numFmtId="43" fontId="7" fillId="0" borderId="0" applyFont="0" applyFill="0" applyBorder="0" applyAlignment="0" applyProtection="0">
      <alignment vertical="center"/>
    </xf>
    <xf numFmtId="0" fontId="14" fillId="16" borderId="0" applyNumberFormat="0" applyBorder="0" applyAlignment="0" applyProtection="0">
      <alignment vertical="center"/>
    </xf>
    <xf numFmtId="0" fontId="15" fillId="16" borderId="0" applyNumberFormat="0" applyBorder="0" applyAlignment="0" applyProtection="0">
      <alignment vertical="center"/>
    </xf>
    <xf numFmtId="0" fontId="16" fillId="0" borderId="4" applyNumberFormat="0" applyFill="0" applyAlignment="0" applyProtection="0">
      <alignment vertical="center"/>
    </xf>
    <xf numFmtId="0" fontId="17" fillId="0" borderId="4" applyNumberFormat="0" applyFill="0" applyAlignment="0" applyProtection="0">
      <alignment vertical="center"/>
    </xf>
    <xf numFmtId="0" fontId="18" fillId="4" borderId="0" applyNumberFormat="0" applyBorder="0" applyAlignment="0" applyProtection="0">
      <alignment vertical="center"/>
    </xf>
    <xf numFmtId="0" fontId="19" fillId="4" borderId="0" applyNumberFormat="0" applyBorder="0" applyAlignment="0" applyProtection="0">
      <alignment vertical="center"/>
    </xf>
    <xf numFmtId="0" fontId="20" fillId="17" borderId="5" applyNumberFormat="0" applyAlignment="0" applyProtection="0">
      <alignment vertical="center"/>
    </xf>
    <xf numFmtId="0" fontId="21" fillId="17" borderId="5" applyNumberFormat="0" applyAlignment="0" applyProtection="0">
      <alignment vertical="center"/>
    </xf>
    <xf numFmtId="0" fontId="22" fillId="0" borderId="6" applyNumberFormat="0" applyFill="0" applyAlignment="0" applyProtection="0">
      <alignment vertical="center"/>
    </xf>
    <xf numFmtId="0" fontId="23" fillId="0" borderId="6" applyNumberFormat="0" applyFill="0" applyAlignment="0" applyProtection="0">
      <alignment vertical="center"/>
    </xf>
    <xf numFmtId="0" fontId="10" fillId="18" borderId="7" applyNumberFormat="0" applyFont="0" applyAlignment="0" applyProtection="0">
      <alignment vertical="center"/>
    </xf>
    <xf numFmtId="0" fontId="8" fillId="18" borderId="7" applyNumberFormat="0" applyFont="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2" fillId="19" borderId="0" applyNumberFormat="0" applyBorder="0" applyAlignment="0" applyProtection="0">
      <alignment vertical="center"/>
    </xf>
    <xf numFmtId="0" fontId="13" fillId="19" borderId="0" applyNumberFormat="0" applyBorder="0" applyAlignment="0" applyProtection="0">
      <alignment vertical="center"/>
    </xf>
    <xf numFmtId="0" fontId="12" fillId="20" borderId="0" applyNumberFormat="0" applyBorder="0" applyAlignment="0" applyProtection="0">
      <alignment vertical="center"/>
    </xf>
    <xf numFmtId="0" fontId="13" fillId="20" borderId="0" applyNumberFormat="0" applyBorder="0" applyAlignment="0" applyProtection="0">
      <alignment vertical="center"/>
    </xf>
    <xf numFmtId="0" fontId="12" fillId="21" borderId="0" applyNumberFormat="0" applyBorder="0" applyAlignment="0" applyProtection="0">
      <alignment vertical="center"/>
    </xf>
    <xf numFmtId="0" fontId="13" fillId="21" borderId="0" applyNumberFormat="0" applyBorder="0" applyAlignment="0" applyProtection="0">
      <alignment vertical="center"/>
    </xf>
    <xf numFmtId="0" fontId="12" fillId="13" borderId="0" applyNumberFormat="0" applyBorder="0" applyAlignment="0" applyProtection="0">
      <alignment vertical="center"/>
    </xf>
    <xf numFmtId="0" fontId="13" fillId="13" borderId="0" applyNumberFormat="0" applyBorder="0" applyAlignment="0" applyProtection="0">
      <alignment vertical="center"/>
    </xf>
    <xf numFmtId="0" fontId="12" fillId="14" borderId="0" applyNumberFormat="0" applyBorder="0" applyAlignment="0" applyProtection="0">
      <alignment vertical="center"/>
    </xf>
    <xf numFmtId="0" fontId="13" fillId="14" borderId="0" applyNumberFormat="0" applyBorder="0" applyAlignment="0" applyProtection="0">
      <alignment vertical="center"/>
    </xf>
    <xf numFmtId="0" fontId="12" fillId="22" borderId="0" applyNumberFormat="0" applyBorder="0" applyAlignment="0" applyProtection="0">
      <alignment vertical="center"/>
    </xf>
    <xf numFmtId="0" fontId="13" fillId="22" borderId="0" applyNumberFormat="0" applyBorder="0" applyAlignment="0" applyProtection="0">
      <alignment vertical="center"/>
    </xf>
    <xf numFmtId="0" fontId="27" fillId="0" borderId="8" applyNumberFormat="0" applyFill="0" applyAlignment="0" applyProtection="0">
      <alignment vertical="center"/>
    </xf>
    <xf numFmtId="0" fontId="28" fillId="0" borderId="8" applyNumberFormat="0" applyFill="0" applyAlignment="0" applyProtection="0">
      <alignment vertical="center"/>
    </xf>
    <xf numFmtId="0" fontId="29" fillId="0" borderId="9" applyNumberFormat="0" applyFill="0" applyAlignment="0" applyProtection="0">
      <alignment vertical="center"/>
    </xf>
    <xf numFmtId="0" fontId="30" fillId="0" borderId="9" applyNumberFormat="0" applyFill="0" applyAlignment="0" applyProtection="0">
      <alignment vertical="center"/>
    </xf>
    <xf numFmtId="0" fontId="31" fillId="0" borderId="10" applyNumberFormat="0" applyFill="0" applyAlignment="0" applyProtection="0">
      <alignment vertical="center"/>
    </xf>
    <xf numFmtId="0" fontId="32" fillId="0" borderId="10" applyNumberFormat="0" applyFill="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7" borderId="5" applyNumberFormat="0" applyAlignment="0" applyProtection="0">
      <alignment vertical="center"/>
    </xf>
    <xf numFmtId="0" fontId="35" fillId="7" borderId="5" applyNumberFormat="0" applyAlignment="0" applyProtection="0">
      <alignment vertical="center"/>
    </xf>
    <xf numFmtId="0" fontId="36" fillId="17" borderId="11" applyNumberFormat="0" applyAlignment="0" applyProtection="0">
      <alignment vertical="center"/>
    </xf>
    <xf numFmtId="0" fontId="37" fillId="17" borderId="11" applyNumberFormat="0" applyAlignment="0" applyProtection="0">
      <alignment vertical="center"/>
    </xf>
    <xf numFmtId="0" fontId="38" fillId="23" borderId="12" applyNumberFormat="0" applyAlignment="0" applyProtection="0">
      <alignment vertical="center"/>
    </xf>
    <xf numFmtId="0" fontId="39" fillId="23" borderId="12" applyNumberFormat="0" applyAlignment="0" applyProtection="0">
      <alignment vertical="center"/>
    </xf>
    <xf numFmtId="0" fontId="40" fillId="3" borderId="0" applyNumberFormat="0" applyBorder="0" applyAlignment="0" applyProtection="0">
      <alignment vertical="center"/>
    </xf>
    <xf numFmtId="0" fontId="41" fillId="3" borderId="0" applyNumberFormat="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5" fillId="0" borderId="0" applyNumberFormat="0" applyFill="0" applyBorder="0" applyAlignment="0" applyProtection="0">
      <alignment vertical="center"/>
    </xf>
    <xf numFmtId="43" fontId="5" fillId="0" borderId="0" applyFont="0" applyFill="0" applyBorder="0" applyAlignment="0" applyProtection="0">
      <alignment vertical="center"/>
    </xf>
    <xf numFmtId="0" fontId="48" fillId="0" borderId="0" applyAlignment="0">
      <alignment vertical="center"/>
    </xf>
    <xf numFmtId="0" fontId="55" fillId="0" borderId="0"/>
    <xf numFmtId="0" fontId="7" fillId="0" borderId="0"/>
    <xf numFmtId="0" fontId="9" fillId="0" borderId="0">
      <alignment vertical="center"/>
    </xf>
    <xf numFmtId="0" fontId="57" fillId="0" borderId="0"/>
    <xf numFmtId="0" fontId="7" fillId="0" borderId="0"/>
    <xf numFmtId="0" fontId="8" fillId="0" borderId="0"/>
    <xf numFmtId="0" fontId="7" fillId="0" borderId="0"/>
    <xf numFmtId="177" fontId="58" fillId="0" borderId="0" applyFont="0" applyFill="0" applyBorder="0" applyAlignment="0" applyProtection="0"/>
    <xf numFmtId="0" fontId="7" fillId="0" borderId="0"/>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43" fontId="4" fillId="0" borderId="0" applyFont="0" applyFill="0" applyBorder="0" applyAlignment="0" applyProtection="0">
      <alignment vertical="center"/>
    </xf>
    <xf numFmtId="0" fontId="64" fillId="0" borderId="0"/>
    <xf numFmtId="0" fontId="9" fillId="0" borderId="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0" fontId="7" fillId="0" borderId="0">
      <alignment vertical="center"/>
    </xf>
    <xf numFmtId="0" fontId="9"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0" fontId="112" fillId="0" borderId="0"/>
    <xf numFmtId="0" fontId="11" fillId="0" borderId="0">
      <alignment vertical="center"/>
    </xf>
    <xf numFmtId="0" fontId="8" fillId="0" borderId="0"/>
    <xf numFmtId="43" fontId="9" fillId="0" borderId="0" applyFont="0" applyFill="0" applyBorder="0" applyAlignment="0" applyProtection="0">
      <alignment vertical="center"/>
    </xf>
    <xf numFmtId="0" fontId="7" fillId="0" borderId="0"/>
    <xf numFmtId="0" fontId="9" fillId="0" borderId="0">
      <alignment vertical="center"/>
    </xf>
    <xf numFmtId="0" fontId="82" fillId="0" borderId="0"/>
    <xf numFmtId="0" fontId="7" fillId="0" borderId="0"/>
    <xf numFmtId="0" fontId="7" fillId="0" borderId="0">
      <alignment vertical="center"/>
    </xf>
    <xf numFmtId="0" fontId="7" fillId="0" borderId="0"/>
    <xf numFmtId="0" fontId="7" fillId="0" borderId="0"/>
    <xf numFmtId="0" fontId="7" fillId="0" borderId="0"/>
    <xf numFmtId="0" fontId="7" fillId="0" borderId="0"/>
    <xf numFmtId="0" fontId="7" fillId="0" borderId="0">
      <alignment vertical="center"/>
    </xf>
    <xf numFmtId="0" fontId="11" fillId="0" borderId="0">
      <alignment vertical="center"/>
    </xf>
    <xf numFmtId="0" fontId="7" fillId="0" borderId="0">
      <alignment vertical="center"/>
    </xf>
    <xf numFmtId="0" fontId="8" fillId="0" borderId="0"/>
    <xf numFmtId="0" fontId="7" fillId="0" borderId="0"/>
    <xf numFmtId="0" fontId="57" fillId="0" borderId="0"/>
    <xf numFmtId="0" fontId="57" fillId="0" borderId="0"/>
    <xf numFmtId="0" fontId="57" fillId="0" borderId="0"/>
    <xf numFmtId="0" fontId="7" fillId="0" borderId="0"/>
    <xf numFmtId="0" fontId="7" fillId="0" borderId="0"/>
    <xf numFmtId="0" fontId="8" fillId="0" borderId="0"/>
    <xf numFmtId="0" fontId="11" fillId="0" borderId="0">
      <alignment vertical="center"/>
    </xf>
    <xf numFmtId="0" fontId="8" fillId="0" borderId="0"/>
    <xf numFmtId="0" fontId="7" fillId="0" borderId="0"/>
    <xf numFmtId="0" fontId="8" fillId="0" borderId="0"/>
    <xf numFmtId="0" fontId="7" fillId="0" borderId="0"/>
    <xf numFmtId="0" fontId="8" fillId="0" borderId="0"/>
    <xf numFmtId="0" fontId="7" fillId="0" borderId="0"/>
    <xf numFmtId="0" fontId="7" fillId="0" borderId="0">
      <alignment vertical="center"/>
    </xf>
    <xf numFmtId="0" fontId="57" fillId="0" borderId="0"/>
    <xf numFmtId="0" fontId="57" fillId="0" borderId="0"/>
    <xf numFmtId="0" fontId="7" fillId="0" borderId="0"/>
    <xf numFmtId="0" fontId="9" fillId="0" borderId="0">
      <alignment vertical="center"/>
    </xf>
    <xf numFmtId="0" fontId="9" fillId="0" borderId="0">
      <alignment vertical="center"/>
    </xf>
    <xf numFmtId="0" fontId="7" fillId="0" borderId="0"/>
    <xf numFmtId="0" fontId="7" fillId="0" borderId="0"/>
    <xf numFmtId="0" fontId="8" fillId="0" borderId="0"/>
    <xf numFmtId="0" fontId="7" fillId="0" borderId="0"/>
    <xf numFmtId="221" fontId="8" fillId="0" borderId="0" applyFont="0" applyFill="0" applyBorder="0" applyAlignment="0" applyProtection="0"/>
    <xf numFmtId="0" fontId="10" fillId="0" borderId="0">
      <alignment vertical="center"/>
    </xf>
    <xf numFmtId="0" fontId="7" fillId="0" borderId="0">
      <alignment vertical="center"/>
    </xf>
    <xf numFmtId="0" fontId="8" fillId="0" borderId="0"/>
    <xf numFmtId="0" fontId="146" fillId="0" borderId="0"/>
    <xf numFmtId="0" fontId="7" fillId="0" borderId="0">
      <alignment vertical="center"/>
    </xf>
    <xf numFmtId="0" fontId="8" fillId="0" borderId="0"/>
    <xf numFmtId="0" fontId="120" fillId="0" borderId="0"/>
    <xf numFmtId="0" fontId="7" fillId="0" borderId="0">
      <alignment vertical="center"/>
    </xf>
    <xf numFmtId="0" fontId="7" fillId="0" borderId="0"/>
    <xf numFmtId="0" fontId="7" fillId="0" borderId="0"/>
    <xf numFmtId="0" fontId="7" fillId="0" borderId="0"/>
    <xf numFmtId="0" fontId="120" fillId="0" borderId="0"/>
    <xf numFmtId="44" fontId="9" fillId="0" borderId="0" applyFont="0" applyFill="0" applyBorder="0" applyAlignment="0" applyProtection="0">
      <alignment vertical="center"/>
    </xf>
    <xf numFmtId="0" fontId="120" fillId="0" borderId="0">
      <alignment vertical="center"/>
    </xf>
    <xf numFmtId="0" fontId="146" fillId="0" borderId="0"/>
    <xf numFmtId="0" fontId="7" fillId="0" borderId="0"/>
    <xf numFmtId="0" fontId="8" fillId="0" borderId="0"/>
    <xf numFmtId="176" fontId="8" fillId="0" borderId="0" applyFont="0" applyFill="0" applyBorder="0" applyAlignment="0" applyProtection="0"/>
    <xf numFmtId="0" fontId="7" fillId="0" borderId="0"/>
    <xf numFmtId="0" fontId="120" fillId="0" borderId="0"/>
    <xf numFmtId="0" fontId="7" fillId="0" borderId="0" applyAlignment="0"/>
    <xf numFmtId="0" fontId="7" fillId="0" borderId="0"/>
    <xf numFmtId="0" fontId="7" fillId="0" borderId="0"/>
    <xf numFmtId="43" fontId="7" fillId="0" borderId="0" applyFont="0" applyFill="0" applyBorder="0" applyAlignment="0" applyProtection="0"/>
    <xf numFmtId="0" fontId="8" fillId="0" borderId="0"/>
    <xf numFmtId="221" fontId="8" fillId="0" borderId="0" applyFont="0" applyFill="0" applyBorder="0" applyAlignment="0" applyProtection="0"/>
    <xf numFmtId="0" fontId="1" fillId="0" borderId="0">
      <alignment vertical="center"/>
    </xf>
    <xf numFmtId="0" fontId="7" fillId="0" borderId="0">
      <alignment vertical="center"/>
    </xf>
    <xf numFmtId="0" fontId="1" fillId="0" borderId="0">
      <alignment vertical="center"/>
    </xf>
    <xf numFmtId="44" fontId="1" fillId="0" borderId="0" applyFont="0" applyFill="0" applyBorder="0" applyAlignment="0" applyProtection="0">
      <alignment vertical="center"/>
    </xf>
    <xf numFmtId="0" fontId="10" fillId="0" borderId="0">
      <alignment vertical="center"/>
    </xf>
    <xf numFmtId="43" fontId="1" fillId="0" borderId="0" applyFont="0" applyFill="0" applyBorder="0" applyAlignment="0" applyProtection="0">
      <alignment vertical="center"/>
    </xf>
    <xf numFmtId="0" fontId="10" fillId="0" borderId="0">
      <alignment vertical="center"/>
    </xf>
    <xf numFmtId="0" fontId="10" fillId="0" borderId="0">
      <alignment vertical="center"/>
    </xf>
    <xf numFmtId="0" fontId="113" fillId="0" borderId="0">
      <alignment vertical="center"/>
    </xf>
    <xf numFmtId="0" fontId="8" fillId="0" borderId="0"/>
  </cellStyleXfs>
  <cellXfs count="4135">
    <xf numFmtId="0" fontId="0" fillId="0" borderId="0" xfId="0">
      <alignment vertical="center"/>
    </xf>
    <xf numFmtId="0" fontId="46" fillId="0" borderId="0" xfId="39" applyFont="1">
      <alignment vertical="center"/>
    </xf>
    <xf numFmtId="0" fontId="46" fillId="0" borderId="0" xfId="39" applyFont="1" applyBorder="1">
      <alignment vertical="center"/>
    </xf>
    <xf numFmtId="0" fontId="46" fillId="0" borderId="0" xfId="39" applyFont="1" applyFill="1">
      <alignment vertical="center"/>
    </xf>
    <xf numFmtId="0" fontId="49" fillId="0" borderId="0" xfId="1" quotePrefix="1" applyFont="1" applyAlignment="1">
      <alignment horizontal="left"/>
    </xf>
    <xf numFmtId="0" fontId="50" fillId="0" borderId="0" xfId="39" applyFont="1" applyAlignment="1">
      <alignment vertical="center"/>
    </xf>
    <xf numFmtId="0" fontId="50" fillId="0" borderId="0" xfId="39" applyFont="1">
      <alignment vertical="center"/>
    </xf>
    <xf numFmtId="0" fontId="50" fillId="0" borderId="0" xfId="39" applyFont="1" applyBorder="1">
      <alignment vertical="center"/>
    </xf>
    <xf numFmtId="0" fontId="49" fillId="0" borderId="0" xfId="1" quotePrefix="1" applyFont="1" applyBorder="1" applyAlignment="1">
      <alignment horizontal="left"/>
    </xf>
    <xf numFmtId="0" fontId="51" fillId="0" borderId="0" xfId="39" applyFont="1">
      <alignment vertical="center"/>
    </xf>
    <xf numFmtId="0" fontId="51" fillId="0" borderId="0" xfId="39" applyFont="1" applyBorder="1">
      <alignment vertical="center"/>
    </xf>
    <xf numFmtId="178" fontId="50" fillId="0" borderId="17" xfId="39" applyNumberFormat="1" applyFont="1" applyBorder="1" applyAlignment="1">
      <alignment horizontal="right" vertical="center"/>
    </xf>
    <xf numFmtId="178" fontId="50" fillId="0" borderId="14" xfId="39" applyNumberFormat="1" applyFont="1" applyBorder="1" applyAlignment="1">
      <alignment horizontal="right" vertical="center"/>
    </xf>
    <xf numFmtId="0" fontId="46" fillId="0" borderId="17" xfId="39" applyFont="1" applyBorder="1" applyAlignment="1">
      <alignment horizontal="right" vertical="center"/>
    </xf>
    <xf numFmtId="0" fontId="52" fillId="0" borderId="0" xfId="39" applyFont="1" applyBorder="1">
      <alignment vertical="center"/>
    </xf>
    <xf numFmtId="49" fontId="49" fillId="0" borderId="2" xfId="1" applyNumberFormat="1" applyFont="1" applyBorder="1" applyAlignment="1">
      <alignment horizontal="centerContinuous" vertical="center"/>
    </xf>
    <xf numFmtId="49" fontId="49" fillId="0" borderId="2" xfId="1" applyNumberFormat="1" applyFont="1" applyBorder="1" applyAlignment="1">
      <alignment horizontal="center" vertical="center"/>
    </xf>
    <xf numFmtId="3" fontId="49" fillId="0" borderId="19" xfId="1" applyNumberFormat="1" applyFont="1" applyBorder="1" applyAlignment="1">
      <alignment horizontal="right" vertical="center"/>
    </xf>
    <xf numFmtId="38" fontId="49" fillId="0" borderId="19" xfId="1" applyNumberFormat="1" applyFont="1" applyBorder="1" applyAlignment="1">
      <alignment horizontal="right" vertical="center"/>
    </xf>
    <xf numFmtId="10" fontId="49" fillId="0" borderId="19" xfId="1" applyNumberFormat="1" applyFont="1" applyBorder="1" applyAlignment="1">
      <alignment horizontal="right" vertical="center"/>
    </xf>
    <xf numFmtId="3" fontId="49" fillId="0" borderId="16" xfId="1" applyNumberFormat="1" applyFont="1" applyBorder="1" applyAlignment="1">
      <alignment horizontal="right" vertical="center"/>
    </xf>
    <xf numFmtId="38" fontId="49" fillId="0" borderId="16" xfId="1" applyNumberFormat="1" applyFont="1" applyBorder="1" applyAlignment="1">
      <alignment horizontal="right" vertical="center"/>
    </xf>
    <xf numFmtId="0" fontId="46" fillId="0" borderId="0" xfId="39" applyFont="1" applyBorder="1" applyAlignment="1">
      <alignment vertical="center"/>
    </xf>
    <xf numFmtId="38" fontId="46" fillId="0" borderId="0" xfId="39" applyNumberFormat="1" applyFont="1" applyBorder="1" applyAlignment="1">
      <alignment horizontal="right" vertical="center"/>
    </xf>
    <xf numFmtId="0" fontId="49" fillId="0" borderId="0" xfId="48" applyFont="1" applyBorder="1" applyAlignment="1">
      <alignment vertical="center"/>
    </xf>
    <xf numFmtId="0" fontId="49" fillId="0" borderId="0" xfId="48" applyFont="1" applyAlignment="1">
      <alignment vertical="center"/>
    </xf>
    <xf numFmtId="0" fontId="49" fillId="0" borderId="2" xfId="48" applyFont="1" applyBorder="1" applyAlignment="1">
      <alignment horizontal="center" vertical="center"/>
    </xf>
    <xf numFmtId="0" fontId="50" fillId="0" borderId="0" xfId="39" applyFont="1" applyFill="1">
      <alignment vertical="center"/>
    </xf>
    <xf numFmtId="0" fontId="51" fillId="0" borderId="0" xfId="0" applyFont="1">
      <alignment vertical="center"/>
    </xf>
    <xf numFmtId="0" fontId="51" fillId="0" borderId="0" xfId="0" applyFont="1" applyBorder="1">
      <alignment vertical="center"/>
    </xf>
    <xf numFmtId="0" fontId="54" fillId="0" borderId="0" xfId="100" applyFont="1" applyFill="1">
      <alignment vertical="center"/>
    </xf>
    <xf numFmtId="0" fontId="51" fillId="0" borderId="0" xfId="0" applyFont="1" applyFill="1">
      <alignment vertical="center"/>
    </xf>
    <xf numFmtId="43" fontId="50" fillId="0" borderId="17" xfId="39" applyNumberFormat="1" applyFont="1" applyBorder="1" applyAlignment="1">
      <alignment horizontal="right" vertical="center"/>
    </xf>
    <xf numFmtId="43" fontId="50" fillId="0" borderId="14" xfId="39" applyNumberFormat="1" applyFont="1" applyBorder="1" applyAlignment="1">
      <alignment horizontal="right" vertical="center"/>
    </xf>
    <xf numFmtId="0" fontId="50" fillId="0" borderId="0" xfId="39" applyFont="1" applyFill="1" applyBorder="1">
      <alignment vertical="center"/>
    </xf>
    <xf numFmtId="0" fontId="46" fillId="0" borderId="0" xfId="39" applyFont="1" applyBorder="1" applyAlignment="1">
      <alignment horizontal="right" vertical="center"/>
    </xf>
    <xf numFmtId="0" fontId="56" fillId="0" borderId="0" xfId="0" applyFont="1">
      <alignment vertical="center"/>
    </xf>
    <xf numFmtId="0" fontId="46" fillId="0" borderId="0" xfId="39" applyFont="1" applyFill="1" applyBorder="1">
      <alignment vertical="center"/>
    </xf>
    <xf numFmtId="0" fontId="49" fillId="0" borderId="0" xfId="39" applyFont="1" applyFill="1">
      <alignment vertical="center"/>
    </xf>
    <xf numFmtId="179" fontId="51" fillId="0" borderId="16" xfId="50" applyNumberFormat="1" applyFont="1" applyBorder="1" applyAlignment="1">
      <alignment vertical="center"/>
    </xf>
    <xf numFmtId="179" fontId="51" fillId="0" borderId="13" xfId="50" applyNumberFormat="1" applyFont="1" applyBorder="1" applyAlignment="1">
      <alignment vertical="center"/>
    </xf>
    <xf numFmtId="0" fontId="8" fillId="0" borderId="0" xfId="0" applyFont="1" applyBorder="1" applyAlignment="1">
      <alignment vertical="center"/>
    </xf>
    <xf numFmtId="0" fontId="8" fillId="0" borderId="0" xfId="0" applyFont="1">
      <alignment vertical="center"/>
    </xf>
    <xf numFmtId="0" fontId="50" fillId="0" borderId="24" xfId="39" applyFont="1" applyBorder="1" applyAlignment="1">
      <alignment horizontal="right" vertical="center"/>
    </xf>
    <xf numFmtId="41" fontId="50" fillId="0" borderId="17" xfId="39" applyNumberFormat="1" applyFont="1" applyBorder="1">
      <alignment vertical="center"/>
    </xf>
    <xf numFmtId="43" fontId="49" fillId="0" borderId="16" xfId="1" applyNumberFormat="1" applyFont="1" applyBorder="1" applyAlignment="1">
      <alignment horizontal="right" vertical="center"/>
    </xf>
    <xf numFmtId="0" fontId="51" fillId="0" borderId="0" xfId="39" applyFont="1" applyBorder="1" applyAlignment="1">
      <alignment horizontal="left" vertical="center"/>
    </xf>
    <xf numFmtId="0" fontId="51" fillId="0" borderId="0" xfId="39" applyFont="1" applyAlignment="1">
      <alignment horizontal="left" vertical="center"/>
    </xf>
    <xf numFmtId="0" fontId="51" fillId="0" borderId="0" xfId="39" applyFont="1" applyAlignment="1">
      <alignment vertical="center"/>
    </xf>
    <xf numFmtId="49" fontId="8" fillId="0" borderId="0" xfId="1" applyNumberFormat="1" applyFont="1" applyAlignment="1">
      <alignment wrapText="1"/>
    </xf>
    <xf numFmtId="41" fontId="46" fillId="0" borderId="0" xfId="39" applyNumberFormat="1" applyFont="1" applyBorder="1" applyAlignment="1">
      <alignment vertical="center"/>
    </xf>
    <xf numFmtId="0" fontId="51" fillId="0" borderId="0" xfId="39" applyFont="1" applyBorder="1" applyAlignment="1">
      <alignment vertical="center"/>
    </xf>
    <xf numFmtId="0" fontId="51" fillId="0" borderId="0" xfId="39" applyFont="1" applyFill="1" applyBorder="1" applyAlignment="1">
      <alignment horizontal="right" vertical="center"/>
    </xf>
    <xf numFmtId="2" fontId="50" fillId="0" borderId="16" xfId="39" applyNumberFormat="1" applyFont="1" applyBorder="1" applyAlignment="1">
      <alignment horizontal="right" vertical="center"/>
    </xf>
    <xf numFmtId="2" fontId="50" fillId="0" borderId="13" xfId="39" applyNumberFormat="1" applyFont="1" applyBorder="1" applyAlignment="1">
      <alignment horizontal="right" vertical="center"/>
    </xf>
    <xf numFmtId="0" fontId="46" fillId="0" borderId="24" xfId="39" applyFont="1" applyBorder="1" applyAlignment="1">
      <alignment horizontal="center" vertical="center"/>
    </xf>
    <xf numFmtId="38" fontId="46" fillId="0" borderId="17" xfId="39" applyNumberFormat="1" applyFont="1" applyBorder="1" applyAlignment="1">
      <alignment horizontal="right" vertical="center"/>
    </xf>
    <xf numFmtId="184" fontId="46" fillId="0" borderId="17" xfId="39" applyNumberFormat="1" applyFont="1" applyBorder="1" applyAlignment="1">
      <alignment horizontal="right" vertical="center"/>
    </xf>
    <xf numFmtId="38" fontId="46" fillId="0" borderId="17" xfId="39" applyNumberFormat="1" applyFont="1" applyFill="1" applyBorder="1" applyAlignment="1">
      <alignment horizontal="right" vertical="center"/>
    </xf>
    <xf numFmtId="0" fontId="46" fillId="0" borderId="1" xfId="39" applyFont="1" applyBorder="1" applyAlignment="1">
      <alignment horizontal="center" vertical="top" wrapText="1"/>
    </xf>
    <xf numFmtId="0" fontId="46" fillId="0" borderId="0" xfId="39" applyFont="1" applyFill="1" applyBorder="1" applyAlignment="1">
      <alignment horizontal="right" vertical="center"/>
    </xf>
    <xf numFmtId="185" fontId="51" fillId="0" borderId="0" xfId="39" applyNumberFormat="1" applyFont="1">
      <alignment vertical="center"/>
    </xf>
    <xf numFmtId="43" fontId="49" fillId="0" borderId="17" xfId="1" applyNumberFormat="1" applyFont="1" applyBorder="1" applyAlignment="1">
      <alignment horizontal="right" vertical="center"/>
    </xf>
    <xf numFmtId="0" fontId="46" fillId="0" borderId="25" xfId="39" applyFont="1" applyBorder="1" applyAlignment="1">
      <alignment horizontal="center" vertical="center"/>
    </xf>
    <xf numFmtId="184" fontId="46" fillId="0" borderId="16" xfId="39" applyNumberFormat="1" applyFont="1" applyBorder="1" applyAlignment="1">
      <alignment horizontal="right" vertical="center"/>
    </xf>
    <xf numFmtId="43" fontId="49" fillId="0" borderId="14" xfId="1" applyNumberFormat="1" applyFont="1" applyBorder="1" applyAlignment="1">
      <alignment horizontal="right" vertical="center"/>
    </xf>
    <xf numFmtId="43" fontId="49" fillId="0" borderId="13" xfId="1" applyNumberFormat="1" applyFont="1" applyBorder="1" applyAlignment="1">
      <alignment horizontal="right" vertical="center"/>
    </xf>
    <xf numFmtId="178" fontId="50" fillId="0" borderId="17" xfId="101" applyNumberFormat="1" applyFont="1" applyBorder="1" applyAlignment="1">
      <alignment horizontal="right" vertical="center"/>
    </xf>
    <xf numFmtId="178" fontId="50" fillId="0" borderId="14" xfId="101" applyNumberFormat="1" applyFont="1" applyBorder="1" applyAlignment="1">
      <alignment horizontal="right" vertical="center"/>
    </xf>
    <xf numFmtId="41" fontId="46" fillId="0" borderId="0" xfId="39" applyNumberFormat="1" applyFont="1" applyBorder="1" applyAlignment="1">
      <alignment horizontal="right" vertical="center"/>
    </xf>
    <xf numFmtId="179" fontId="50" fillId="0" borderId="17" xfId="39" applyNumberFormat="1" applyFont="1" applyBorder="1" applyAlignment="1">
      <alignment horizontal="right" vertical="center"/>
    </xf>
    <xf numFmtId="0" fontId="50" fillId="0" borderId="0" xfId="39" applyFont="1" applyFill="1" applyAlignment="1">
      <alignment horizontal="center" vertical="center"/>
    </xf>
    <xf numFmtId="180" fontId="50" fillId="0" borderId="0" xfId="39" applyNumberFormat="1" applyFont="1" applyAlignment="1">
      <alignment horizontal="right" vertical="center"/>
    </xf>
    <xf numFmtId="43" fontId="50" fillId="0" borderId="16" xfId="39" applyNumberFormat="1" applyFont="1" applyBorder="1" applyAlignment="1">
      <alignment horizontal="right" vertical="center"/>
    </xf>
    <xf numFmtId="43" fontId="50" fillId="0" borderId="13" xfId="39" applyNumberFormat="1" applyFont="1" applyBorder="1" applyAlignment="1">
      <alignment horizontal="right" vertical="center"/>
    </xf>
    <xf numFmtId="41" fontId="49" fillId="0" borderId="0" xfId="101" applyNumberFormat="1" applyFont="1" applyBorder="1" applyAlignment="1">
      <alignment horizontal="right" vertical="center"/>
    </xf>
    <xf numFmtId="41" fontId="49" fillId="0" borderId="17" xfId="101" applyNumberFormat="1" applyFont="1" applyBorder="1" applyAlignment="1">
      <alignment horizontal="right" vertical="center"/>
    </xf>
    <xf numFmtId="41" fontId="50" fillId="0" borderId="0" xfId="101" applyNumberFormat="1" applyFont="1" applyBorder="1" applyAlignment="1">
      <alignment horizontal="right" vertical="center"/>
    </xf>
    <xf numFmtId="41" fontId="49" fillId="0" borderId="16" xfId="101" applyNumberFormat="1" applyFont="1" applyBorder="1" applyAlignment="1">
      <alignment horizontal="right" vertical="center"/>
    </xf>
    <xf numFmtId="41" fontId="49" fillId="0" borderId="17" xfId="48" applyNumberFormat="1" applyFont="1" applyBorder="1" applyAlignment="1">
      <alignment horizontal="right" vertical="center"/>
    </xf>
    <xf numFmtId="41" fontId="46" fillId="0" borderId="0" xfId="39" applyNumberFormat="1" applyFont="1" applyBorder="1">
      <alignment vertical="center"/>
    </xf>
    <xf numFmtId="41" fontId="46" fillId="0" borderId="17" xfId="39" applyNumberFormat="1" applyFont="1" applyBorder="1">
      <alignment vertical="center"/>
    </xf>
    <xf numFmtId="41" fontId="49" fillId="0" borderId="18" xfId="48" applyNumberFormat="1" applyFont="1" applyBorder="1" applyAlignment="1">
      <alignment horizontal="right" vertical="center"/>
    </xf>
    <xf numFmtId="41" fontId="49" fillId="0" borderId="16" xfId="48" applyNumberFormat="1" applyFont="1" applyBorder="1" applyAlignment="1">
      <alignment horizontal="right" vertical="center"/>
    </xf>
    <xf numFmtId="41" fontId="49" fillId="0" borderId="17" xfId="101" applyNumberFormat="1" applyFont="1" applyBorder="1" applyAlignment="1">
      <alignment vertical="center"/>
    </xf>
    <xf numFmtId="41" fontId="49" fillId="0" borderId="0" xfId="101" applyNumberFormat="1" applyFont="1" applyAlignment="1">
      <alignment vertical="center"/>
    </xf>
    <xf numFmtId="41" fontId="46" fillId="0" borderId="17" xfId="39" applyNumberFormat="1" applyFont="1" applyBorder="1" applyAlignment="1">
      <alignment horizontal="right" vertical="center"/>
    </xf>
    <xf numFmtId="41" fontId="49" fillId="0" borderId="18" xfId="48" applyNumberFormat="1" applyFont="1" applyBorder="1" applyAlignment="1">
      <alignment vertical="center"/>
    </xf>
    <xf numFmtId="41" fontId="46" fillId="0" borderId="16" xfId="39" applyNumberFormat="1" applyFont="1" applyBorder="1">
      <alignment vertical="center"/>
    </xf>
    <xf numFmtId="41" fontId="49" fillId="0" borderId="17" xfId="48" applyNumberFormat="1" applyFont="1" applyBorder="1" applyAlignment="1">
      <alignment vertical="center"/>
    </xf>
    <xf numFmtId="41" fontId="53" fillId="0" borderId="17" xfId="39" applyNumberFormat="1" applyFont="1" applyBorder="1">
      <alignment vertical="center"/>
    </xf>
    <xf numFmtId="41" fontId="46" fillId="0" borderId="14" xfId="39" applyNumberFormat="1" applyFont="1" applyBorder="1">
      <alignment vertical="center"/>
    </xf>
    <xf numFmtId="41" fontId="46" fillId="0" borderId="24" xfId="39" applyNumberFormat="1" applyFont="1" applyBorder="1">
      <alignment vertical="center"/>
    </xf>
    <xf numFmtId="41" fontId="46" fillId="0" borderId="13" xfId="39" applyNumberFormat="1" applyFont="1" applyBorder="1">
      <alignment vertical="center"/>
    </xf>
    <xf numFmtId="41" fontId="50" fillId="0" borderId="14" xfId="39" applyNumberFormat="1" applyFont="1" applyBorder="1">
      <alignment vertical="center"/>
    </xf>
    <xf numFmtId="41" fontId="49" fillId="0" borderId="13" xfId="48" applyNumberFormat="1" applyFont="1" applyBorder="1" applyAlignment="1">
      <alignment horizontal="right" vertical="center"/>
    </xf>
    <xf numFmtId="41" fontId="50" fillId="0" borderId="17" xfId="101" applyNumberFormat="1" applyFont="1" applyBorder="1" applyAlignment="1">
      <alignment horizontal="right" vertical="center"/>
    </xf>
    <xf numFmtId="41" fontId="46" fillId="0" borderId="17" xfId="39" applyNumberFormat="1" applyFont="1" applyFill="1" applyBorder="1" applyAlignment="1">
      <alignment horizontal="right" vertical="center"/>
    </xf>
    <xf numFmtId="41" fontId="46" fillId="0" borderId="16" xfId="39" applyNumberFormat="1" applyFont="1" applyBorder="1" applyAlignment="1">
      <alignment horizontal="right" vertical="center"/>
    </xf>
    <xf numFmtId="41" fontId="50" fillId="0" borderId="17" xfId="39" applyNumberFormat="1" applyFont="1" applyBorder="1" applyAlignment="1">
      <alignment horizontal="right" vertical="center"/>
    </xf>
    <xf numFmtId="41" fontId="50" fillId="0" borderId="16" xfId="39" applyNumberFormat="1" applyFont="1" applyBorder="1" applyAlignment="1">
      <alignment horizontal="right" vertical="center"/>
    </xf>
    <xf numFmtId="41" fontId="50" fillId="0" borderId="14" xfId="39" applyNumberFormat="1" applyFont="1" applyBorder="1" applyAlignment="1">
      <alignment horizontal="right" vertical="center"/>
    </xf>
    <xf numFmtId="41" fontId="50" fillId="0" borderId="13" xfId="39" applyNumberFormat="1" applyFont="1" applyBorder="1" applyAlignment="1">
      <alignment horizontal="right" vertical="center"/>
    </xf>
    <xf numFmtId="41" fontId="46" fillId="0" borderId="14" xfId="39" applyNumberFormat="1" applyFont="1" applyBorder="1" applyAlignment="1">
      <alignment horizontal="right" vertical="center"/>
    </xf>
    <xf numFmtId="41" fontId="46" fillId="0" borderId="13" xfId="39" applyNumberFormat="1" applyFont="1" applyBorder="1" applyAlignment="1">
      <alignment horizontal="right" vertical="center"/>
    </xf>
    <xf numFmtId="41" fontId="46" fillId="0" borderId="27" xfId="39" applyNumberFormat="1" applyFont="1" applyBorder="1" applyAlignment="1">
      <alignment horizontal="right" vertical="center"/>
    </xf>
    <xf numFmtId="41" fontId="46" fillId="0" borderId="28" xfId="39" applyNumberFormat="1" applyFont="1" applyBorder="1" applyAlignment="1">
      <alignment horizontal="right" vertical="center"/>
    </xf>
    <xf numFmtId="41" fontId="50" fillId="0" borderId="27" xfId="39" applyNumberFormat="1" applyFont="1" applyBorder="1" applyAlignment="1">
      <alignment horizontal="right" vertical="center"/>
    </xf>
    <xf numFmtId="0" fontId="50" fillId="0" borderId="24" xfId="39" applyFont="1" applyBorder="1" applyAlignment="1">
      <alignment horizontal="center" vertical="center"/>
    </xf>
    <xf numFmtId="0" fontId="62" fillId="0" borderId="0" xfId="39" applyFont="1">
      <alignment vertical="center"/>
    </xf>
    <xf numFmtId="0" fontId="46" fillId="0" borderId="21" xfId="39" applyFont="1" applyFill="1" applyBorder="1" applyAlignment="1">
      <alignment horizontal="center" vertical="center"/>
    </xf>
    <xf numFmtId="0" fontId="46" fillId="0" borderId="0" xfId="39" applyFont="1" applyFill="1" applyBorder="1" applyAlignment="1">
      <alignment horizontal="center" vertical="center"/>
    </xf>
    <xf numFmtId="0" fontId="50" fillId="0" borderId="0" xfId="39" applyFont="1" applyFill="1" applyAlignment="1">
      <alignment vertical="center"/>
    </xf>
    <xf numFmtId="0" fontId="50" fillId="0" borderId="0" xfId="39" applyFont="1" applyFill="1" applyBorder="1" applyAlignment="1">
      <alignment vertical="center"/>
    </xf>
    <xf numFmtId="0" fontId="46" fillId="0" borderId="18" xfId="39" applyFont="1" applyFill="1" applyBorder="1" applyAlignment="1">
      <alignment horizontal="center" vertical="center"/>
    </xf>
    <xf numFmtId="179" fontId="46" fillId="0" borderId="17" xfId="39" applyNumberFormat="1" applyFont="1" applyFill="1" applyBorder="1" applyAlignment="1">
      <alignment horizontal="right" vertical="center"/>
    </xf>
    <xf numFmtId="43" fontId="46" fillId="0" borderId="17" xfId="39" applyNumberFormat="1" applyFont="1" applyFill="1" applyBorder="1" applyAlignment="1">
      <alignment horizontal="right" vertical="center"/>
    </xf>
    <xf numFmtId="178" fontId="46" fillId="0" borderId="17" xfId="39" applyNumberFormat="1" applyFont="1" applyFill="1" applyBorder="1" applyAlignment="1">
      <alignment horizontal="right" vertical="center"/>
    </xf>
    <xf numFmtId="0" fontId="49" fillId="0" borderId="18" xfId="38" applyFont="1" applyFill="1" applyBorder="1" applyAlignment="1">
      <alignment horizontal="center" vertical="center"/>
    </xf>
    <xf numFmtId="179" fontId="49" fillId="0" borderId="17" xfId="38" applyNumberFormat="1" applyFont="1" applyFill="1" applyBorder="1" applyAlignment="1">
      <alignment horizontal="right" vertical="center"/>
    </xf>
    <xf numFmtId="43" fontId="49" fillId="0" borderId="17" xfId="38" applyNumberFormat="1" applyFont="1" applyFill="1" applyBorder="1" applyAlignment="1">
      <alignment horizontal="right" vertical="center"/>
    </xf>
    <xf numFmtId="178" fontId="49" fillId="0" borderId="17" xfId="38" applyNumberFormat="1" applyFont="1" applyFill="1" applyBorder="1" applyAlignment="1">
      <alignment horizontal="right" vertical="center"/>
    </xf>
    <xf numFmtId="179" fontId="49" fillId="0" borderId="16" xfId="38" applyNumberFormat="1" applyFont="1" applyFill="1" applyBorder="1" applyAlignment="1">
      <alignment horizontal="right" vertical="center"/>
    </xf>
    <xf numFmtId="179" fontId="46" fillId="0" borderId="18" xfId="39" applyNumberFormat="1" applyFont="1" applyFill="1" applyBorder="1" applyAlignment="1">
      <alignment horizontal="right" vertical="center"/>
    </xf>
    <xf numFmtId="179" fontId="49" fillId="0" borderId="17" xfId="39" applyNumberFormat="1" applyFont="1" applyFill="1" applyBorder="1" applyAlignment="1">
      <alignment horizontal="right" vertical="center"/>
    </xf>
    <xf numFmtId="179" fontId="49" fillId="0" borderId="16" xfId="39" applyNumberFormat="1" applyFont="1" applyFill="1" applyBorder="1" applyAlignment="1">
      <alignment horizontal="right" vertical="center"/>
    </xf>
    <xf numFmtId="179" fontId="50" fillId="0" borderId="17" xfId="101" applyNumberFormat="1" applyFont="1" applyFill="1" applyBorder="1" applyAlignment="1">
      <alignment horizontal="right" vertical="center"/>
    </xf>
    <xf numFmtId="179" fontId="50" fillId="0" borderId="17" xfId="39" applyNumberFormat="1" applyFont="1" applyFill="1" applyBorder="1" applyAlignment="1">
      <alignment horizontal="right" vertical="center"/>
    </xf>
    <xf numFmtId="43" fontId="50" fillId="0" borderId="17" xfId="39" applyNumberFormat="1" applyFont="1" applyFill="1" applyBorder="1" applyAlignment="1">
      <alignment horizontal="right" vertical="center"/>
    </xf>
    <xf numFmtId="179" fontId="49" fillId="0" borderId="18" xfId="39" applyNumberFormat="1" applyFont="1" applyFill="1" applyBorder="1" applyAlignment="1">
      <alignment horizontal="right" vertical="center"/>
    </xf>
    <xf numFmtId="179" fontId="49" fillId="0" borderId="0" xfId="39" applyNumberFormat="1" applyFont="1" applyFill="1" applyBorder="1" applyAlignment="1">
      <alignment horizontal="right" vertical="center"/>
    </xf>
    <xf numFmtId="0" fontId="46" fillId="0" borderId="15" xfId="39" applyFont="1" applyFill="1" applyBorder="1" applyAlignment="1">
      <alignment horizontal="center" vertical="center"/>
    </xf>
    <xf numFmtId="183" fontId="46" fillId="0" borderId="16" xfId="39" applyNumberFormat="1" applyFont="1" applyFill="1" applyBorder="1" applyAlignment="1">
      <alignment horizontal="right" vertical="center"/>
    </xf>
    <xf numFmtId="41" fontId="49" fillId="0" borderId="17" xfId="38" applyNumberFormat="1" applyFont="1" applyFill="1" applyBorder="1" applyAlignment="1">
      <alignment horizontal="right" vertical="center"/>
    </xf>
    <xf numFmtId="183" fontId="49" fillId="0" borderId="16" xfId="38" applyNumberFormat="1" applyFont="1" applyFill="1" applyBorder="1" applyAlignment="1">
      <alignment horizontal="right" vertical="center"/>
    </xf>
    <xf numFmtId="41" fontId="50" fillId="0" borderId="17" xfId="39" applyNumberFormat="1" applyFont="1" applyFill="1" applyBorder="1">
      <alignment vertical="center"/>
    </xf>
    <xf numFmtId="41" fontId="50" fillId="0" borderId="18" xfId="39" applyNumberFormat="1" applyFont="1" applyFill="1" applyBorder="1">
      <alignment vertical="center"/>
    </xf>
    <xf numFmtId="178" fontId="50" fillId="0" borderId="17" xfId="39" applyNumberFormat="1" applyFont="1" applyFill="1" applyBorder="1">
      <alignment vertical="center"/>
    </xf>
    <xf numFmtId="178" fontId="50" fillId="0" borderId="18" xfId="39" applyNumberFormat="1" applyFont="1" applyFill="1" applyBorder="1">
      <alignment vertical="center"/>
    </xf>
    <xf numFmtId="43" fontId="46" fillId="0" borderId="16" xfId="39" applyNumberFormat="1" applyFont="1" applyFill="1" applyBorder="1" applyAlignment="1">
      <alignment horizontal="right" vertical="center"/>
    </xf>
    <xf numFmtId="178" fontId="50" fillId="0" borderId="14" xfId="39" applyNumberFormat="1" applyFont="1" applyFill="1" applyBorder="1">
      <alignment vertical="center"/>
    </xf>
    <xf numFmtId="0" fontId="50" fillId="0" borderId="18" xfId="39" applyFont="1" applyFill="1" applyBorder="1">
      <alignment vertical="center"/>
    </xf>
    <xf numFmtId="0" fontId="8" fillId="0" borderId="0" xfId="0" applyFont="1" applyFill="1" applyAlignment="1"/>
    <xf numFmtId="0" fontId="51" fillId="0" borderId="0" xfId="0" applyFont="1" applyFill="1" applyAlignment="1"/>
    <xf numFmtId="41" fontId="49" fillId="0" borderId="17" xfId="136" applyNumberFormat="1" applyFont="1" applyBorder="1" applyAlignment="1">
      <alignment vertical="center"/>
    </xf>
    <xf numFmtId="41" fontId="49" fillId="0" borderId="0" xfId="136" applyNumberFormat="1" applyFont="1" applyAlignment="1">
      <alignment vertical="center"/>
    </xf>
    <xf numFmtId="41" fontId="50" fillId="0" borderId="17" xfId="136" applyNumberFormat="1" applyFont="1" applyBorder="1">
      <alignment vertical="center"/>
    </xf>
    <xf numFmtId="41" fontId="50" fillId="0" borderId="0" xfId="136" applyNumberFormat="1" applyFont="1">
      <alignment vertical="center"/>
    </xf>
    <xf numFmtId="41" fontId="50" fillId="0" borderId="14" xfId="136" applyNumberFormat="1" applyFont="1" applyBorder="1">
      <alignment vertical="center"/>
    </xf>
    <xf numFmtId="41" fontId="50" fillId="0" borderId="13" xfId="136" applyNumberFormat="1" applyFont="1" applyBorder="1">
      <alignment vertical="center"/>
    </xf>
    <xf numFmtId="181" fontId="8" fillId="0" borderId="18" xfId="107" applyNumberFormat="1" applyFont="1" applyBorder="1" applyAlignment="1">
      <alignment horizontal="center" vertical="center"/>
    </xf>
    <xf numFmtId="181" fontId="8" fillId="0" borderId="17" xfId="104" applyNumberFormat="1" applyFont="1" applyBorder="1" applyAlignment="1">
      <alignment horizontal="right" vertical="center" indent="1"/>
    </xf>
    <xf numFmtId="181" fontId="8" fillId="0" borderId="16" xfId="104" applyNumberFormat="1" applyFont="1" applyBorder="1" applyAlignment="1">
      <alignment horizontal="right" vertical="center" indent="1"/>
    </xf>
    <xf numFmtId="0" fontId="49" fillId="0" borderId="0" xfId="111" applyFont="1" applyFill="1" applyBorder="1" applyAlignment="1">
      <alignment vertical="center" wrapText="1"/>
    </xf>
    <xf numFmtId="0" fontId="49" fillId="0" borderId="0" xfId="39" applyFont="1" applyFill="1" applyBorder="1">
      <alignment vertical="center"/>
    </xf>
    <xf numFmtId="0" fontId="49" fillId="0" borderId="0" xfId="48" applyFont="1" applyFill="1" applyBorder="1" applyAlignment="1">
      <alignment horizontal="center" vertical="center"/>
    </xf>
    <xf numFmtId="181" fontId="8" fillId="0" borderId="15" xfId="107" applyNumberFormat="1" applyFont="1" applyBorder="1" applyAlignment="1">
      <alignment horizontal="center" vertical="center"/>
    </xf>
    <xf numFmtId="181" fontId="8" fillId="0" borderId="14" xfId="104" applyNumberFormat="1" applyFont="1" applyBorder="1" applyAlignment="1">
      <alignment horizontal="right" vertical="center" indent="1"/>
    </xf>
    <xf numFmtId="181" fontId="8" fillId="0" borderId="13" xfId="104" applyNumberFormat="1" applyFont="1" applyBorder="1" applyAlignment="1">
      <alignment horizontal="right" vertical="center" indent="1"/>
    </xf>
    <xf numFmtId="0" fontId="49" fillId="0" borderId="0" xfId="48" applyFont="1" applyFill="1" applyAlignment="1">
      <alignment horizontal="center" vertical="center"/>
    </xf>
    <xf numFmtId="0" fontId="49" fillId="0" borderId="24" xfId="48" applyFont="1" applyFill="1" applyBorder="1" applyAlignment="1">
      <alignment horizontal="center" vertical="center"/>
    </xf>
    <xf numFmtId="0" fontId="49" fillId="0" borderId="2" xfId="48" applyFont="1" applyFill="1" applyBorder="1" applyAlignment="1">
      <alignment horizontal="center" vertical="center"/>
    </xf>
    <xf numFmtId="178" fontId="49" fillId="0" borderId="17" xfId="101" applyNumberFormat="1" applyFont="1" applyFill="1" applyBorder="1" applyAlignment="1">
      <alignment horizontal="right" vertical="center"/>
    </xf>
    <xf numFmtId="41" fontId="49" fillId="0" borderId="0" xfId="101" applyNumberFormat="1" applyFont="1" applyFill="1" applyBorder="1" applyAlignment="1">
      <alignment horizontal="right" vertical="center"/>
    </xf>
    <xf numFmtId="41" fontId="49" fillId="0" borderId="17" xfId="101" applyNumberFormat="1" applyFont="1" applyFill="1" applyBorder="1" applyAlignment="1">
      <alignment horizontal="right" vertical="center"/>
    </xf>
    <xf numFmtId="41" fontId="50" fillId="0" borderId="0" xfId="101" applyNumberFormat="1" applyFont="1" applyFill="1" applyBorder="1" applyAlignment="1">
      <alignment horizontal="right" vertical="center"/>
    </xf>
    <xf numFmtId="41" fontId="49" fillId="0" borderId="0" xfId="101" applyNumberFormat="1" applyFont="1" applyFill="1" applyAlignment="1">
      <alignment horizontal="right" vertical="center"/>
    </xf>
    <xf numFmtId="0" fontId="49" fillId="0" borderId="0" xfId="1" quotePrefix="1" applyFont="1" applyFill="1" applyBorder="1" applyAlignment="1">
      <alignment horizontal="left"/>
    </xf>
    <xf numFmtId="0" fontId="51" fillId="0" borderId="0" xfId="39" applyFont="1" applyFill="1">
      <alignment vertical="center"/>
    </xf>
    <xf numFmtId="0" fontId="51" fillId="0" borderId="24" xfId="0" applyFont="1" applyFill="1" applyBorder="1">
      <alignment vertical="center"/>
    </xf>
    <xf numFmtId="0" fontId="51" fillId="0" borderId="18" xfId="39" applyFont="1" applyFill="1" applyBorder="1" applyAlignment="1">
      <alignment horizontal="center" vertical="center"/>
    </xf>
    <xf numFmtId="0" fontId="51" fillId="0" borderId="18" xfId="38" applyFont="1" applyFill="1" applyBorder="1" applyAlignment="1">
      <alignment horizontal="center" vertical="center"/>
    </xf>
    <xf numFmtId="0" fontId="51" fillId="0" borderId="15" xfId="39" applyFont="1" applyFill="1" applyBorder="1" applyAlignment="1">
      <alignment horizontal="center" vertical="center"/>
    </xf>
    <xf numFmtId="0" fontId="56" fillId="0" borderId="0" xfId="102" applyFont="1" applyFill="1" applyAlignment="1">
      <alignment horizontal="right" vertical="center"/>
    </xf>
    <xf numFmtId="0" fontId="56" fillId="0" borderId="0" xfId="0" applyFont="1" applyFill="1">
      <alignment vertical="center"/>
    </xf>
    <xf numFmtId="178" fontId="49" fillId="0" borderId="14" xfId="101" applyNumberFormat="1" applyFont="1" applyFill="1" applyBorder="1" applyAlignment="1">
      <alignment horizontal="right" vertical="center"/>
    </xf>
    <xf numFmtId="41" fontId="49" fillId="0" borderId="13" xfId="101" applyNumberFormat="1" applyFont="1" applyFill="1" applyBorder="1" applyAlignment="1">
      <alignment horizontal="right" vertical="center"/>
    </xf>
    <xf numFmtId="41" fontId="49" fillId="0" borderId="14" xfId="101" applyNumberFormat="1" applyFont="1" applyFill="1" applyBorder="1" applyAlignment="1">
      <alignment horizontal="right" vertical="center"/>
    </xf>
    <xf numFmtId="41" fontId="49" fillId="0" borderId="24" xfId="101" applyNumberFormat="1" applyFont="1" applyFill="1" applyBorder="1" applyAlignment="1">
      <alignment horizontal="right" vertical="center"/>
    </xf>
    <xf numFmtId="41" fontId="49" fillId="0" borderId="14" xfId="101" applyNumberFormat="1" applyFont="1" applyBorder="1" applyAlignment="1">
      <alignment horizontal="right" vertical="center"/>
    </xf>
    <xf numFmtId="41" fontId="49" fillId="0" borderId="13" xfId="101" applyNumberFormat="1" applyFont="1" applyBorder="1" applyAlignment="1">
      <alignment horizontal="right" vertical="center"/>
    </xf>
    <xf numFmtId="41" fontId="49" fillId="0" borderId="14" xfId="101" applyNumberFormat="1" applyFont="1" applyBorder="1" applyAlignment="1">
      <alignment vertical="center"/>
    </xf>
    <xf numFmtId="41" fontId="49" fillId="0" borderId="24" xfId="101" applyNumberFormat="1" applyFont="1" applyBorder="1" applyAlignment="1">
      <alignment vertical="center"/>
    </xf>
    <xf numFmtId="0" fontId="8" fillId="0" borderId="0" xfId="104" applyFont="1" applyAlignment="1">
      <alignment vertical="center"/>
    </xf>
    <xf numFmtId="0" fontId="49" fillId="0" borderId="0" xfId="104" applyFont="1" applyAlignment="1">
      <alignment vertical="center"/>
    </xf>
    <xf numFmtId="0" fontId="49" fillId="0" borderId="0" xfId="104" applyFont="1" applyAlignment="1">
      <alignment horizontal="right"/>
    </xf>
    <xf numFmtId="0" fontId="8" fillId="0" borderId="3" xfId="105" applyFont="1" applyBorder="1" applyAlignment="1">
      <alignment horizontal="center" vertical="center"/>
    </xf>
    <xf numFmtId="0" fontId="8" fillId="0" borderId="2" xfId="105" applyFont="1" applyBorder="1" applyAlignment="1">
      <alignment horizontal="center" vertical="center"/>
    </xf>
    <xf numFmtId="0" fontId="8" fillId="0" borderId="1" xfId="105" applyFont="1" applyBorder="1" applyAlignment="1">
      <alignment horizontal="center" vertical="center"/>
    </xf>
    <xf numFmtId="49" fontId="8" fillId="0" borderId="18" xfId="106" quotePrefix="1" applyNumberFormat="1" applyFont="1" applyBorder="1" applyAlignment="1" applyProtection="1">
      <alignment horizontal="center" vertical="center"/>
      <protection locked="0"/>
    </xf>
    <xf numFmtId="0" fontId="66" fillId="0" borderId="0" xfId="104" applyFont="1" applyAlignment="1">
      <alignment vertical="center"/>
    </xf>
    <xf numFmtId="49" fontId="8" fillId="0" borderId="15" xfId="106" quotePrefix="1" applyNumberFormat="1" applyFont="1" applyBorder="1" applyAlignment="1" applyProtection="1">
      <alignment horizontal="center" vertical="center"/>
      <protection locked="0"/>
    </xf>
    <xf numFmtId="0" fontId="67" fillId="0" borderId="0" xfId="108" quotePrefix="1" applyFont="1" applyAlignment="1">
      <alignment horizontal="left" vertical="center"/>
    </xf>
    <xf numFmtId="0" fontId="67" fillId="0" borderId="0" xfId="108" applyFont="1" applyAlignment="1">
      <alignment vertical="center"/>
    </xf>
    <xf numFmtId="0" fontId="68" fillId="0" borderId="0" xfId="108" applyFont="1" applyAlignment="1">
      <alignment vertical="center"/>
    </xf>
    <xf numFmtId="0" fontId="67" fillId="0" borderId="0" xfId="104" applyFont="1" applyAlignment="1">
      <alignment vertical="center"/>
    </xf>
    <xf numFmtId="0" fontId="67" fillId="0" borderId="0" xfId="108" quotePrefix="1" applyFont="1" applyAlignment="1">
      <alignment horizontal="left"/>
    </xf>
    <xf numFmtId="0" fontId="67" fillId="0" borderId="0" xfId="109" applyFont="1" applyAlignment="1">
      <alignment horizontal="left"/>
    </xf>
    <xf numFmtId="0" fontId="8" fillId="0" borderId="0" xfId="104" applyFont="1" applyAlignment="1">
      <alignment vertical="top"/>
    </xf>
    <xf numFmtId="178" fontId="50" fillId="0" borderId="0" xfId="39" applyNumberFormat="1" applyFont="1">
      <alignment vertical="center"/>
    </xf>
    <xf numFmtId="178" fontId="50" fillId="0" borderId="16" xfId="101" applyNumberFormat="1" applyFont="1" applyBorder="1">
      <alignment vertical="center"/>
    </xf>
    <xf numFmtId="2" fontId="50" fillId="0" borderId="16" xfId="39" applyNumberFormat="1" applyFont="1" applyBorder="1">
      <alignment vertical="center"/>
    </xf>
    <xf numFmtId="178" fontId="50" fillId="0" borderId="13" xfId="101" applyNumberFormat="1" applyFont="1" applyBorder="1">
      <alignment vertical="center"/>
    </xf>
    <xf numFmtId="2" fontId="50" fillId="0" borderId="13" xfId="39" applyNumberFormat="1" applyFont="1" applyBorder="1">
      <alignment vertical="center"/>
    </xf>
    <xf numFmtId="180" fontId="50" fillId="0" borderId="24" xfId="39" applyNumberFormat="1" applyFont="1" applyBorder="1" applyAlignment="1">
      <alignment horizontal="right" vertical="center"/>
    </xf>
    <xf numFmtId="180" fontId="50" fillId="0" borderId="0" xfId="39" applyNumberFormat="1" applyFont="1" applyBorder="1" applyAlignment="1">
      <alignment horizontal="right" vertical="center"/>
    </xf>
    <xf numFmtId="3" fontId="46" fillId="0" borderId="0" xfId="101" applyNumberFormat="1" applyFont="1" applyBorder="1" applyAlignment="1">
      <alignment horizontal="right" vertical="center"/>
    </xf>
    <xf numFmtId="0" fontId="73" fillId="0" borderId="14" xfId="39" applyFont="1" applyBorder="1" applyAlignment="1">
      <alignment horizontal="center" vertical="center"/>
    </xf>
    <xf numFmtId="179" fontId="73" fillId="0" borderId="0" xfId="101" applyNumberFormat="1" applyFont="1">
      <alignment vertical="center"/>
    </xf>
    <xf numFmtId="3" fontId="74" fillId="0" borderId="16" xfId="101" applyNumberFormat="1" applyFont="1" applyBorder="1" applyAlignment="1">
      <alignment horizontal="right" vertical="center"/>
    </xf>
    <xf numFmtId="43" fontId="74" fillId="0" borderId="17" xfId="101" applyFont="1" applyBorder="1" applyAlignment="1">
      <alignment horizontal="right" vertical="center"/>
    </xf>
    <xf numFmtId="178" fontId="73" fillId="0" borderId="0" xfId="101" applyNumberFormat="1" applyFont="1">
      <alignment vertical="center"/>
    </xf>
    <xf numFmtId="179" fontId="73" fillId="0" borderId="0" xfId="101" applyNumberFormat="1" applyFont="1" applyBorder="1">
      <alignment vertical="center"/>
    </xf>
    <xf numFmtId="178" fontId="73" fillId="0" borderId="0" xfId="101" applyNumberFormat="1" applyFont="1" applyBorder="1">
      <alignment vertical="center"/>
    </xf>
    <xf numFmtId="179" fontId="73" fillId="0" borderId="17" xfId="101" applyNumberFormat="1" applyFont="1" applyBorder="1">
      <alignment vertical="center"/>
    </xf>
    <xf numFmtId="178" fontId="73" fillId="0" borderId="0" xfId="101" applyNumberFormat="1" applyFont="1" applyFill="1">
      <alignment vertical="center"/>
    </xf>
    <xf numFmtId="179" fontId="73" fillId="0" borderId="14" xfId="101" applyNumberFormat="1" applyFont="1" applyBorder="1">
      <alignment vertical="center"/>
    </xf>
    <xf numFmtId="43" fontId="74" fillId="0" borderId="14" xfId="101" applyFont="1" applyBorder="1" applyAlignment="1">
      <alignment horizontal="right" vertical="center"/>
    </xf>
    <xf numFmtId="0" fontId="74" fillId="0" borderId="0" xfId="39" applyFont="1" applyBorder="1" applyAlignment="1">
      <alignment horizontal="center" vertical="center"/>
    </xf>
    <xf numFmtId="0" fontId="74" fillId="0" borderId="0" xfId="39" applyFont="1" applyBorder="1" applyAlignment="1">
      <alignment vertical="center"/>
    </xf>
    <xf numFmtId="0" fontId="74" fillId="0" borderId="0" xfId="39" applyFont="1">
      <alignment vertical="center"/>
    </xf>
    <xf numFmtId="0" fontId="74" fillId="0" borderId="2" xfId="39" applyFont="1" applyBorder="1" applyAlignment="1">
      <alignment horizontal="center" vertical="center"/>
    </xf>
    <xf numFmtId="0" fontId="74" fillId="0" borderId="25" xfId="39" applyFont="1" applyBorder="1" applyAlignment="1">
      <alignment horizontal="center" vertical="center"/>
    </xf>
    <xf numFmtId="178" fontId="74" fillId="0" borderId="17" xfId="50" applyNumberFormat="1" applyFont="1" applyBorder="1" applyAlignment="1">
      <alignment horizontal="right" vertical="center"/>
    </xf>
    <xf numFmtId="178" fontId="74" fillId="0" borderId="16" xfId="50" applyNumberFormat="1" applyFont="1" applyBorder="1" applyAlignment="1">
      <alignment horizontal="right" vertical="center"/>
    </xf>
    <xf numFmtId="178" fontId="74" fillId="0" borderId="17" xfId="101" applyNumberFormat="1" applyFont="1" applyBorder="1">
      <alignment vertical="center"/>
    </xf>
    <xf numFmtId="178" fontId="74" fillId="0" borderId="16" xfId="101" applyNumberFormat="1" applyFont="1" applyBorder="1">
      <alignment vertical="center"/>
    </xf>
    <xf numFmtId="178" fontId="73" fillId="0" borderId="17" xfId="101" applyNumberFormat="1" applyFont="1" applyBorder="1" applyAlignment="1">
      <alignment horizontal="right" vertical="center"/>
    </xf>
    <xf numFmtId="178" fontId="73" fillId="0" borderId="18" xfId="101" applyNumberFormat="1" applyFont="1" applyBorder="1" applyAlignment="1">
      <alignment horizontal="right" vertical="center"/>
    </xf>
    <xf numFmtId="178" fontId="74" fillId="0" borderId="17" xfId="50" applyNumberFormat="1" applyFont="1" applyFill="1" applyBorder="1" applyAlignment="1">
      <alignment horizontal="right" vertical="center"/>
    </xf>
    <xf numFmtId="178" fontId="74" fillId="0" borderId="16" xfId="50" applyNumberFormat="1" applyFont="1" applyFill="1" applyBorder="1" applyAlignment="1">
      <alignment horizontal="right" vertical="center"/>
    </xf>
    <xf numFmtId="178" fontId="74" fillId="0" borderId="17" xfId="101" applyNumberFormat="1" applyFont="1" applyFill="1" applyBorder="1">
      <alignment vertical="center"/>
    </xf>
    <xf numFmtId="178" fontId="74" fillId="0" borderId="16" xfId="101" applyNumberFormat="1" applyFont="1" applyFill="1" applyBorder="1">
      <alignment vertical="center"/>
    </xf>
    <xf numFmtId="178" fontId="74" fillId="0" borderId="28" xfId="50" applyNumberFormat="1" applyFont="1" applyBorder="1" applyAlignment="1">
      <alignment horizontal="right" vertical="center"/>
    </xf>
    <xf numFmtId="178" fontId="74" fillId="0" borderId="14" xfId="101" applyNumberFormat="1" applyFont="1" applyBorder="1">
      <alignment vertical="center"/>
    </xf>
    <xf numFmtId="178" fontId="74" fillId="0" borderId="18" xfId="50" applyNumberFormat="1" applyFont="1" applyFill="1" applyBorder="1" applyAlignment="1">
      <alignment horizontal="right" vertical="center"/>
    </xf>
    <xf numFmtId="178" fontId="74" fillId="0" borderId="13" xfId="101" applyNumberFormat="1" applyFont="1" applyBorder="1">
      <alignment vertical="center"/>
    </xf>
    <xf numFmtId="179" fontId="52" fillId="0" borderId="20" xfId="39" applyNumberFormat="1" applyFont="1" applyBorder="1" applyAlignment="1">
      <alignment horizontal="right" vertical="center"/>
    </xf>
    <xf numFmtId="2" fontId="52" fillId="0" borderId="20" xfId="39" applyNumberFormat="1" applyFont="1" applyBorder="1" applyAlignment="1">
      <alignment horizontal="right" vertical="center"/>
    </xf>
    <xf numFmtId="179" fontId="52" fillId="0" borderId="17" xfId="39" applyNumberFormat="1" applyFont="1" applyBorder="1" applyAlignment="1">
      <alignment horizontal="right" vertical="center"/>
    </xf>
    <xf numFmtId="0" fontId="52" fillId="0" borderId="17" xfId="39" applyFont="1" applyBorder="1" applyAlignment="1">
      <alignment horizontal="right" vertical="center"/>
    </xf>
    <xf numFmtId="179" fontId="52" fillId="0" borderId="14" xfId="39" applyNumberFormat="1" applyFont="1" applyBorder="1" applyAlignment="1">
      <alignment horizontal="right" vertical="center"/>
    </xf>
    <xf numFmtId="0" fontId="52" fillId="0" borderId="14" xfId="39" applyFont="1" applyBorder="1" applyAlignment="1">
      <alignment horizontal="right" vertical="center"/>
    </xf>
    <xf numFmtId="178" fontId="76" fillId="0" borderId="0" xfId="39" applyNumberFormat="1" applyFont="1" applyFill="1" applyBorder="1">
      <alignment vertical="center"/>
    </xf>
    <xf numFmtId="0" fontId="50" fillId="0" borderId="1" xfId="39" applyFont="1" applyFill="1" applyBorder="1" applyAlignment="1">
      <alignment horizontal="center" vertical="center"/>
    </xf>
    <xf numFmtId="0" fontId="49" fillId="0" borderId="33" xfId="38" applyFont="1" applyFill="1" applyBorder="1" applyAlignment="1">
      <alignment horizontal="center" vertical="center"/>
    </xf>
    <xf numFmtId="0" fontId="49" fillId="0" borderId="18" xfId="47" applyFont="1" applyFill="1" applyBorder="1" applyAlignment="1">
      <alignment horizontal="distributed" vertical="center"/>
    </xf>
    <xf numFmtId="0" fontId="49" fillId="0" borderId="18" xfId="47" applyFont="1" applyFill="1" applyBorder="1" applyAlignment="1">
      <alignment horizontal="right" vertical="center"/>
    </xf>
    <xf numFmtId="0" fontId="49" fillId="0" borderId="15" xfId="47" applyFont="1" applyFill="1" applyBorder="1" applyAlignment="1">
      <alignment horizontal="distributed" vertical="center"/>
    </xf>
    <xf numFmtId="186" fontId="49" fillId="0" borderId="0" xfId="39" applyNumberFormat="1" applyFont="1" applyFill="1" applyBorder="1" applyAlignment="1">
      <alignment horizontal="right" vertical="center"/>
    </xf>
    <xf numFmtId="186" fontId="49" fillId="0" borderId="17" xfId="39" applyNumberFormat="1" applyFont="1" applyFill="1" applyBorder="1">
      <alignment vertical="center"/>
    </xf>
    <xf numFmtId="186" fontId="49" fillId="0" borderId="0" xfId="39" applyNumberFormat="1" applyFont="1" applyFill="1" applyBorder="1">
      <alignment vertical="center"/>
    </xf>
    <xf numFmtId="0" fontId="46" fillId="0" borderId="1" xfId="39" applyFont="1" applyBorder="1" applyAlignment="1">
      <alignment horizontal="center" vertical="center"/>
    </xf>
    <xf numFmtId="49" fontId="49" fillId="0" borderId="1" xfId="1" applyNumberFormat="1" applyFont="1" applyBorder="1" applyAlignment="1">
      <alignment horizontal="center" vertical="center"/>
    </xf>
    <xf numFmtId="0" fontId="50" fillId="0" borderId="26" xfId="39" applyFont="1" applyBorder="1" applyAlignment="1">
      <alignment horizontal="center" vertical="center"/>
    </xf>
    <xf numFmtId="0" fontId="50" fillId="0" borderId="1" xfId="39" applyFont="1" applyBorder="1" applyAlignment="1">
      <alignment horizontal="center" vertical="center"/>
    </xf>
    <xf numFmtId="0" fontId="73" fillId="0" borderId="15" xfId="39" applyFont="1" applyBorder="1" applyAlignment="1">
      <alignment horizontal="center" vertical="center"/>
    </xf>
    <xf numFmtId="178" fontId="50" fillId="0" borderId="27" xfId="39" applyNumberFormat="1" applyFont="1" applyBorder="1" applyAlignment="1">
      <alignment horizontal="right" vertical="center"/>
    </xf>
    <xf numFmtId="43" fontId="50" fillId="0" borderId="28" xfId="39" applyNumberFormat="1" applyFont="1" applyBorder="1" applyAlignment="1">
      <alignment horizontal="right" vertical="center"/>
    </xf>
    <xf numFmtId="43" fontId="50" fillId="0" borderId="27" xfId="39" applyNumberFormat="1" applyFont="1" applyBorder="1" applyAlignment="1">
      <alignment horizontal="right" vertical="center"/>
    </xf>
    <xf numFmtId="178" fontId="50" fillId="0" borderId="17" xfId="139" applyNumberFormat="1" applyFont="1" applyBorder="1" applyAlignment="1">
      <alignment horizontal="right" vertical="center"/>
    </xf>
    <xf numFmtId="2" fontId="50" fillId="0" borderId="28" xfId="39" applyNumberFormat="1" applyFont="1" applyBorder="1" applyAlignment="1">
      <alignment horizontal="right" vertical="center"/>
    </xf>
    <xf numFmtId="178" fontId="50" fillId="0" borderId="27" xfId="139" applyNumberFormat="1" applyFont="1" applyBorder="1" applyAlignment="1">
      <alignment horizontal="right" vertical="center"/>
    </xf>
    <xf numFmtId="178" fontId="50" fillId="0" borderId="28" xfId="139" applyNumberFormat="1" applyFont="1" applyBorder="1">
      <alignment vertical="center"/>
    </xf>
    <xf numFmtId="2" fontId="50" fillId="0" borderId="28" xfId="39" applyNumberFormat="1" applyFont="1" applyBorder="1">
      <alignment vertical="center"/>
    </xf>
    <xf numFmtId="178" fontId="50" fillId="0" borderId="16" xfId="101" applyNumberFormat="1" applyFont="1" applyFill="1" applyBorder="1">
      <alignment vertical="center"/>
    </xf>
    <xf numFmtId="2" fontId="50" fillId="0" borderId="16" xfId="39" applyNumberFormat="1" applyFont="1" applyFill="1" applyBorder="1">
      <alignment vertical="center"/>
    </xf>
    <xf numFmtId="179" fontId="50" fillId="0" borderId="18" xfId="39" applyNumberFormat="1" applyFont="1" applyBorder="1" applyAlignment="1">
      <alignment horizontal="right" vertical="center"/>
    </xf>
    <xf numFmtId="179" fontId="46" fillId="0" borderId="17" xfId="39" applyNumberFormat="1" applyFont="1" applyBorder="1" applyAlignment="1">
      <alignment horizontal="right" vertical="center"/>
    </xf>
    <xf numFmtId="179" fontId="46" fillId="0" borderId="14" xfId="39" applyNumberFormat="1" applyFont="1" applyBorder="1" applyAlignment="1">
      <alignment horizontal="right" vertical="center"/>
    </xf>
    <xf numFmtId="179" fontId="46" fillId="0" borderId="13" xfId="39" applyNumberFormat="1" applyFont="1" applyBorder="1" applyAlignment="1">
      <alignment horizontal="right" vertical="center"/>
    </xf>
    <xf numFmtId="179" fontId="50" fillId="0" borderId="16" xfId="39" applyNumberFormat="1" applyFont="1" applyBorder="1" applyAlignment="1">
      <alignment horizontal="right" vertical="center"/>
    </xf>
    <xf numFmtId="179" fontId="50" fillId="0" borderId="27" xfId="39" applyNumberFormat="1" applyFont="1" applyBorder="1" applyAlignment="1">
      <alignment horizontal="right" vertical="center"/>
    </xf>
    <xf numFmtId="178" fontId="50" fillId="0" borderId="16" xfId="140" applyNumberFormat="1" applyFont="1" applyBorder="1" applyAlignment="1">
      <alignment horizontal="right" vertical="center"/>
    </xf>
    <xf numFmtId="178" fontId="50" fillId="0" borderId="17" xfId="140" applyNumberFormat="1" applyFont="1" applyBorder="1">
      <alignment vertical="center"/>
    </xf>
    <xf numFmtId="179" fontId="50" fillId="0" borderId="13" xfId="39" applyNumberFormat="1" applyFont="1" applyBorder="1" applyAlignment="1">
      <alignment horizontal="right" vertical="center"/>
    </xf>
    <xf numFmtId="179" fontId="50" fillId="0" borderId="14" xfId="39" applyNumberFormat="1" applyFont="1" applyBorder="1" applyAlignment="1">
      <alignment horizontal="right" vertical="center"/>
    </xf>
    <xf numFmtId="178" fontId="50" fillId="0" borderId="14" xfId="140" applyNumberFormat="1" applyFont="1" applyBorder="1">
      <alignment vertical="center"/>
    </xf>
    <xf numFmtId="179" fontId="50" fillId="0" borderId="15" xfId="39" applyNumberFormat="1" applyFont="1" applyBorder="1" applyAlignment="1">
      <alignment horizontal="right" vertical="center"/>
    </xf>
    <xf numFmtId="0" fontId="51" fillId="0" borderId="26" xfId="39" applyFont="1" applyBorder="1" applyAlignment="1">
      <alignment horizontal="center" vertical="center"/>
    </xf>
    <xf numFmtId="179" fontId="50" fillId="0" borderId="28" xfId="39" applyNumberFormat="1" applyFont="1" applyBorder="1" applyAlignment="1">
      <alignment horizontal="right" vertical="center"/>
    </xf>
    <xf numFmtId="0" fontId="49" fillId="0" borderId="18" xfId="141" applyFont="1" applyBorder="1" applyAlignment="1">
      <alignment vertical="center" wrapText="1"/>
    </xf>
    <xf numFmtId="0" fontId="49" fillId="0" borderId="0" xfId="141" applyFont="1" applyBorder="1" applyAlignment="1">
      <alignment vertical="center" wrapText="1"/>
    </xf>
    <xf numFmtId="186" fontId="49" fillId="0" borderId="18" xfId="39" applyNumberFormat="1" applyFont="1" applyFill="1" applyBorder="1">
      <alignment vertical="center"/>
    </xf>
    <xf numFmtId="0" fontId="8" fillId="0" borderId="18" xfId="47" applyFont="1" applyFill="1" applyBorder="1" applyAlignment="1">
      <alignment horizontal="center" vertical="center"/>
    </xf>
    <xf numFmtId="179" fontId="73" fillId="0" borderId="0" xfId="139" applyNumberFormat="1" applyFont="1">
      <alignment vertical="center"/>
    </xf>
    <xf numFmtId="43" fontId="74" fillId="0" borderId="17" xfId="139" applyFont="1" applyBorder="1" applyAlignment="1">
      <alignment horizontal="right" vertical="center"/>
    </xf>
    <xf numFmtId="178" fontId="73" fillId="0" borderId="0" xfId="139" applyNumberFormat="1" applyFont="1">
      <alignment vertical="center"/>
    </xf>
    <xf numFmtId="3" fontId="74" fillId="0" borderId="16" xfId="139" applyNumberFormat="1" applyFont="1" applyBorder="1" applyAlignment="1">
      <alignment horizontal="right" vertical="center"/>
    </xf>
    <xf numFmtId="0" fontId="73" fillId="0" borderId="0" xfId="39" applyFont="1">
      <alignment vertical="center"/>
    </xf>
    <xf numFmtId="0" fontId="49" fillId="0" borderId="21" xfId="47" applyFont="1" applyFill="1" applyBorder="1" applyAlignment="1">
      <alignment horizontal="distributed" vertical="center"/>
    </xf>
    <xf numFmtId="0" fontId="49" fillId="0" borderId="0" xfId="47" applyFont="1" applyFill="1" applyBorder="1" applyAlignment="1">
      <alignment horizontal="distributed" vertical="center"/>
    </xf>
    <xf numFmtId="0" fontId="51" fillId="0" borderId="24" xfId="0" applyFont="1" applyBorder="1" applyAlignment="1">
      <alignment horizontal="right" vertical="center"/>
    </xf>
    <xf numFmtId="0" fontId="51" fillId="0" borderId="26" xfId="39" applyFont="1" applyBorder="1" applyAlignment="1">
      <alignment horizontal="right" vertical="center"/>
    </xf>
    <xf numFmtId="0" fontId="51" fillId="0" borderId="17" xfId="39" applyFont="1" applyBorder="1">
      <alignment vertical="center"/>
    </xf>
    <xf numFmtId="0" fontId="50" fillId="0" borderId="0" xfId="39" applyFont="1" applyAlignment="1">
      <alignment horizontal="left" vertical="top"/>
    </xf>
    <xf numFmtId="0" fontId="73" fillId="0" borderId="2" xfId="39" applyFont="1" applyBorder="1" applyAlignment="1">
      <alignment horizontal="center" vertical="center"/>
    </xf>
    <xf numFmtId="0" fontId="73" fillId="0" borderId="1" xfId="39" applyFont="1" applyBorder="1" applyAlignment="1">
      <alignment horizontal="center" vertical="center"/>
    </xf>
    <xf numFmtId="0" fontId="51" fillId="0" borderId="24" xfId="39" applyFont="1" applyBorder="1" applyAlignment="1">
      <alignment vertical="center"/>
    </xf>
    <xf numFmtId="0" fontId="8" fillId="0" borderId="18" xfId="138" applyFont="1" applyBorder="1" applyAlignment="1">
      <alignment horizontal="distributed" vertical="center" wrapText="1"/>
    </xf>
    <xf numFmtId="0" fontId="8" fillId="0" borderId="18" xfId="138" applyFont="1" applyFill="1" applyBorder="1" applyAlignment="1">
      <alignment horizontal="distributed" vertical="center" wrapText="1"/>
    </xf>
    <xf numFmtId="0" fontId="49" fillId="0" borderId="0" xfId="1" applyFont="1" applyBorder="1" applyAlignment="1">
      <alignment horizontal="left" vertical="center"/>
    </xf>
    <xf numFmtId="0" fontId="49" fillId="0" borderId="0" xfId="1" applyFont="1" applyFill="1" applyBorder="1" applyAlignment="1">
      <alignment horizontal="left" vertical="center"/>
    </xf>
    <xf numFmtId="0" fontId="49" fillId="0" borderId="0" xfId="39" applyFont="1" applyFill="1" applyAlignment="1">
      <alignment horizontal="left" vertical="center"/>
    </xf>
    <xf numFmtId="0" fontId="49" fillId="0" borderId="1" xfId="38" applyFont="1" applyFill="1" applyBorder="1" applyAlignment="1">
      <alignment horizontal="center" vertical="center"/>
    </xf>
    <xf numFmtId="179" fontId="46" fillId="0" borderId="16" xfId="39" applyNumberFormat="1" applyFont="1" applyBorder="1" applyAlignment="1">
      <alignment horizontal="right" vertical="center"/>
    </xf>
    <xf numFmtId="0" fontId="74" fillId="0" borderId="1" xfId="39" applyFont="1" applyBorder="1" applyAlignment="1">
      <alignment horizontal="center" vertical="center"/>
    </xf>
    <xf numFmtId="0" fontId="74" fillId="0" borderId="3" xfId="39" applyFont="1" applyBorder="1" applyAlignment="1">
      <alignment horizontal="center" vertical="center"/>
    </xf>
    <xf numFmtId="0" fontId="74" fillId="0" borderId="24" xfId="39" applyFont="1" applyBorder="1" applyAlignment="1">
      <alignment horizontal="center" vertical="center"/>
    </xf>
    <xf numFmtId="0" fontId="49" fillId="0" borderId="2" xfId="38" applyFont="1" applyFill="1" applyBorder="1" applyAlignment="1">
      <alignment horizontal="center" vertical="center"/>
    </xf>
    <xf numFmtId="0" fontId="49" fillId="0" borderId="1" xfId="48" applyFont="1" applyBorder="1" applyAlignment="1">
      <alignment horizontal="center" vertical="center"/>
    </xf>
    <xf numFmtId="0" fontId="49" fillId="0" borderId="24" xfId="48" applyFont="1" applyBorder="1" applyAlignment="1">
      <alignment horizontal="center" vertical="center"/>
    </xf>
    <xf numFmtId="0" fontId="49" fillId="0" borderId="1" xfId="48" applyFont="1" applyFill="1" applyBorder="1" applyAlignment="1">
      <alignment horizontal="center" vertical="center"/>
    </xf>
    <xf numFmtId="0" fontId="69" fillId="0" borderId="0" xfId="109" applyFont="1" applyAlignment="1">
      <alignment horizontal="left" vertical="center"/>
    </xf>
    <xf numFmtId="0" fontId="69" fillId="0" borderId="0" xfId="108" quotePrefix="1" applyFont="1" applyAlignment="1">
      <alignment horizontal="left" vertical="center"/>
    </xf>
    <xf numFmtId="41" fontId="49" fillId="0" borderId="17" xfId="143" applyNumberFormat="1" applyFont="1" applyBorder="1" applyAlignment="1">
      <alignment vertical="center"/>
    </xf>
    <xf numFmtId="41" fontId="49" fillId="0" borderId="16" xfId="143" applyNumberFormat="1" applyFont="1" applyBorder="1" applyAlignment="1">
      <alignment vertical="center"/>
    </xf>
    <xf numFmtId="41" fontId="50" fillId="0" borderId="17" xfId="143" applyNumberFormat="1" applyFont="1" applyBorder="1">
      <alignment vertical="center"/>
    </xf>
    <xf numFmtId="41" fontId="50" fillId="0" borderId="16" xfId="143" applyNumberFormat="1" applyFont="1" applyBorder="1">
      <alignment vertical="center"/>
    </xf>
    <xf numFmtId="41" fontId="50" fillId="0" borderId="14" xfId="143" applyNumberFormat="1" applyFont="1" applyBorder="1">
      <alignment vertical="center"/>
    </xf>
    <xf numFmtId="41" fontId="50" fillId="0" borderId="13" xfId="143" applyNumberFormat="1" applyFont="1" applyBorder="1">
      <alignment vertical="center"/>
    </xf>
    <xf numFmtId="41" fontId="49" fillId="0" borderId="17" xfId="140" applyNumberFormat="1" applyFont="1" applyBorder="1" applyAlignment="1">
      <alignment horizontal="right" vertical="center"/>
    </xf>
    <xf numFmtId="41" fontId="49" fillId="0" borderId="0" xfId="140" applyNumberFormat="1" applyFont="1" applyAlignment="1">
      <alignment horizontal="right" vertical="center"/>
    </xf>
    <xf numFmtId="41" fontId="49" fillId="0" borderId="14" xfId="140" applyNumberFormat="1" applyFont="1" applyBorder="1" applyAlignment="1">
      <alignment horizontal="right" vertical="center"/>
    </xf>
    <xf numFmtId="41" fontId="49" fillId="0" borderId="24" xfId="140" applyNumberFormat="1" applyFont="1" applyBorder="1" applyAlignment="1">
      <alignment horizontal="right" vertical="center"/>
    </xf>
    <xf numFmtId="41" fontId="49" fillId="0" borderId="17" xfId="144" applyNumberFormat="1" applyFont="1" applyBorder="1" applyAlignment="1">
      <alignment vertical="center"/>
    </xf>
    <xf numFmtId="41" fontId="49" fillId="0" borderId="0" xfId="144" applyNumberFormat="1" applyFont="1" applyAlignment="1">
      <alignment vertical="center"/>
    </xf>
    <xf numFmtId="41" fontId="49" fillId="0" borderId="14" xfId="144" applyNumberFormat="1" applyFont="1" applyBorder="1" applyAlignment="1">
      <alignment vertical="center"/>
    </xf>
    <xf numFmtId="41" fontId="49" fillId="0" borderId="24" xfId="144" applyNumberFormat="1" applyFont="1" applyBorder="1" applyAlignment="1">
      <alignment vertical="center"/>
    </xf>
    <xf numFmtId="43" fontId="50" fillId="0" borderId="0" xfId="39" applyNumberFormat="1" applyFont="1" applyBorder="1" applyAlignment="1">
      <alignment horizontal="right" vertical="center"/>
    </xf>
    <xf numFmtId="0" fontId="89" fillId="0" borderId="18" xfId="138" applyFont="1" applyBorder="1" applyAlignment="1">
      <alignment horizontal="distributed" vertical="center" wrapText="1"/>
    </xf>
    <xf numFmtId="0" fontId="50" fillId="0" borderId="0" xfId="0" applyFont="1" applyFill="1" applyAlignment="1">
      <alignment horizontal="left" vertical="distributed"/>
    </xf>
    <xf numFmtId="0" fontId="46" fillId="0" borderId="0" xfId="39" applyFont="1" applyAlignment="1">
      <alignment horizontal="center" vertical="center"/>
    </xf>
    <xf numFmtId="0" fontId="46" fillId="0" borderId="15" xfId="39" applyFont="1" applyBorder="1" applyAlignment="1">
      <alignment horizontal="center" vertical="center"/>
    </xf>
    <xf numFmtId="0" fontId="46" fillId="0" borderId="0" xfId="39" applyFont="1" applyAlignment="1">
      <alignment vertical="center"/>
    </xf>
    <xf numFmtId="0" fontId="46" fillId="0" borderId="0" xfId="39" applyFont="1" applyAlignment="1">
      <alignment horizontal="right" vertical="center"/>
    </xf>
    <xf numFmtId="178" fontId="50" fillId="0" borderId="15" xfId="39" applyNumberFormat="1" applyFont="1" applyFill="1" applyBorder="1">
      <alignment vertical="center"/>
    </xf>
    <xf numFmtId="43" fontId="46" fillId="0" borderId="14" xfId="39" applyNumberFormat="1" applyFont="1" applyFill="1" applyBorder="1" applyAlignment="1">
      <alignment horizontal="right" vertical="center"/>
    </xf>
    <xf numFmtId="41" fontId="46" fillId="0" borderId="28" xfId="39" applyNumberFormat="1" applyFont="1" applyFill="1" applyBorder="1" applyAlignment="1">
      <alignment horizontal="right" vertical="center"/>
    </xf>
    <xf numFmtId="43" fontId="46" fillId="0" borderId="27" xfId="39" applyNumberFormat="1" applyFont="1" applyFill="1" applyBorder="1" applyAlignment="1">
      <alignment horizontal="right" vertical="center"/>
    </xf>
    <xf numFmtId="41" fontId="49" fillId="0" borderId="27" xfId="38" applyNumberFormat="1" applyFont="1" applyFill="1" applyBorder="1" applyAlignment="1">
      <alignment horizontal="right" vertical="center"/>
    </xf>
    <xf numFmtId="0" fontId="46" fillId="0" borderId="3" xfId="39" applyFont="1" applyBorder="1" applyAlignment="1">
      <alignment horizontal="center" vertical="center"/>
    </xf>
    <xf numFmtId="0" fontId="79" fillId="0" borderId="2" xfId="38" applyFont="1" applyFill="1" applyBorder="1" applyAlignment="1">
      <alignment horizontal="center" vertical="center"/>
    </xf>
    <xf numFmtId="0" fontId="79" fillId="0" borderId="1" xfId="38" applyFont="1" applyFill="1" applyBorder="1" applyAlignment="1">
      <alignment horizontal="center" vertical="center"/>
    </xf>
    <xf numFmtId="41" fontId="49" fillId="0" borderId="16" xfId="38" applyNumberFormat="1" applyFont="1" applyFill="1" applyBorder="1" applyAlignment="1">
      <alignment horizontal="right" vertical="center"/>
    </xf>
    <xf numFmtId="41" fontId="46" fillId="0" borderId="18" xfId="39" applyNumberFormat="1" applyFont="1" applyFill="1" applyBorder="1" applyAlignment="1">
      <alignment horizontal="right" vertical="center"/>
    </xf>
    <xf numFmtId="41" fontId="46" fillId="0" borderId="16" xfId="39" applyNumberFormat="1" applyFont="1" applyFill="1" applyBorder="1" applyAlignment="1">
      <alignment horizontal="right" vertical="center"/>
    </xf>
    <xf numFmtId="41" fontId="50" fillId="0" borderId="16" xfId="39" applyNumberFormat="1" applyFont="1" applyFill="1" applyBorder="1">
      <alignment vertical="center"/>
    </xf>
    <xf numFmtId="178" fontId="50" fillId="0" borderId="16" xfId="39" applyNumberFormat="1" applyFont="1" applyFill="1" applyBorder="1">
      <alignment vertical="center"/>
    </xf>
    <xf numFmtId="178" fontId="50" fillId="0" borderId="13" xfId="39" applyNumberFormat="1" applyFont="1" applyFill="1" applyBorder="1">
      <alignment vertical="center"/>
    </xf>
    <xf numFmtId="179" fontId="46" fillId="0" borderId="16" xfId="39" applyNumberFormat="1" applyFont="1" applyBorder="1" applyAlignment="1">
      <alignment horizontal="right" vertical="center"/>
    </xf>
    <xf numFmtId="0" fontId="49" fillId="0" borderId="3" xfId="38" applyFont="1" applyFill="1" applyBorder="1" applyAlignment="1">
      <alignment horizontal="center" vertical="center"/>
    </xf>
    <xf numFmtId="0" fontId="46" fillId="0" borderId="27" xfId="39" applyFont="1" applyBorder="1" applyAlignment="1">
      <alignment horizontal="center" vertical="center"/>
    </xf>
    <xf numFmtId="0" fontId="46" fillId="0" borderId="17" xfId="39" applyFont="1" applyBorder="1" applyAlignment="1">
      <alignment horizontal="center" vertical="center"/>
    </xf>
    <xf numFmtId="0" fontId="46" fillId="0" borderId="14" xfId="39" applyFont="1" applyBorder="1" applyAlignment="1">
      <alignment horizontal="center" vertical="center"/>
    </xf>
    <xf numFmtId="0" fontId="50" fillId="0" borderId="26" xfId="39" applyFont="1" applyBorder="1" applyAlignment="1">
      <alignment horizontal="center" vertical="center"/>
    </xf>
    <xf numFmtId="0" fontId="50" fillId="0" borderId="1" xfId="39" applyFont="1" applyBorder="1" applyAlignment="1">
      <alignment horizontal="center" vertical="center"/>
    </xf>
    <xf numFmtId="0" fontId="50" fillId="0" borderId="3" xfId="39" applyFont="1" applyBorder="1" applyAlignment="1">
      <alignment horizontal="center" vertical="center"/>
    </xf>
    <xf numFmtId="0" fontId="51" fillId="0" borderId="1" xfId="39" applyFont="1" applyBorder="1" applyAlignment="1">
      <alignment horizontal="center" vertical="center"/>
    </xf>
    <xf numFmtId="0" fontId="51" fillId="0" borderId="3" xfId="39" applyFont="1" applyBorder="1" applyAlignment="1">
      <alignment horizontal="center" vertical="center"/>
    </xf>
    <xf numFmtId="0" fontId="49" fillId="0" borderId="3" xfId="48" applyFont="1" applyBorder="1" applyAlignment="1">
      <alignment horizontal="center" vertical="center"/>
    </xf>
    <xf numFmtId="0" fontId="49" fillId="0" borderId="1" xfId="48" applyFont="1" applyFill="1" applyBorder="1" applyAlignment="1">
      <alignment horizontal="center" vertical="center"/>
    </xf>
    <xf numFmtId="0" fontId="49" fillId="0" borderId="22" xfId="48" applyFont="1" applyFill="1" applyBorder="1" applyAlignment="1">
      <alignment horizontal="center" vertical="center"/>
    </xf>
    <xf numFmtId="0" fontId="49" fillId="0" borderId="3" xfId="48" applyFont="1" applyFill="1" applyBorder="1" applyAlignment="1">
      <alignment horizontal="center" vertical="center"/>
    </xf>
    <xf numFmtId="0" fontId="49" fillId="0" borderId="21" xfId="111" applyFont="1" applyFill="1" applyBorder="1" applyAlignment="1">
      <alignment horizontal="center" vertical="center" wrapText="1"/>
    </xf>
    <xf numFmtId="41" fontId="49" fillId="0" borderId="28" xfId="38" applyNumberFormat="1" applyFont="1" applyFill="1" applyBorder="1" applyAlignment="1">
      <alignment horizontal="right" vertical="center"/>
    </xf>
    <xf numFmtId="41" fontId="49" fillId="0" borderId="21" xfId="38" applyNumberFormat="1" applyFont="1" applyFill="1" applyBorder="1" applyAlignment="1">
      <alignment horizontal="right" vertical="center"/>
    </xf>
    <xf numFmtId="183" fontId="49" fillId="0" borderId="28" xfId="38" applyNumberFormat="1" applyFont="1" applyFill="1" applyBorder="1" applyAlignment="1">
      <alignment horizontal="right" vertical="center"/>
    </xf>
    <xf numFmtId="41" fontId="49" fillId="0" borderId="18" xfId="38" applyNumberFormat="1" applyFont="1" applyFill="1" applyBorder="1" applyAlignment="1">
      <alignment horizontal="right" vertical="center"/>
    </xf>
    <xf numFmtId="0" fontId="46" fillId="0" borderId="17" xfId="39" applyFont="1" applyFill="1" applyBorder="1" applyAlignment="1">
      <alignment horizontal="center" vertical="center"/>
    </xf>
    <xf numFmtId="0" fontId="46" fillId="0" borderId="14" xfId="39" applyFont="1" applyFill="1" applyBorder="1" applyAlignment="1">
      <alignment horizontal="center" vertical="center"/>
    </xf>
    <xf numFmtId="41" fontId="46" fillId="0" borderId="14" xfId="39" applyNumberFormat="1" applyFont="1" applyFill="1" applyBorder="1" applyAlignment="1">
      <alignment horizontal="right" vertical="center"/>
    </xf>
    <xf numFmtId="179" fontId="46" fillId="0" borderId="14" xfId="39" applyNumberFormat="1" applyFont="1" applyFill="1" applyBorder="1" applyAlignment="1">
      <alignment horizontal="right" vertical="center"/>
    </xf>
    <xf numFmtId="41" fontId="49" fillId="0" borderId="14" xfId="38" applyNumberFormat="1" applyFont="1" applyFill="1" applyBorder="1" applyAlignment="1">
      <alignment horizontal="right" vertical="center"/>
    </xf>
    <xf numFmtId="183" fontId="46" fillId="0" borderId="13" xfId="39" applyNumberFormat="1" applyFont="1" applyFill="1" applyBorder="1" applyAlignment="1">
      <alignment horizontal="right" vertical="center"/>
    </xf>
    <xf numFmtId="42" fontId="50" fillId="0" borderId="27" xfId="39" applyNumberFormat="1" applyFont="1" applyFill="1" applyBorder="1" applyAlignment="1">
      <alignment horizontal="right" vertical="center"/>
    </xf>
    <xf numFmtId="42" fontId="50" fillId="0" borderId="17" xfId="39" applyNumberFormat="1" applyFont="1" applyFill="1" applyBorder="1" applyAlignment="1">
      <alignment horizontal="right" vertical="center"/>
    </xf>
    <xf numFmtId="42" fontId="50" fillId="0" borderId="14" xfId="39" applyNumberFormat="1" applyFont="1" applyFill="1" applyBorder="1" applyAlignment="1">
      <alignment horizontal="right" vertical="center"/>
    </xf>
    <xf numFmtId="41" fontId="51" fillId="0" borderId="16" xfId="39" quotePrefix="1" applyNumberFormat="1" applyFont="1" applyBorder="1" applyAlignment="1">
      <alignment horizontal="right" vertical="center"/>
    </xf>
    <xf numFmtId="41" fontId="50" fillId="0" borderId="14" xfId="39" applyNumberFormat="1" applyFont="1" applyFill="1" applyBorder="1">
      <alignment vertical="center"/>
    </xf>
    <xf numFmtId="0" fontId="49" fillId="0" borderId="26" xfId="38" applyFont="1" applyFill="1" applyBorder="1" applyAlignment="1">
      <alignment horizontal="center" vertical="center"/>
    </xf>
    <xf numFmtId="0" fontId="50" fillId="0" borderId="3" xfId="39" applyFont="1" applyFill="1" applyBorder="1" applyAlignment="1">
      <alignment horizontal="center" vertical="center"/>
    </xf>
    <xf numFmtId="43" fontId="49" fillId="0" borderId="27" xfId="38" applyNumberFormat="1" applyFont="1" applyFill="1" applyBorder="1" applyAlignment="1">
      <alignment horizontal="right" vertical="center"/>
    </xf>
    <xf numFmtId="0" fontId="46" fillId="0" borderId="22" xfId="39" applyFont="1" applyBorder="1">
      <alignment vertical="center"/>
    </xf>
    <xf numFmtId="49" fontId="49" fillId="0" borderId="3" xfId="1" applyNumberFormat="1" applyFont="1" applyBorder="1" applyAlignment="1">
      <alignment horizontal="centerContinuous" vertical="center"/>
    </xf>
    <xf numFmtId="41" fontId="49" fillId="0" borderId="17" xfId="1" applyNumberFormat="1" applyFont="1" applyBorder="1" applyAlignment="1">
      <alignment horizontal="right" vertical="center"/>
    </xf>
    <xf numFmtId="41" fontId="49" fillId="0" borderId="16" xfId="1" applyNumberFormat="1" applyFont="1" applyBorder="1" applyAlignment="1">
      <alignment horizontal="right" vertical="center"/>
    </xf>
    <xf numFmtId="41" fontId="49" fillId="0" borderId="13" xfId="1" applyNumberFormat="1" applyFont="1" applyBorder="1" applyAlignment="1">
      <alignment horizontal="right" vertical="center"/>
    </xf>
    <xf numFmtId="41" fontId="49" fillId="0" borderId="14" xfId="1" applyNumberFormat="1" applyFont="1" applyBorder="1" applyAlignment="1">
      <alignment horizontal="right" vertical="center"/>
    </xf>
    <xf numFmtId="178" fontId="51" fillId="0" borderId="0" xfId="39" applyNumberFormat="1" applyFont="1">
      <alignment vertical="center"/>
    </xf>
    <xf numFmtId="0" fontId="96" fillId="0" borderId="15" xfId="138" applyFont="1" applyBorder="1" applyAlignment="1">
      <alignment horizontal="distributed" vertical="center" wrapText="1"/>
    </xf>
    <xf numFmtId="0" fontId="97" fillId="0" borderId="15" xfId="138" applyFont="1" applyBorder="1" applyAlignment="1">
      <alignment horizontal="distributed" vertical="center" wrapText="1"/>
    </xf>
    <xf numFmtId="178" fontId="74" fillId="0" borderId="14" xfId="50" applyNumberFormat="1" applyFont="1" applyFill="1" applyBorder="1" applyAlignment="1">
      <alignment horizontal="right" vertical="center"/>
    </xf>
    <xf numFmtId="178" fontId="74" fillId="0" borderId="13" xfId="50" applyNumberFormat="1" applyFont="1" applyFill="1" applyBorder="1" applyAlignment="1">
      <alignment horizontal="right" vertical="center"/>
    </xf>
    <xf numFmtId="0" fontId="84" fillId="0" borderId="0" xfId="1" quotePrefix="1" applyFont="1" applyBorder="1" applyAlignment="1">
      <alignment horizontal="left"/>
    </xf>
    <xf numFmtId="0" fontId="51" fillId="0" borderId="21" xfId="39" applyFont="1" applyBorder="1" applyAlignment="1">
      <alignment horizontal="center" vertical="center"/>
    </xf>
    <xf numFmtId="0" fontId="51" fillId="0" borderId="28" xfId="39" applyFont="1" applyBorder="1" applyAlignment="1">
      <alignment horizontal="center" vertical="center"/>
    </xf>
    <xf numFmtId="0" fontId="81" fillId="0" borderId="3" xfId="39" applyFont="1" applyBorder="1" applyAlignment="1">
      <alignment horizontal="center" vertical="center"/>
    </xf>
    <xf numFmtId="0" fontId="81" fillId="0" borderId="26" xfId="39" applyFont="1" applyBorder="1" applyAlignment="1">
      <alignment horizontal="center" vertical="center"/>
    </xf>
    <xf numFmtId="0" fontId="81" fillId="0" borderId="1" xfId="39" applyFont="1" applyBorder="1" applyAlignment="1">
      <alignment horizontal="center" vertical="center"/>
    </xf>
    <xf numFmtId="43" fontId="46" fillId="0" borderId="17" xfId="39" applyNumberFormat="1" applyFont="1" applyBorder="1" applyAlignment="1">
      <alignment horizontal="right" vertical="center"/>
    </xf>
    <xf numFmtId="43" fontId="46" fillId="0" borderId="14" xfId="39" applyNumberFormat="1" applyFont="1" applyBorder="1" applyAlignment="1">
      <alignment horizontal="right" vertical="center"/>
    </xf>
    <xf numFmtId="43" fontId="46" fillId="0" borderId="16" xfId="39" applyNumberFormat="1" applyFont="1" applyBorder="1" applyAlignment="1">
      <alignment horizontal="right" vertical="center"/>
    </xf>
    <xf numFmtId="43" fontId="46" fillId="0" borderId="13" xfId="39" applyNumberFormat="1" applyFont="1" applyBorder="1" applyAlignment="1">
      <alignment horizontal="right" vertical="center"/>
    </xf>
    <xf numFmtId="43" fontId="50" fillId="0" borderId="0" xfId="39" applyNumberFormat="1" applyFont="1" applyAlignment="1">
      <alignment horizontal="right" vertical="center"/>
    </xf>
    <xf numFmtId="43" fontId="51" fillId="0" borderId="0" xfId="39" quotePrefix="1" applyNumberFormat="1" applyFont="1" applyBorder="1" applyAlignment="1">
      <alignment horizontal="right" vertical="center"/>
    </xf>
    <xf numFmtId="43" fontId="50" fillId="0" borderId="24" xfId="39" applyNumberFormat="1" applyFont="1" applyBorder="1" applyAlignment="1">
      <alignment horizontal="right" vertical="center"/>
    </xf>
    <xf numFmtId="0" fontId="51" fillId="0" borderId="17" xfId="39" applyFont="1" applyBorder="1" applyAlignment="1">
      <alignment horizontal="center" vertical="center"/>
    </xf>
    <xf numFmtId="41" fontId="51" fillId="0" borderId="17" xfId="39" applyNumberFormat="1" applyFont="1" applyBorder="1" applyAlignment="1">
      <alignment horizontal="right" vertical="center"/>
    </xf>
    <xf numFmtId="41" fontId="51" fillId="0" borderId="16" xfId="39" applyNumberFormat="1" applyFont="1" applyBorder="1" applyAlignment="1">
      <alignment horizontal="right" vertical="center"/>
    </xf>
    <xf numFmtId="41" fontId="51" fillId="0" borderId="17" xfId="39" quotePrefix="1" applyNumberFormat="1" applyFont="1" applyBorder="1" applyAlignment="1">
      <alignment horizontal="right" vertical="center"/>
    </xf>
    <xf numFmtId="41" fontId="51" fillId="0" borderId="18" xfId="39" quotePrefix="1" applyNumberFormat="1" applyFont="1" applyBorder="1" applyAlignment="1">
      <alignment horizontal="right" vertical="center"/>
    </xf>
    <xf numFmtId="41" fontId="8" fillId="0" borderId="17" xfId="49" applyNumberFormat="1" applyFont="1" applyBorder="1" applyAlignment="1">
      <alignment vertical="center"/>
    </xf>
    <xf numFmtId="41" fontId="8" fillId="0" borderId="17" xfId="49" applyNumberFormat="1" applyFont="1" applyBorder="1" applyAlignment="1">
      <alignment horizontal="right" vertical="center"/>
    </xf>
    <xf numFmtId="0" fontId="8" fillId="0" borderId="0" xfId="47" applyFont="1" applyFill="1" applyBorder="1" applyAlignment="1">
      <alignment horizontal="distributed" vertical="center"/>
    </xf>
    <xf numFmtId="0" fontId="51" fillId="0" borderId="22" xfId="39" applyFont="1" applyBorder="1">
      <alignment vertical="center"/>
    </xf>
    <xf numFmtId="41" fontId="8" fillId="0" borderId="27" xfId="49" applyNumberFormat="1" applyFont="1" applyBorder="1" applyAlignment="1">
      <alignment vertical="center"/>
    </xf>
    <xf numFmtId="0" fontId="8" fillId="0" borderId="24" xfId="47" applyFont="1" applyFill="1" applyBorder="1" applyAlignment="1">
      <alignment horizontal="distributed" vertical="center"/>
    </xf>
    <xf numFmtId="41" fontId="51" fillId="0" borderId="17" xfId="39" applyNumberFormat="1" applyFont="1" applyBorder="1">
      <alignment vertical="center"/>
    </xf>
    <xf numFmtId="41" fontId="51" fillId="0" borderId="28" xfId="39" applyNumberFormat="1" applyFont="1" applyBorder="1" applyAlignment="1">
      <alignment horizontal="right" vertical="center"/>
    </xf>
    <xf numFmtId="41" fontId="8" fillId="0" borderId="17" xfId="50" applyNumberFormat="1" applyFont="1" applyBorder="1" applyAlignment="1">
      <alignment vertical="center"/>
    </xf>
    <xf numFmtId="41" fontId="8" fillId="0" borderId="16" xfId="50" applyNumberFormat="1" applyFont="1" applyBorder="1" applyAlignment="1">
      <alignment horizontal="right" vertical="center"/>
    </xf>
    <xf numFmtId="41" fontId="8" fillId="0" borderId="16" xfId="50" applyNumberFormat="1" applyFont="1" applyBorder="1" applyAlignment="1">
      <alignment vertical="center"/>
    </xf>
    <xf numFmtId="41" fontId="8" fillId="0" borderId="17" xfId="50" applyNumberFormat="1" applyFont="1" applyBorder="1" applyAlignment="1">
      <alignment horizontal="right" vertical="center"/>
    </xf>
    <xf numFmtId="41" fontId="51" fillId="0" borderId="18" xfId="39" applyNumberFormat="1" applyFont="1" applyBorder="1">
      <alignment vertical="center"/>
    </xf>
    <xf numFmtId="41" fontId="51" fillId="0" borderId="17" xfId="39" applyNumberFormat="1" applyFont="1" applyFill="1" applyBorder="1" applyAlignment="1">
      <alignment horizontal="right" vertical="center"/>
    </xf>
    <xf numFmtId="41" fontId="8" fillId="0" borderId="14" xfId="49" applyNumberFormat="1" applyFont="1" applyBorder="1" applyAlignment="1">
      <alignment vertical="center"/>
    </xf>
    <xf numFmtId="41" fontId="8" fillId="0" borderId="13" xfId="49" applyNumberFormat="1" applyFont="1" applyBorder="1" applyAlignment="1">
      <alignment vertical="center"/>
    </xf>
    <xf numFmtId="0" fontId="102" fillId="0" borderId="0" xfId="39" applyFont="1">
      <alignment vertical="center"/>
    </xf>
    <xf numFmtId="178" fontId="49" fillId="0" borderId="27" xfId="49" applyNumberFormat="1" applyFont="1" applyBorder="1" applyAlignment="1">
      <alignment vertical="center"/>
    </xf>
    <xf numFmtId="178" fontId="49" fillId="0" borderId="27" xfId="49" applyNumberFormat="1" applyFont="1" applyBorder="1" applyAlignment="1">
      <alignment horizontal="right" vertical="center"/>
    </xf>
    <xf numFmtId="179" fontId="50" fillId="0" borderId="27" xfId="39" applyNumberFormat="1" applyFont="1" applyBorder="1">
      <alignment vertical="center"/>
    </xf>
    <xf numFmtId="41" fontId="49" fillId="0" borderId="17" xfId="50" applyNumberFormat="1" applyFont="1" applyBorder="1" applyAlignment="1">
      <alignment vertical="center"/>
    </xf>
    <xf numFmtId="41" fontId="49" fillId="0" borderId="17" xfId="50" applyNumberFormat="1" applyFont="1" applyBorder="1" applyAlignment="1">
      <alignment horizontal="right" vertical="center"/>
    </xf>
    <xf numFmtId="0" fontId="50" fillId="0" borderId="22" xfId="39" applyFont="1" applyBorder="1">
      <alignment vertical="center"/>
    </xf>
    <xf numFmtId="0" fontId="79" fillId="0" borderId="15" xfId="47" applyFont="1" applyFill="1" applyBorder="1" applyAlignment="1">
      <alignment horizontal="distributed" vertical="center"/>
    </xf>
    <xf numFmtId="0" fontId="46" fillId="0" borderId="24" xfId="39" applyFont="1" applyBorder="1" applyAlignment="1">
      <alignment horizontal="center" vertical="top"/>
    </xf>
    <xf numFmtId="0" fontId="79" fillId="0" borderId="0" xfId="45" applyFont="1" applyBorder="1" applyAlignment="1">
      <alignment horizontal="right" vertical="distributed" wrapText="1"/>
    </xf>
    <xf numFmtId="41" fontId="49" fillId="0" borderId="16" xfId="48" applyNumberFormat="1" applyFont="1" applyBorder="1" applyAlignment="1">
      <alignment vertical="center"/>
    </xf>
    <xf numFmtId="41" fontId="46" fillId="0" borderId="16" xfId="39" applyNumberFormat="1" applyFont="1" applyBorder="1" applyAlignment="1">
      <alignment vertical="center"/>
    </xf>
    <xf numFmtId="41" fontId="49" fillId="0" borderId="0" xfId="48" applyNumberFormat="1" applyFont="1" applyBorder="1" applyAlignment="1">
      <alignment horizontal="right" vertical="center"/>
    </xf>
    <xf numFmtId="0" fontId="79" fillId="0" borderId="3" xfId="48" applyFont="1" applyBorder="1" applyAlignment="1">
      <alignment horizontal="center" vertical="center"/>
    </xf>
    <xf numFmtId="0" fontId="79" fillId="0" borderId="1" xfId="48" applyFont="1" applyBorder="1" applyAlignment="1">
      <alignment horizontal="center" vertical="center"/>
    </xf>
    <xf numFmtId="0" fontId="79" fillId="0" borderId="26" xfId="48" applyFont="1" applyBorder="1" applyAlignment="1">
      <alignment horizontal="center" vertical="center"/>
    </xf>
    <xf numFmtId="0" fontId="49" fillId="0" borderId="22" xfId="111" applyFont="1" applyFill="1" applyBorder="1" applyAlignment="1">
      <alignment horizontal="center" vertical="center" wrapText="1"/>
    </xf>
    <xf numFmtId="0" fontId="8" fillId="0" borderId="21" xfId="47" applyFont="1" applyFill="1" applyBorder="1" applyAlignment="1">
      <alignment horizontal="center" vertical="center"/>
    </xf>
    <xf numFmtId="0" fontId="67" fillId="0" borderId="0" xfId="111" applyFont="1" applyFill="1" applyBorder="1" applyAlignment="1">
      <alignment vertical="center" wrapText="1"/>
    </xf>
    <xf numFmtId="41" fontId="8" fillId="0" borderId="18" xfId="47" applyNumberFormat="1" applyFont="1" applyFill="1" applyBorder="1" applyAlignment="1">
      <alignment horizontal="right" vertical="center"/>
    </xf>
    <xf numFmtId="41" fontId="49" fillId="0" borderId="18" xfId="141" applyNumberFormat="1" applyFont="1" applyBorder="1" applyAlignment="1">
      <alignment horizontal="right" vertical="center" wrapText="1"/>
    </xf>
    <xf numFmtId="41" fontId="8" fillId="0" borderId="15" xfId="47" applyNumberFormat="1" applyFont="1" applyFill="1" applyBorder="1" applyAlignment="1">
      <alignment horizontal="right" vertical="center"/>
    </xf>
    <xf numFmtId="41" fontId="49" fillId="0" borderId="27" xfId="39" applyNumberFormat="1" applyFont="1" applyFill="1" applyBorder="1">
      <alignment vertical="center"/>
    </xf>
    <xf numFmtId="41" fontId="49" fillId="0" borderId="28" xfId="39" applyNumberFormat="1" applyFont="1" applyFill="1" applyBorder="1">
      <alignment vertical="center"/>
    </xf>
    <xf numFmtId="41" fontId="49" fillId="0" borderId="17" xfId="39" applyNumberFormat="1" applyFont="1" applyFill="1" applyBorder="1">
      <alignment vertical="center"/>
    </xf>
    <xf numFmtId="41" fontId="49" fillId="0" borderId="16" xfId="39" applyNumberFormat="1" applyFont="1" applyFill="1" applyBorder="1">
      <alignment vertical="center"/>
    </xf>
    <xf numFmtId="41" fontId="49" fillId="0" borderId="17" xfId="39" applyNumberFormat="1" applyFont="1" applyFill="1" applyBorder="1" applyAlignment="1">
      <alignment horizontal="right" vertical="center"/>
    </xf>
    <xf numFmtId="41" fontId="49" fillId="0" borderId="17" xfId="141" applyNumberFormat="1" applyFont="1" applyBorder="1" applyAlignment="1">
      <alignment vertical="center" wrapText="1"/>
    </xf>
    <xf numFmtId="41" fontId="49" fillId="0" borderId="17" xfId="141" applyNumberFormat="1" applyFont="1" applyBorder="1" applyAlignment="1">
      <alignment horizontal="right" vertical="center" wrapText="1"/>
    </xf>
    <xf numFmtId="41" fontId="49" fillId="0" borderId="16" xfId="39" applyNumberFormat="1" applyFont="1" applyFill="1" applyBorder="1" applyAlignment="1">
      <alignment horizontal="right" vertical="center"/>
    </xf>
    <xf numFmtId="41" fontId="49" fillId="0" borderId="14" xfId="141" applyNumberFormat="1" applyFont="1" applyBorder="1" applyAlignment="1">
      <alignment vertical="center" wrapText="1"/>
    </xf>
    <xf numFmtId="41" fontId="49" fillId="0" borderId="14" xfId="39" applyNumberFormat="1" applyFont="1" applyFill="1" applyBorder="1">
      <alignment vertical="center"/>
    </xf>
    <xf numFmtId="41" fontId="49" fillId="0" borderId="14" xfId="39" applyNumberFormat="1" applyFont="1" applyFill="1" applyBorder="1" applyAlignment="1">
      <alignment horizontal="right" vertical="center"/>
    </xf>
    <xf numFmtId="41" fontId="49" fillId="0" borderId="13" xfId="39" applyNumberFormat="1" applyFont="1" applyFill="1" applyBorder="1" applyAlignment="1">
      <alignment horizontal="right" vertical="center"/>
    </xf>
    <xf numFmtId="41" fontId="49" fillId="0" borderId="18" xfId="39" applyNumberFormat="1" applyFont="1" applyFill="1" applyBorder="1" applyAlignment="1">
      <alignment horizontal="right" vertical="center"/>
    </xf>
    <xf numFmtId="41" fontId="49" fillId="0" borderId="18" xfId="39" applyNumberFormat="1" applyFont="1" applyFill="1" applyBorder="1">
      <alignment vertical="center"/>
    </xf>
    <xf numFmtId="41" fontId="49" fillId="0" borderId="18" xfId="141" applyNumberFormat="1" applyFont="1" applyBorder="1" applyAlignment="1">
      <alignment vertical="center" wrapText="1"/>
    </xf>
    <xf numFmtId="41" fontId="49" fillId="0" borderId="16" xfId="141" applyNumberFormat="1" applyFont="1" applyBorder="1" applyAlignment="1">
      <alignment vertical="center" wrapText="1"/>
    </xf>
    <xf numFmtId="0" fontId="89" fillId="0" borderId="0" xfId="138" applyFont="1" applyAlignment="1">
      <alignment horizontal="distributed" vertical="center" wrapText="1"/>
    </xf>
    <xf numFmtId="3" fontId="74" fillId="0" borderId="0" xfId="101" applyNumberFormat="1" applyFont="1" applyBorder="1" applyAlignment="1">
      <alignment horizontal="right" vertical="center"/>
    </xf>
    <xf numFmtId="0" fontId="104" fillId="0" borderId="0" xfId="138" applyFont="1" applyAlignment="1">
      <alignment horizontal="distributed" vertical="center" wrapText="1"/>
    </xf>
    <xf numFmtId="3" fontId="74" fillId="0" borderId="16" xfId="101" applyNumberFormat="1" applyFont="1" applyFill="1" applyBorder="1" applyAlignment="1">
      <alignment horizontal="right" vertical="center"/>
    </xf>
    <xf numFmtId="3" fontId="74" fillId="0" borderId="24" xfId="101" applyNumberFormat="1" applyFont="1" applyBorder="1" applyAlignment="1">
      <alignment horizontal="right" vertical="center"/>
    </xf>
    <xf numFmtId="178" fontId="73" fillId="0" borderId="17" xfId="101" applyNumberFormat="1" applyFont="1" applyBorder="1">
      <alignment vertical="center"/>
    </xf>
    <xf numFmtId="178" fontId="73" fillId="0" borderId="14" xfId="101" applyNumberFormat="1" applyFont="1" applyBorder="1">
      <alignment vertical="center"/>
    </xf>
    <xf numFmtId="179" fontId="73" fillId="0" borderId="0" xfId="101" applyNumberFormat="1" applyFont="1" applyFill="1" applyBorder="1">
      <alignment vertical="center"/>
    </xf>
    <xf numFmtId="2" fontId="74" fillId="0" borderId="17" xfId="39" applyNumberFormat="1" applyFont="1" applyBorder="1" applyAlignment="1">
      <alignment horizontal="right" vertical="center" indent="1"/>
    </xf>
    <xf numFmtId="2" fontId="74" fillId="0" borderId="14" xfId="39" applyNumberFormat="1" applyFont="1" applyBorder="1" applyAlignment="1">
      <alignment horizontal="right" vertical="center" indent="1"/>
    </xf>
    <xf numFmtId="3" fontId="74" fillId="0" borderId="17" xfId="139" applyNumberFormat="1" applyFont="1" applyBorder="1" applyAlignment="1">
      <alignment horizontal="right" vertical="center" indent="1"/>
    </xf>
    <xf numFmtId="3" fontId="74" fillId="0" borderId="17" xfId="101" applyNumberFormat="1" applyFont="1" applyBorder="1" applyAlignment="1">
      <alignment horizontal="right" vertical="center" indent="1"/>
    </xf>
    <xf numFmtId="3" fontId="74" fillId="0" borderId="14" xfId="101" applyNumberFormat="1" applyFont="1" applyBorder="1" applyAlignment="1">
      <alignment horizontal="right" vertical="center" indent="1"/>
    </xf>
    <xf numFmtId="0" fontId="84" fillId="0" borderId="0" xfId="138" applyFont="1" applyBorder="1" applyAlignment="1">
      <alignment horizontal="distributed" vertical="center" wrapText="1"/>
    </xf>
    <xf numFmtId="178" fontId="74" fillId="0" borderId="27" xfId="39" applyNumberFormat="1" applyFont="1" applyBorder="1" applyAlignment="1">
      <alignment horizontal="right" vertical="center"/>
    </xf>
    <xf numFmtId="178" fontId="74" fillId="0" borderId="17" xfId="39" applyNumberFormat="1" applyFont="1" applyBorder="1" applyAlignment="1">
      <alignment horizontal="right" vertical="center"/>
    </xf>
    <xf numFmtId="178" fontId="74" fillId="0" borderId="14" xfId="39" applyNumberFormat="1" applyFont="1" applyBorder="1" applyAlignment="1">
      <alignment horizontal="right" vertical="center"/>
    </xf>
    <xf numFmtId="41" fontId="46" fillId="0" borderId="27" xfId="39" applyNumberFormat="1" applyFont="1" applyFill="1" applyBorder="1" applyAlignment="1">
      <alignment horizontal="right" vertical="center"/>
    </xf>
    <xf numFmtId="41" fontId="50" fillId="0" borderId="17" xfId="39" applyNumberFormat="1" applyFont="1" applyFill="1" applyBorder="1" applyAlignment="1">
      <alignment horizontal="right" vertical="center"/>
    </xf>
    <xf numFmtId="41" fontId="50" fillId="0" borderId="14" xfId="39" applyNumberFormat="1" applyFont="1" applyFill="1" applyBorder="1" applyAlignment="1">
      <alignment horizontal="right" vertical="center"/>
    </xf>
    <xf numFmtId="41" fontId="50" fillId="0" borderId="27" xfId="39" applyNumberFormat="1" applyFont="1" applyFill="1" applyBorder="1" applyAlignment="1">
      <alignment horizontal="right" vertical="center"/>
    </xf>
    <xf numFmtId="41" fontId="50" fillId="0" borderId="16" xfId="39" applyNumberFormat="1" applyFont="1" applyFill="1" applyBorder="1" applyAlignment="1">
      <alignment horizontal="right" vertical="center"/>
    </xf>
    <xf numFmtId="41" fontId="50" fillId="0" borderId="13" xfId="39" applyNumberFormat="1" applyFont="1" applyFill="1" applyBorder="1" applyAlignment="1">
      <alignment horizontal="right" vertical="center"/>
    </xf>
    <xf numFmtId="0" fontId="49" fillId="0" borderId="34" xfId="38" applyFont="1" applyFill="1" applyBorder="1" applyAlignment="1">
      <alignment horizontal="center" vertical="center"/>
    </xf>
    <xf numFmtId="0" fontId="49" fillId="0" borderId="1" xfId="38" applyFont="1" applyFill="1" applyBorder="1" applyAlignment="1">
      <alignment horizontal="center" vertical="center"/>
    </xf>
    <xf numFmtId="0" fontId="49" fillId="0" borderId="3" xfId="38" applyFont="1" applyFill="1" applyBorder="1" applyAlignment="1">
      <alignment horizontal="center" vertical="center"/>
    </xf>
    <xf numFmtId="0" fontId="49" fillId="0" borderId="21" xfId="38" applyFont="1" applyFill="1" applyBorder="1" applyAlignment="1">
      <alignment horizontal="center" vertical="center"/>
    </xf>
    <xf numFmtId="0" fontId="50" fillId="0" borderId="0" xfId="39" applyFont="1" applyAlignment="1">
      <alignment horizontal="left" vertical="center"/>
    </xf>
    <xf numFmtId="0" fontId="79" fillId="0" borderId="3" xfId="38" applyFont="1" applyFill="1" applyBorder="1" applyAlignment="1">
      <alignment horizontal="center" vertical="center"/>
    </xf>
    <xf numFmtId="0" fontId="105" fillId="0" borderId="22" xfId="38" applyFont="1" applyFill="1" applyBorder="1" applyAlignment="1">
      <alignment horizontal="center" vertical="center"/>
    </xf>
    <xf numFmtId="0" fontId="46" fillId="0" borderId="0" xfId="39" applyFont="1" applyBorder="1" applyAlignment="1">
      <alignment horizontal="right" vertical="center"/>
    </xf>
    <xf numFmtId="0" fontId="46" fillId="0" borderId="0" xfId="39" applyFont="1" applyBorder="1" applyAlignment="1">
      <alignment horizontal="center" vertical="center"/>
    </xf>
    <xf numFmtId="0" fontId="46" fillId="0" borderId="36" xfId="39" applyFont="1" applyBorder="1" applyAlignment="1">
      <alignment horizontal="center" vertical="top" wrapText="1"/>
    </xf>
    <xf numFmtId="0" fontId="49" fillId="0" borderId="22" xfId="39" applyFont="1" applyBorder="1" applyAlignment="1">
      <alignment horizontal="center" vertical="top" wrapText="1"/>
    </xf>
    <xf numFmtId="182" fontId="49" fillId="0" borderId="17" xfId="0" applyNumberFormat="1" applyFont="1" applyBorder="1">
      <alignment vertical="center"/>
    </xf>
    <xf numFmtId="182" fontId="49" fillId="0" borderId="0" xfId="0" applyNumberFormat="1" applyFont="1">
      <alignment vertical="center"/>
    </xf>
    <xf numFmtId="182" fontId="49" fillId="0" borderId="16" xfId="0" applyNumberFormat="1" applyFont="1" applyBorder="1">
      <alignment vertical="center"/>
    </xf>
    <xf numFmtId="182" fontId="49" fillId="0" borderId="0" xfId="0" applyNumberFormat="1" applyFont="1" applyBorder="1">
      <alignment vertical="center"/>
    </xf>
    <xf numFmtId="182" fontId="49" fillId="0" borderId="17" xfId="0" applyNumberFormat="1" applyFont="1" applyBorder="1" applyAlignment="1">
      <alignment horizontal="right" vertical="center"/>
    </xf>
    <xf numFmtId="182" fontId="49" fillId="0" borderId="16" xfId="0" applyNumberFormat="1" applyFont="1" applyBorder="1" applyAlignment="1">
      <alignment horizontal="right" vertical="center"/>
    </xf>
    <xf numFmtId="182" fontId="49" fillId="0" borderId="14" xfId="0" applyNumberFormat="1" applyFont="1" applyBorder="1">
      <alignment vertical="center"/>
    </xf>
    <xf numFmtId="182" fontId="49" fillId="0" borderId="14" xfId="0" applyNumberFormat="1" applyFont="1" applyBorder="1" applyAlignment="1">
      <alignment horizontal="right" vertical="center"/>
    </xf>
    <xf numFmtId="182" fontId="49" fillId="0" borderId="13" xfId="0" applyNumberFormat="1" applyFont="1" applyBorder="1" applyAlignment="1">
      <alignment horizontal="right" vertical="center"/>
    </xf>
    <xf numFmtId="0" fontId="46" fillId="0" borderId="22" xfId="39" applyFont="1" applyBorder="1" applyAlignment="1">
      <alignment vertical="center"/>
    </xf>
    <xf numFmtId="0" fontId="49" fillId="0" borderId="0" xfId="0" applyFont="1">
      <alignment vertical="center"/>
    </xf>
    <xf numFmtId="0" fontId="50" fillId="0" borderId="24" xfId="0" applyFont="1" applyBorder="1">
      <alignment vertical="center"/>
    </xf>
    <xf numFmtId="0" fontId="50" fillId="0" borderId="0" xfId="0" applyFont="1" applyBorder="1" applyAlignment="1">
      <alignment horizontal="right" vertical="center"/>
    </xf>
    <xf numFmtId="0" fontId="50" fillId="0" borderId="22" xfId="0" applyFont="1" applyBorder="1" applyAlignment="1">
      <alignment horizontal="center" vertical="center"/>
    </xf>
    <xf numFmtId="0" fontId="49" fillId="0" borderId="22" xfId="0" applyFont="1" applyBorder="1" applyAlignment="1">
      <alignment horizontal="center" vertical="top" wrapText="1"/>
    </xf>
    <xf numFmtId="0" fontId="50" fillId="0" borderId="37" xfId="0" applyFont="1" applyBorder="1" applyAlignment="1">
      <alignment horizontal="center" vertical="top" wrapText="1"/>
    </xf>
    <xf numFmtId="0" fontId="50" fillId="0" borderId="22" xfId="0" applyFont="1" applyBorder="1" applyAlignment="1">
      <alignment horizontal="center" vertical="top" wrapText="1"/>
    </xf>
    <xf numFmtId="0" fontId="50" fillId="0" borderId="1" xfId="0" applyFont="1" applyBorder="1" applyAlignment="1">
      <alignment horizontal="center" vertical="top" wrapText="1"/>
    </xf>
    <xf numFmtId="0" fontId="49" fillId="0" borderId="18" xfId="0" applyFont="1" applyBorder="1" applyAlignment="1">
      <alignment horizontal="center" vertical="top" wrapText="1"/>
    </xf>
    <xf numFmtId="187" fontId="49" fillId="0" borderId="16" xfId="0" applyNumberFormat="1" applyFont="1" applyFill="1" applyBorder="1" applyAlignment="1">
      <alignment horizontal="right" vertical="center" wrapText="1" indent="1"/>
    </xf>
    <xf numFmtId="187" fontId="49" fillId="0" borderId="17" xfId="0" applyNumberFormat="1" applyFont="1" applyBorder="1" applyAlignment="1">
      <alignment horizontal="right" vertical="center" wrapText="1" indent="1"/>
    </xf>
    <xf numFmtId="187" fontId="49" fillId="0" borderId="18" xfId="0" applyNumberFormat="1" applyFont="1" applyBorder="1" applyAlignment="1">
      <alignment horizontal="right" vertical="center" wrapText="1" indent="1"/>
    </xf>
    <xf numFmtId="187" fontId="49" fillId="0" borderId="0" xfId="137" applyNumberFormat="1" applyFont="1" applyFill="1" applyAlignment="1">
      <alignment horizontal="right" vertical="center" indent="1"/>
    </xf>
    <xf numFmtId="187" fontId="49" fillId="0" borderId="0" xfId="137" applyNumberFormat="1" applyFont="1" applyAlignment="1">
      <alignment horizontal="right" vertical="center" indent="1"/>
    </xf>
    <xf numFmtId="187" fontId="49" fillId="0" borderId="0" xfId="137" applyNumberFormat="1" applyFont="1" applyBorder="1" applyAlignment="1">
      <alignment horizontal="right" vertical="center" indent="1"/>
    </xf>
    <xf numFmtId="187" fontId="49" fillId="0" borderId="16" xfId="0" applyNumberFormat="1" applyFont="1" applyBorder="1" applyAlignment="1">
      <alignment horizontal="right" vertical="center" wrapText="1" indent="1"/>
    </xf>
    <xf numFmtId="187" fontId="50" fillId="0" borderId="17" xfId="0" applyNumberFormat="1" applyFont="1" applyFill="1" applyBorder="1" applyAlignment="1">
      <alignment horizontal="right" vertical="center" wrapText="1" indent="1"/>
    </xf>
    <xf numFmtId="0" fontId="49" fillId="0" borderId="15" xfId="0" applyFont="1" applyBorder="1" applyAlignment="1">
      <alignment horizontal="center" vertical="top" wrapText="1"/>
    </xf>
    <xf numFmtId="187" fontId="50" fillId="0" borderId="14" xfId="0" applyNumberFormat="1" applyFont="1" applyFill="1" applyBorder="1" applyAlignment="1">
      <alignment horizontal="right" vertical="center" wrapText="1" indent="1"/>
    </xf>
    <xf numFmtId="187" fontId="49" fillId="0" borderId="14" xfId="0" applyNumberFormat="1" applyFont="1" applyBorder="1" applyAlignment="1">
      <alignment horizontal="right" vertical="center" wrapText="1" indent="1"/>
    </xf>
    <xf numFmtId="187" fontId="49" fillId="0" borderId="24" xfId="137" applyNumberFormat="1" applyFont="1" applyBorder="1" applyAlignment="1">
      <alignment horizontal="right" vertical="center" indent="1"/>
    </xf>
    <xf numFmtId="0" fontId="49" fillId="0" borderId="0" xfId="0" applyFont="1" applyBorder="1">
      <alignment vertical="center"/>
    </xf>
    <xf numFmtId="0" fontId="49" fillId="0" borderId="0" xfId="0" applyFont="1" applyAlignment="1">
      <alignment vertical="center"/>
    </xf>
    <xf numFmtId="0" fontId="49" fillId="0" borderId="0" xfId="0" applyFont="1" applyAlignment="1">
      <alignment horizontal="left" vertical="center"/>
    </xf>
    <xf numFmtId="0" fontId="49" fillId="0" borderId="0" xfId="0" applyFont="1" applyAlignment="1">
      <alignment vertical="center" wrapText="1"/>
    </xf>
    <xf numFmtId="0" fontId="49" fillId="0" borderId="0" xfId="0" applyFont="1" applyAlignment="1">
      <alignment horizontal="right" vertical="center"/>
    </xf>
    <xf numFmtId="0" fontId="49" fillId="0" borderId="0" xfId="0" applyFont="1" applyAlignment="1">
      <alignment vertical="top"/>
    </xf>
    <xf numFmtId="0" fontId="49" fillId="0" borderId="0" xfId="0" applyFont="1" applyFill="1">
      <alignment vertical="center"/>
    </xf>
    <xf numFmtId="0" fontId="50" fillId="0" borderId="0" xfId="0" applyFont="1" applyBorder="1">
      <alignment vertical="center"/>
    </xf>
    <xf numFmtId="0" fontId="50" fillId="0" borderId="24" xfId="0" applyFont="1" applyBorder="1" applyAlignment="1">
      <alignment horizontal="right" vertical="center"/>
    </xf>
    <xf numFmtId="0" fontId="50" fillId="0" borderId="0" xfId="0" applyFont="1">
      <alignment vertical="center"/>
    </xf>
    <xf numFmtId="0" fontId="50" fillId="0" borderId="22" xfId="0" applyFont="1" applyBorder="1" applyAlignment="1">
      <alignment vertical="center"/>
    </xf>
    <xf numFmtId="0" fontId="50" fillId="0" borderId="18" xfId="0" applyFont="1" applyBorder="1" applyAlignment="1">
      <alignment horizontal="center" vertical="top" wrapText="1"/>
    </xf>
    <xf numFmtId="187" fontId="50" fillId="0" borderId="17" xfId="0" applyNumberFormat="1" applyFont="1" applyFill="1" applyBorder="1" applyAlignment="1">
      <alignment horizontal="right" vertical="top" wrapText="1" indent="1"/>
    </xf>
    <xf numFmtId="187" fontId="50" fillId="0" borderId="17" xfId="0" applyNumberFormat="1" applyFont="1" applyBorder="1" applyAlignment="1">
      <alignment horizontal="right" vertical="top" wrapText="1" indent="1"/>
    </xf>
    <xf numFmtId="187" fontId="50" fillId="0" borderId="0" xfId="0" applyNumberFormat="1" applyFont="1" applyAlignment="1">
      <alignment horizontal="right" vertical="top" wrapText="1" indent="1"/>
    </xf>
    <xf numFmtId="187" fontId="50" fillId="0" borderId="16" xfId="0" applyNumberFormat="1" applyFont="1" applyBorder="1" applyAlignment="1">
      <alignment horizontal="right" vertical="top" wrapText="1" indent="1"/>
    </xf>
    <xf numFmtId="187" fontId="50" fillId="0" borderId="0" xfId="0" applyNumberFormat="1" applyFont="1" applyBorder="1" applyAlignment="1">
      <alignment horizontal="right" vertical="top" wrapText="1" indent="1"/>
    </xf>
    <xf numFmtId="187" fontId="49" fillId="0" borderId="17" xfId="0" applyNumberFormat="1" applyFont="1" applyFill="1" applyBorder="1" applyAlignment="1">
      <alignment horizontal="right" vertical="top" wrapText="1" indent="1"/>
    </xf>
    <xf numFmtId="187" fontId="49" fillId="0" borderId="17" xfId="0" applyNumberFormat="1" applyFont="1" applyBorder="1" applyAlignment="1">
      <alignment horizontal="right" vertical="top" wrapText="1" indent="1"/>
    </xf>
    <xf numFmtId="187" fontId="49" fillId="0" borderId="0" xfId="0" applyNumberFormat="1" applyFont="1" applyBorder="1" applyAlignment="1">
      <alignment horizontal="right" vertical="top" wrapText="1" indent="1"/>
    </xf>
    <xf numFmtId="187" fontId="49" fillId="0" borderId="16" xfId="0" applyNumberFormat="1" applyFont="1" applyBorder="1" applyAlignment="1">
      <alignment horizontal="right" vertical="top" wrapText="1" indent="1"/>
    </xf>
    <xf numFmtId="0" fontId="50" fillId="0" borderId="15" xfId="0" applyFont="1" applyBorder="1" applyAlignment="1">
      <alignment horizontal="center" vertical="top" wrapText="1"/>
    </xf>
    <xf numFmtId="187" fontId="50" fillId="0" borderId="14" xfId="0" applyNumberFormat="1" applyFont="1" applyFill="1" applyBorder="1" applyAlignment="1">
      <alignment horizontal="right" vertical="top" wrapText="1" indent="1"/>
    </xf>
    <xf numFmtId="187" fontId="49" fillId="0" borderId="14" xfId="0" applyNumberFormat="1" applyFont="1" applyBorder="1" applyAlignment="1">
      <alignment horizontal="right" vertical="top" wrapText="1" indent="1"/>
    </xf>
    <xf numFmtId="187" fontId="49" fillId="0" borderId="13" xfId="0" applyNumberFormat="1" applyFont="1" applyBorder="1" applyAlignment="1">
      <alignment horizontal="right" vertical="top" wrapText="1" indent="1"/>
    </xf>
    <xf numFmtId="0" fontId="50" fillId="0" borderId="0" xfId="0" applyFont="1" applyAlignment="1">
      <alignment horizontal="left" vertical="center"/>
    </xf>
    <xf numFmtId="0" fontId="50" fillId="0" borderId="0" xfId="0" applyFont="1" applyAlignment="1">
      <alignment vertical="center"/>
    </xf>
    <xf numFmtId="0" fontId="51" fillId="0" borderId="24" xfId="0" applyFont="1" applyBorder="1">
      <alignment vertical="center"/>
    </xf>
    <xf numFmtId="0" fontId="50" fillId="0" borderId="24" xfId="102" applyFont="1" applyBorder="1" applyAlignment="1">
      <alignment horizontal="right" vertical="center"/>
    </xf>
    <xf numFmtId="189" fontId="51" fillId="0" borderId="3" xfId="0" applyNumberFormat="1" applyFont="1" applyBorder="1" applyAlignment="1">
      <alignment horizontal="center" vertical="center"/>
    </xf>
    <xf numFmtId="189" fontId="50" fillId="0" borderId="3" xfId="102" applyNumberFormat="1" applyFont="1" applyBorder="1" applyAlignment="1">
      <alignment horizontal="center" vertical="center"/>
    </xf>
    <xf numFmtId="189" fontId="50" fillId="0" borderId="37" xfId="102" applyNumberFormat="1" applyFont="1" applyBorder="1" applyAlignment="1">
      <alignment horizontal="center" vertical="center"/>
    </xf>
    <xf numFmtId="189" fontId="99" fillId="0" borderId="37" xfId="102" applyNumberFormat="1" applyFont="1" applyBorder="1" applyAlignment="1">
      <alignment horizontal="center" vertical="center"/>
    </xf>
    <xf numFmtId="189" fontId="50" fillId="0" borderId="24" xfId="102" applyNumberFormat="1" applyFont="1" applyBorder="1" applyAlignment="1">
      <alignment horizontal="center" vertical="center"/>
    </xf>
    <xf numFmtId="189" fontId="50" fillId="0" borderId="0" xfId="0" applyNumberFormat="1" applyFont="1" applyAlignment="1">
      <alignment horizontal="center" vertical="center"/>
    </xf>
    <xf numFmtId="187" fontId="50" fillId="0" borderId="38" xfId="0" applyNumberFormat="1" applyFont="1" applyBorder="1" applyAlignment="1">
      <alignment horizontal="right" vertical="center" indent="1"/>
    </xf>
    <xf numFmtId="187" fontId="50" fillId="0" borderId="39" xfId="0" applyNumberFormat="1" applyFont="1" applyBorder="1" applyAlignment="1">
      <alignment horizontal="right" vertical="center" indent="1"/>
    </xf>
    <xf numFmtId="187" fontId="50" fillId="0" borderId="40" xfId="0" applyNumberFormat="1" applyFont="1" applyBorder="1" applyAlignment="1">
      <alignment horizontal="right" vertical="center" indent="1"/>
    </xf>
    <xf numFmtId="187" fontId="49" fillId="0" borderId="0" xfId="0" applyNumberFormat="1" applyFont="1" applyAlignment="1">
      <alignment horizontal="right" indent="1"/>
    </xf>
    <xf numFmtId="187" fontId="50" fillId="0" borderId="41" xfId="0" applyNumberFormat="1" applyFont="1" applyBorder="1" applyAlignment="1">
      <alignment horizontal="right" vertical="center" indent="1"/>
    </xf>
    <xf numFmtId="187" fontId="50" fillId="0" borderId="16" xfId="0" applyNumberFormat="1" applyFont="1" applyBorder="1" applyAlignment="1">
      <alignment horizontal="right" vertical="center" indent="1"/>
    </xf>
    <xf numFmtId="187" fontId="49" fillId="0" borderId="16" xfId="0" applyNumberFormat="1" applyFont="1" applyBorder="1" applyAlignment="1">
      <alignment horizontal="right" indent="1"/>
    </xf>
    <xf numFmtId="187" fontId="50" fillId="0" borderId="17" xfId="0" applyNumberFormat="1" applyFont="1" applyBorder="1" applyAlignment="1">
      <alignment horizontal="right" vertical="center" indent="1"/>
    </xf>
    <xf numFmtId="189" fontId="50" fillId="0" borderId="15" xfId="0" applyNumberFormat="1" applyFont="1" applyBorder="1" applyAlignment="1">
      <alignment horizontal="center" vertical="center"/>
    </xf>
    <xf numFmtId="187" fontId="50" fillId="0" borderId="14" xfId="0" applyNumberFormat="1" applyFont="1" applyBorder="1" applyAlignment="1">
      <alignment horizontal="right" vertical="center" indent="1"/>
    </xf>
    <xf numFmtId="187" fontId="49" fillId="0" borderId="13" xfId="0" applyNumberFormat="1" applyFont="1" applyBorder="1" applyAlignment="1">
      <alignment horizontal="right" indent="1"/>
    </xf>
    <xf numFmtId="0" fontId="50" fillId="0" borderId="0" xfId="0" applyFont="1" applyAlignment="1">
      <alignment vertical="center" wrapText="1"/>
    </xf>
    <xf numFmtId="0" fontId="49" fillId="0" borderId="0" xfId="0" applyFont="1" applyAlignment="1">
      <alignment horizontal="left" vertical="center" wrapText="1"/>
    </xf>
    <xf numFmtId="0" fontId="50" fillId="0" borderId="27" xfId="0" applyFont="1" applyBorder="1" applyAlignment="1">
      <alignment horizontal="right" vertical="top" wrapText="1"/>
    </xf>
    <xf numFmtId="190" fontId="50" fillId="0" borderId="17" xfId="0" applyNumberFormat="1" applyFont="1" applyFill="1" applyBorder="1" applyAlignment="1">
      <alignment horizontal="right" vertical="top" wrapText="1"/>
    </xf>
    <xf numFmtId="190" fontId="50" fillId="0" borderId="17" xfId="0" applyNumberFormat="1" applyFont="1" applyBorder="1" applyAlignment="1">
      <alignment horizontal="right" vertical="top" wrapText="1"/>
    </xf>
    <xf numFmtId="190" fontId="50" fillId="0" borderId="0" xfId="0" applyNumberFormat="1" applyFont="1" applyBorder="1" applyAlignment="1">
      <alignment horizontal="right" vertical="top" wrapText="1"/>
    </xf>
    <xf numFmtId="190" fontId="50" fillId="0" borderId="17" xfId="0" applyNumberFormat="1" applyFont="1" applyFill="1" applyBorder="1" applyAlignment="1">
      <alignment horizontal="right" vertical="center" wrapText="1" indent="1"/>
    </xf>
    <xf numFmtId="190" fontId="50" fillId="0" borderId="17" xfId="0" applyNumberFormat="1" applyFont="1" applyBorder="1" applyAlignment="1">
      <alignment horizontal="right" vertical="center" wrapText="1" indent="1"/>
    </xf>
    <xf numFmtId="181" fontId="50" fillId="0" borderId="0" xfId="0" applyNumberFormat="1" applyFont="1" applyBorder="1" applyAlignment="1">
      <alignment horizontal="right" vertical="center" wrapText="1" indent="1"/>
    </xf>
    <xf numFmtId="190" fontId="50" fillId="0" borderId="16" xfId="0" applyNumberFormat="1" applyFont="1" applyBorder="1" applyAlignment="1">
      <alignment horizontal="right" vertical="center" wrapText="1" indent="1"/>
    </xf>
    <xf numFmtId="190" fontId="50" fillId="0" borderId="0" xfId="0" applyNumberFormat="1" applyFont="1" applyBorder="1" applyAlignment="1">
      <alignment horizontal="right" vertical="center" wrapText="1" indent="1"/>
    </xf>
    <xf numFmtId="181" fontId="50" fillId="0" borderId="17" xfId="0" applyNumberFormat="1" applyFont="1" applyBorder="1" applyAlignment="1">
      <alignment horizontal="right" vertical="center" wrapText="1" indent="1"/>
    </xf>
    <xf numFmtId="190" fontId="50" fillId="0" borderId="14" xfId="0" applyNumberFormat="1" applyFont="1" applyFill="1" applyBorder="1" applyAlignment="1">
      <alignment horizontal="right" vertical="center" wrapText="1" indent="1"/>
    </xf>
    <xf numFmtId="190" fontId="50" fillId="0" borderId="14" xfId="0" applyNumberFormat="1" applyFont="1" applyBorder="1" applyAlignment="1">
      <alignment horizontal="right" vertical="center" wrapText="1" indent="1"/>
    </xf>
    <xf numFmtId="190" fontId="50" fillId="0" borderId="13" xfId="0" applyNumberFormat="1" applyFont="1" applyBorder="1" applyAlignment="1">
      <alignment horizontal="right" vertical="center" wrapText="1" indent="1"/>
    </xf>
    <xf numFmtId="190" fontId="50" fillId="24" borderId="14" xfId="0" applyNumberFormat="1" applyFont="1" applyFill="1" applyBorder="1" applyAlignment="1">
      <alignment horizontal="right" vertical="top" wrapText="1"/>
    </xf>
    <xf numFmtId="190" fontId="50" fillId="0" borderId="14" xfId="0" applyNumberFormat="1" applyFont="1" applyBorder="1" applyAlignment="1">
      <alignment horizontal="right" vertical="top" wrapText="1"/>
    </xf>
    <xf numFmtId="0" fontId="50" fillId="0" borderId="23" xfId="0" applyFont="1" applyBorder="1" applyAlignment="1">
      <alignment horizontal="center" vertical="center"/>
    </xf>
    <xf numFmtId="0" fontId="50" fillId="0" borderId="23" xfId="0" applyFont="1" applyBorder="1" applyAlignment="1">
      <alignment vertical="center"/>
    </xf>
    <xf numFmtId="0" fontId="50" fillId="0" borderId="23" xfId="0" applyFont="1" applyBorder="1">
      <alignment vertical="center"/>
    </xf>
    <xf numFmtId="0" fontId="50" fillId="0" borderId="0" xfId="0" applyFont="1" applyAlignment="1">
      <alignment horizontal="right" vertical="center"/>
    </xf>
    <xf numFmtId="189" fontId="51" fillId="0" borderId="22" xfId="0" applyNumberFormat="1" applyFont="1" applyBorder="1" applyAlignment="1">
      <alignment horizontal="center" vertical="center"/>
    </xf>
    <xf numFmtId="0" fontId="51" fillId="0" borderId="1" xfId="0" applyFont="1" applyBorder="1" applyAlignment="1">
      <alignment horizontal="center" vertical="center"/>
    </xf>
    <xf numFmtId="189" fontId="50" fillId="0" borderId="38" xfId="0" applyNumberFormat="1" applyFont="1" applyBorder="1" applyAlignment="1">
      <alignment horizontal="right" vertical="center"/>
    </xf>
    <xf numFmtId="191" fontId="50" fillId="0" borderId="0" xfId="0" applyNumberFormat="1" applyFont="1" applyFill="1">
      <alignment vertical="center"/>
    </xf>
    <xf numFmtId="189" fontId="49" fillId="0" borderId="16" xfId="0" applyNumberFormat="1" applyFont="1" applyBorder="1" applyAlignment="1">
      <alignment horizontal="right"/>
    </xf>
    <xf numFmtId="191" fontId="51" fillId="0" borderId="16" xfId="0" applyNumberFormat="1" applyFont="1" applyBorder="1">
      <alignment vertical="center"/>
    </xf>
    <xf numFmtId="189" fontId="50" fillId="0" borderId="16" xfId="0" applyNumberFormat="1" applyFont="1" applyBorder="1" applyAlignment="1">
      <alignment horizontal="right" vertical="center"/>
    </xf>
    <xf numFmtId="191" fontId="50" fillId="0" borderId="17" xfId="0" applyNumberFormat="1" applyFont="1" applyFill="1" applyBorder="1">
      <alignment vertical="center"/>
    </xf>
    <xf numFmtId="189" fontId="50" fillId="0" borderId="17" xfId="0" applyNumberFormat="1" applyFont="1" applyBorder="1" applyAlignment="1">
      <alignment horizontal="right" vertical="center"/>
    </xf>
    <xf numFmtId="189" fontId="50" fillId="0" borderId="14" xfId="0" applyNumberFormat="1" applyFont="1" applyBorder="1" applyAlignment="1">
      <alignment horizontal="right" vertical="center"/>
    </xf>
    <xf numFmtId="191" fontId="50" fillId="0" borderId="14" xfId="0" applyNumberFormat="1" applyFont="1" applyFill="1" applyBorder="1">
      <alignment vertical="center"/>
    </xf>
    <xf numFmtId="189" fontId="49" fillId="0" borderId="13" xfId="0" applyNumberFormat="1" applyFont="1" applyBorder="1" applyAlignment="1">
      <alignment horizontal="right"/>
    </xf>
    <xf numFmtId="191" fontId="51" fillId="0" borderId="13" xfId="0" applyNumberFormat="1" applyFont="1" applyBorder="1">
      <alignment vertical="center"/>
    </xf>
    <xf numFmtId="0" fontId="101" fillId="0" borderId="0" xfId="0" applyFont="1">
      <alignment vertical="center"/>
    </xf>
    <xf numFmtId="0" fontId="50" fillId="0" borderId="24" xfId="102" applyFont="1" applyBorder="1">
      <alignment vertical="center"/>
    </xf>
    <xf numFmtId="189" fontId="50" fillId="0" borderId="1" xfId="102" applyNumberFormat="1" applyFont="1" applyBorder="1" applyAlignment="1">
      <alignment horizontal="center" vertical="center"/>
    </xf>
    <xf numFmtId="189" fontId="50" fillId="0" borderId="41" xfId="0" applyNumberFormat="1" applyFont="1" applyBorder="1" applyAlignment="1">
      <alignment horizontal="right" vertical="center"/>
    </xf>
    <xf numFmtId="189" fontId="49" fillId="0" borderId="0" xfId="0" applyNumberFormat="1" applyFont="1" applyAlignment="1">
      <alignment horizontal="right"/>
    </xf>
    <xf numFmtId="189" fontId="50" fillId="0" borderId="16" xfId="102" applyNumberFormat="1" applyFont="1" applyBorder="1" applyAlignment="1">
      <alignment horizontal="center" vertical="center"/>
    </xf>
    <xf numFmtId="189" fontId="50" fillId="0" borderId="39" xfId="0" applyNumberFormat="1" applyFont="1" applyBorder="1" applyAlignment="1">
      <alignment horizontal="right" vertical="center"/>
    </xf>
    <xf numFmtId="189" fontId="50" fillId="0" borderId="38" xfId="0" applyNumberFormat="1" applyFont="1" applyBorder="1" applyAlignment="1">
      <alignment horizontal="right" vertical="center" indent="1"/>
    </xf>
    <xf numFmtId="189" fontId="50" fillId="0" borderId="39" xfId="0" applyNumberFormat="1" applyFont="1" applyFill="1" applyBorder="1" applyAlignment="1">
      <alignment horizontal="right" vertical="center" indent="1"/>
    </xf>
    <xf numFmtId="189" fontId="49" fillId="0" borderId="0" xfId="0" applyNumberFormat="1" applyFont="1" applyAlignment="1">
      <alignment horizontal="right" vertical="center" indent="1"/>
    </xf>
    <xf numFmtId="191" fontId="50" fillId="0" borderId="16" xfId="0" applyNumberFormat="1" applyFont="1" applyBorder="1" applyAlignment="1">
      <alignment vertical="center"/>
    </xf>
    <xf numFmtId="189" fontId="50" fillId="0" borderId="16" xfId="0" applyNumberFormat="1" applyFont="1" applyBorder="1" applyAlignment="1">
      <alignment horizontal="right" vertical="center" indent="1"/>
    </xf>
    <xf numFmtId="189" fontId="50" fillId="0" borderId="16" xfId="0" applyNumberFormat="1" applyFont="1" applyFill="1" applyBorder="1" applyAlignment="1">
      <alignment horizontal="right" vertical="center" indent="1"/>
    </xf>
    <xf numFmtId="189" fontId="49" fillId="0" borderId="16" xfId="0" applyNumberFormat="1" applyFont="1" applyBorder="1" applyAlignment="1">
      <alignment horizontal="right" vertical="center" indent="1"/>
    </xf>
    <xf numFmtId="189" fontId="50" fillId="0" borderId="17" xfId="0" applyNumberFormat="1" applyFont="1" applyBorder="1" applyAlignment="1">
      <alignment horizontal="right" vertical="center" indent="1"/>
    </xf>
    <xf numFmtId="189" fontId="50" fillId="0" borderId="17" xfId="0" applyNumberFormat="1" applyFont="1" applyFill="1" applyBorder="1" applyAlignment="1">
      <alignment horizontal="right" vertical="center" indent="1"/>
    </xf>
    <xf numFmtId="189" fontId="50" fillId="0" borderId="14" xfId="0" applyNumberFormat="1" applyFont="1" applyBorder="1" applyAlignment="1">
      <alignment horizontal="right" vertical="center" indent="1"/>
    </xf>
    <xf numFmtId="189" fontId="50" fillId="0" borderId="14" xfId="0" applyNumberFormat="1" applyFont="1" applyFill="1" applyBorder="1" applyAlignment="1">
      <alignment horizontal="right" vertical="center" indent="1"/>
    </xf>
    <xf numFmtId="189" fontId="49" fillId="0" borderId="13" xfId="0" applyNumberFormat="1" applyFont="1" applyBorder="1" applyAlignment="1">
      <alignment horizontal="right" vertical="center" indent="1"/>
    </xf>
    <xf numFmtId="191" fontId="50" fillId="0" borderId="13" xfId="0" applyNumberFormat="1" applyFont="1" applyBorder="1" applyAlignment="1">
      <alignment vertical="center"/>
    </xf>
    <xf numFmtId="0" fontId="101" fillId="0" borderId="0" xfId="0" applyFont="1" applyAlignment="1">
      <alignment vertical="top"/>
    </xf>
    <xf numFmtId="0" fontId="67" fillId="0" borderId="0" xfId="145" applyFont="1" applyBorder="1" applyAlignment="1"/>
    <xf numFmtId="0" fontId="8" fillId="0" borderId="43" xfId="145" applyFont="1" applyBorder="1" applyAlignment="1"/>
    <xf numFmtId="0" fontId="8" fillId="0" borderId="0" xfId="145" applyFont="1" applyBorder="1" applyAlignment="1">
      <alignment horizontal="center" vertical="center"/>
    </xf>
    <xf numFmtId="0" fontId="8" fillId="0" borderId="44" xfId="145" applyFont="1" applyBorder="1" applyAlignment="1">
      <alignment horizontal="center" vertical="center" wrapText="1"/>
    </xf>
    <xf numFmtId="0" fontId="8" fillId="0" borderId="42" xfId="145" applyFont="1" applyBorder="1" applyAlignment="1">
      <alignment horizontal="center" vertical="center" wrapText="1"/>
    </xf>
    <xf numFmtId="0" fontId="8" fillId="0" borderId="0" xfId="145" applyFont="1" applyBorder="1" applyAlignment="1">
      <alignment horizontal="right" vertical="top"/>
    </xf>
    <xf numFmtId="192" fontId="8" fillId="0" borderId="0" xfId="145" applyNumberFormat="1" applyFont="1" applyBorder="1" applyAlignment="1">
      <alignment horizontal="right"/>
    </xf>
    <xf numFmtId="192" fontId="8" fillId="0" borderId="0" xfId="145" quotePrefix="1" applyNumberFormat="1" applyFont="1" applyBorder="1" applyAlignment="1">
      <alignment horizontal="left"/>
    </xf>
    <xf numFmtId="0" fontId="8" fillId="0" borderId="0" xfId="145" quotePrefix="1" applyFont="1" applyBorder="1" applyAlignment="1">
      <alignment horizontal="left" wrapText="1"/>
    </xf>
    <xf numFmtId="0" fontId="8" fillId="0" borderId="42" xfId="145" applyFont="1" applyBorder="1" applyAlignment="1">
      <alignment horizontal="right" vertical="top"/>
    </xf>
    <xf numFmtId="192" fontId="8" fillId="0" borderId="42" xfId="145" applyNumberFormat="1" applyFont="1" applyBorder="1" applyAlignment="1">
      <alignment horizontal="right"/>
    </xf>
    <xf numFmtId="192" fontId="8" fillId="0" borderId="42" xfId="145" quotePrefix="1" applyNumberFormat="1" applyFont="1" applyBorder="1" applyAlignment="1">
      <alignment horizontal="left"/>
    </xf>
    <xf numFmtId="0" fontId="8" fillId="0" borderId="42" xfId="145" quotePrefix="1" applyFont="1" applyBorder="1" applyAlignment="1">
      <alignment horizontal="left" wrapText="1"/>
    </xf>
    <xf numFmtId="0" fontId="67" fillId="0" borderId="0" xfId="145" applyFont="1" applyBorder="1" applyAlignment="1">
      <alignment horizontal="left" wrapText="1"/>
    </xf>
    <xf numFmtId="192" fontId="67" fillId="0" borderId="0" xfId="145" quotePrefix="1" applyNumberFormat="1" applyFont="1" applyBorder="1" applyAlignment="1">
      <alignment horizontal="right"/>
    </xf>
    <xf numFmtId="0" fontId="67" fillId="0" borderId="0" xfId="145" quotePrefix="1" applyFont="1" applyBorder="1" applyAlignment="1">
      <alignment horizontal="left" wrapText="1"/>
    </xf>
    <xf numFmtId="0" fontId="63" fillId="0" borderId="0" xfId="142" applyFont="1" applyAlignment="1"/>
    <xf numFmtId="0" fontId="8" fillId="0" borderId="23" xfId="142" applyFont="1" applyBorder="1" applyAlignment="1">
      <alignment vertical="center"/>
    </xf>
    <xf numFmtId="0" fontId="8" fillId="0" borderId="0" xfId="142" applyFont="1" applyAlignment="1"/>
    <xf numFmtId="0" fontId="8" fillId="0" borderId="24" xfId="142" applyFont="1" applyBorder="1" applyAlignment="1">
      <alignment vertical="center"/>
    </xf>
    <xf numFmtId="0" fontId="8" fillId="0" borderId="15" xfId="142" applyFont="1" applyBorder="1" applyAlignment="1">
      <alignment horizontal="center" vertical="center"/>
    </xf>
    <xf numFmtId="0" fontId="8" fillId="0" borderId="46" xfId="142" applyFont="1" applyBorder="1" applyAlignment="1">
      <alignment horizontal="center" vertical="center"/>
    </xf>
    <xf numFmtId="0" fontId="8" fillId="0" borderId="14" xfId="142" applyFont="1" applyBorder="1" applyAlignment="1">
      <alignment horizontal="center" vertical="center"/>
    </xf>
    <xf numFmtId="186" fontId="49" fillId="0" borderId="17" xfId="142" applyNumberFormat="1" applyFont="1" applyBorder="1" applyAlignment="1">
      <alignment horizontal="right" vertical="center"/>
    </xf>
    <xf numFmtId="193" fontId="49" fillId="0" borderId="17" xfId="142" applyNumberFormat="1" applyFont="1" applyBorder="1">
      <alignment vertical="center"/>
    </xf>
    <xf numFmtId="193" fontId="49" fillId="0" borderId="17" xfId="142" applyNumberFormat="1" applyFont="1" applyBorder="1" applyAlignment="1">
      <alignment horizontal="right" vertical="center"/>
    </xf>
    <xf numFmtId="193" fontId="49" fillId="0" borderId="16" xfId="142" applyNumberFormat="1" applyFont="1" applyBorder="1">
      <alignment vertical="center"/>
    </xf>
    <xf numFmtId="0" fontId="8" fillId="0" borderId="0" xfId="142" applyFont="1" applyAlignment="1">
      <alignment vertical="center"/>
    </xf>
    <xf numFmtId="0" fontId="8" fillId="0" borderId="18" xfId="142" applyFont="1" applyBorder="1" applyAlignment="1">
      <alignment horizontal="distributed" vertical="center"/>
    </xf>
    <xf numFmtId="0" fontId="8" fillId="0" borderId="15" xfId="142" applyFont="1" applyBorder="1" applyAlignment="1">
      <alignment horizontal="distributed" vertical="center"/>
    </xf>
    <xf numFmtId="186" fontId="49" fillId="0" borderId="14" xfId="142" applyNumberFormat="1" applyFont="1" applyBorder="1" applyAlignment="1">
      <alignment horizontal="right" vertical="center"/>
    </xf>
    <xf numFmtId="193" fontId="49" fillId="0" borderId="14" xfId="142" applyNumberFormat="1" applyFont="1" applyBorder="1">
      <alignment vertical="center"/>
    </xf>
    <xf numFmtId="193" fontId="49" fillId="0" borderId="13" xfId="142" applyNumberFormat="1" applyFont="1" applyBorder="1">
      <alignment vertical="center"/>
    </xf>
    <xf numFmtId="0" fontId="67" fillId="0" borderId="0" xfId="142" applyFont="1" applyAlignment="1"/>
    <xf numFmtId="0" fontId="63" fillId="0" borderId="0" xfId="107" applyFont="1" applyAlignment="1">
      <alignment horizontal="center" vertical="center"/>
    </xf>
    <xf numFmtId="0" fontId="63" fillId="0" borderId="0" xfId="107" applyFont="1" applyAlignment="1">
      <alignment vertical="center"/>
    </xf>
    <xf numFmtId="0" fontId="49" fillId="0" borderId="0" xfId="107" applyFont="1" applyAlignment="1">
      <alignment vertical="center"/>
    </xf>
    <xf numFmtId="0" fontId="8" fillId="0" borderId="0" xfId="107" applyFont="1" applyBorder="1" applyAlignment="1">
      <alignment vertical="center"/>
    </xf>
    <xf numFmtId="0" fontId="8" fillId="0" borderId="0" xfId="107" applyFont="1" applyAlignment="1">
      <alignment vertical="center"/>
    </xf>
    <xf numFmtId="0" fontId="8" fillId="0" borderId="0" xfId="107" applyFont="1" applyBorder="1" applyAlignment="1">
      <alignment horizontal="center" vertical="center"/>
    </xf>
    <xf numFmtId="0" fontId="8" fillId="0" borderId="50" xfId="107" applyFont="1" applyBorder="1" applyAlignment="1">
      <alignment horizontal="center" vertical="center"/>
    </xf>
    <xf numFmtId="0" fontId="8" fillId="0" borderId="49" xfId="107" applyFont="1" applyBorder="1" applyAlignment="1">
      <alignment horizontal="center" vertical="center"/>
    </xf>
    <xf numFmtId="0" fontId="8" fillId="0" borderId="16" xfId="107" applyFont="1" applyBorder="1" applyAlignment="1">
      <alignment horizontal="center" vertical="center"/>
    </xf>
    <xf numFmtId="0" fontId="8" fillId="0" borderId="45" xfId="107" applyFont="1" applyBorder="1" applyAlignment="1">
      <alignment horizontal="center" vertical="center"/>
    </xf>
    <xf numFmtId="0" fontId="8" fillId="0" borderId="15" xfId="107" applyFont="1" applyBorder="1" applyAlignment="1">
      <alignment horizontal="center" vertical="center"/>
    </xf>
    <xf numFmtId="0" fontId="8" fillId="0" borderId="14" xfId="107" applyFont="1" applyBorder="1" applyAlignment="1">
      <alignment horizontal="center" vertical="center" wrapText="1"/>
    </xf>
    <xf numFmtId="0" fontId="8" fillId="0" borderId="14" xfId="107" applyFont="1" applyBorder="1" applyAlignment="1">
      <alignment horizontal="center" vertical="center"/>
    </xf>
    <xf numFmtId="194" fontId="49" fillId="0" borderId="17" xfId="107" applyNumberFormat="1" applyFont="1" applyBorder="1" applyAlignment="1">
      <alignment vertical="center"/>
    </xf>
    <xf numFmtId="195" fontId="49" fillId="0" borderId="17" xfId="107" applyNumberFormat="1" applyFont="1" applyBorder="1" applyAlignment="1">
      <alignment vertical="center"/>
    </xf>
    <xf numFmtId="195" fontId="49" fillId="0" borderId="16" xfId="107" applyNumberFormat="1" applyFont="1" applyBorder="1" applyAlignment="1">
      <alignment vertical="center"/>
    </xf>
    <xf numFmtId="194" fontId="49" fillId="0" borderId="14" xfId="107" applyNumberFormat="1" applyFont="1" applyBorder="1" applyAlignment="1">
      <alignment vertical="center"/>
    </xf>
    <xf numFmtId="195" fontId="49" fillId="0" borderId="14" xfId="107" applyNumberFormat="1" applyFont="1" applyBorder="1" applyAlignment="1">
      <alignment vertical="center"/>
    </xf>
    <xf numFmtId="195" fontId="49" fillId="0" borderId="13" xfId="107" applyNumberFormat="1" applyFont="1" applyBorder="1" applyAlignment="1">
      <alignment vertical="center"/>
    </xf>
    <xf numFmtId="0" fontId="67" fillId="0" borderId="0" xfId="107" applyFont="1"/>
    <xf numFmtId="194" fontId="8" fillId="0" borderId="0" xfId="107" applyNumberFormat="1" applyFont="1"/>
    <xf numFmtId="0" fontId="8" fillId="0" borderId="0" xfId="107" applyFont="1"/>
    <xf numFmtId="0" fontId="49" fillId="0" borderId="0" xfId="142" applyFont="1" applyAlignment="1">
      <alignment vertical="center"/>
    </xf>
    <xf numFmtId="0" fontId="8" fillId="0" borderId="48" xfId="142" applyFont="1" applyBorder="1" applyAlignment="1">
      <alignment horizontal="center" vertical="center"/>
    </xf>
    <xf numFmtId="0" fontId="8" fillId="0" borderId="45" xfId="142" applyFont="1" applyBorder="1" applyAlignment="1">
      <alignment horizontal="center" vertical="center"/>
    </xf>
    <xf numFmtId="0" fontId="8" fillId="0" borderId="49" xfId="142" applyFont="1" applyBorder="1" applyAlignment="1">
      <alignment horizontal="center" vertical="center"/>
    </xf>
    <xf numFmtId="0" fontId="8" fillId="0" borderId="50" xfId="142" applyFont="1" applyBorder="1" applyAlignment="1">
      <alignment horizontal="center" vertical="center"/>
    </xf>
    <xf numFmtId="0" fontId="8" fillId="0" borderId="45" xfId="142" applyFont="1" applyBorder="1" applyAlignment="1">
      <alignment vertical="center"/>
    </xf>
    <xf numFmtId="0" fontId="8" fillId="0" borderId="0" xfId="142" applyFont="1" applyBorder="1" applyAlignment="1">
      <alignment vertical="center"/>
    </xf>
    <xf numFmtId="0" fontId="8" fillId="0" borderId="13" xfId="142" applyFont="1" applyBorder="1" applyAlignment="1">
      <alignment horizontal="center" vertical="distributed" textRotation="255"/>
    </xf>
    <xf numFmtId="41" fontId="49" fillId="0" borderId="17" xfId="142" applyNumberFormat="1" applyFont="1" applyBorder="1" applyAlignment="1">
      <alignment horizontal="right" vertical="center"/>
    </xf>
    <xf numFmtId="183" fontId="49" fillId="0" borderId="16" xfId="142" quotePrefix="1" applyNumberFormat="1" applyFont="1" applyBorder="1" applyAlignment="1">
      <alignment horizontal="right" vertical="center"/>
    </xf>
    <xf numFmtId="0" fontId="8" fillId="0" borderId="18" xfId="142" applyFont="1" applyBorder="1" applyAlignment="1">
      <alignment horizontal="distributed" vertical="center" wrapText="1"/>
    </xf>
    <xf numFmtId="0" fontId="8" fillId="0" borderId="0" xfId="142" applyFont="1" applyFill="1" applyAlignment="1">
      <alignment vertical="center"/>
    </xf>
    <xf numFmtId="0" fontId="49" fillId="0" borderId="18" xfId="142" applyFont="1" applyBorder="1" applyAlignment="1">
      <alignment horizontal="distributed" vertical="center" wrapText="1"/>
    </xf>
    <xf numFmtId="41" fontId="49" fillId="0" borderId="14" xfId="142" applyNumberFormat="1" applyFont="1" applyBorder="1" applyAlignment="1">
      <alignment horizontal="right" vertical="center"/>
    </xf>
    <xf numFmtId="183" fontId="49" fillId="0" borderId="13" xfId="142" quotePrefix="1" applyNumberFormat="1" applyFont="1" applyBorder="1" applyAlignment="1">
      <alignment horizontal="right" vertical="center"/>
    </xf>
    <xf numFmtId="0" fontId="67" fillId="0" borderId="0" xfId="142" applyFont="1" applyAlignment="1">
      <alignment vertical="center"/>
    </xf>
    <xf numFmtId="0" fontId="51" fillId="0" borderId="0" xfId="142" applyFont="1" applyAlignment="1">
      <alignment vertical="center"/>
    </xf>
    <xf numFmtId="0" fontId="8" fillId="0" borderId="48" xfId="107" applyFont="1" applyFill="1" applyBorder="1" applyAlignment="1">
      <alignment vertical="center"/>
    </xf>
    <xf numFmtId="0" fontId="116" fillId="0" borderId="0" xfId="107" applyFont="1" applyFill="1" applyBorder="1" applyAlignment="1">
      <alignment horizontal="right" vertical="center"/>
    </xf>
    <xf numFmtId="0" fontId="8" fillId="0" borderId="24" xfId="107" applyFont="1" applyFill="1" applyBorder="1" applyAlignment="1">
      <alignment vertical="center"/>
    </xf>
    <xf numFmtId="0" fontId="8" fillId="0" borderId="18" xfId="107" applyFont="1" applyFill="1" applyBorder="1" applyAlignment="1">
      <alignment horizontal="distributed" vertical="center"/>
    </xf>
    <xf numFmtId="196" fontId="49" fillId="0" borderId="17" xfId="107" applyNumberFormat="1" applyFont="1" applyBorder="1" applyAlignment="1">
      <alignment vertical="center"/>
    </xf>
    <xf numFmtId="197" fontId="49" fillId="0" borderId="18" xfId="107" applyNumberFormat="1" applyFont="1" applyBorder="1" applyAlignment="1">
      <alignment vertical="center"/>
    </xf>
    <xf numFmtId="179" fontId="49" fillId="0" borderId="17" xfId="107" applyNumberFormat="1" applyFont="1" applyBorder="1" applyAlignment="1">
      <alignment vertical="center"/>
    </xf>
    <xf numFmtId="197" fontId="49" fillId="0" borderId="0" xfId="107" applyNumberFormat="1" applyFont="1" applyAlignment="1">
      <alignment vertical="center"/>
    </xf>
    <xf numFmtId="179" fontId="49" fillId="0" borderId="57" xfId="107" applyNumberFormat="1" applyFont="1" applyBorder="1" applyAlignment="1">
      <alignment vertical="center"/>
    </xf>
    <xf numFmtId="197" fontId="49" fillId="0" borderId="17" xfId="107" applyNumberFormat="1" applyFont="1" applyBorder="1" applyAlignment="1">
      <alignment vertical="center"/>
    </xf>
    <xf numFmtId="179" fontId="49" fillId="0" borderId="18" xfId="107" applyNumberFormat="1" applyFont="1" applyBorder="1" applyAlignment="1">
      <alignment vertical="center"/>
    </xf>
    <xf numFmtId="0" fontId="8" fillId="0" borderId="58" xfId="107" applyFont="1" applyFill="1" applyBorder="1" applyAlignment="1">
      <alignment horizontal="distributed" vertical="center"/>
    </xf>
    <xf numFmtId="196" fontId="49" fillId="0" borderId="59" xfId="107" applyNumberFormat="1" applyFont="1" applyBorder="1" applyAlignment="1">
      <alignment vertical="center"/>
    </xf>
    <xf numFmtId="197" fontId="49" fillId="0" borderId="59" xfId="107" applyNumberFormat="1" applyFont="1" applyBorder="1" applyAlignment="1">
      <alignment vertical="center"/>
    </xf>
    <xf numFmtId="179" fontId="49" fillId="0" borderId="59" xfId="107" applyNumberFormat="1" applyFont="1" applyBorder="1" applyAlignment="1">
      <alignment vertical="center"/>
    </xf>
    <xf numFmtId="197" fontId="49" fillId="0" borderId="60" xfId="107" applyNumberFormat="1" applyFont="1" applyBorder="1" applyAlignment="1">
      <alignment vertical="center"/>
    </xf>
    <xf numFmtId="179" fontId="49" fillId="0" borderId="61" xfId="107" applyNumberFormat="1" applyFont="1" applyBorder="1" applyAlignment="1">
      <alignment vertical="center"/>
    </xf>
    <xf numFmtId="179" fontId="49" fillId="0" borderId="58" xfId="107" applyNumberFormat="1" applyFont="1" applyBorder="1" applyAlignment="1">
      <alignment vertical="center"/>
    </xf>
    <xf numFmtId="0" fontId="8" fillId="0" borderId="0" xfId="107" applyFont="1" applyFill="1" applyBorder="1" applyAlignment="1">
      <alignment vertical="center"/>
    </xf>
    <xf numFmtId="0" fontId="8" fillId="0" borderId="18" xfId="107" applyFont="1" applyBorder="1" applyAlignment="1">
      <alignment horizontal="distributed" vertical="center"/>
    </xf>
    <xf numFmtId="0" fontId="8" fillId="0" borderId="15" xfId="107" applyFont="1" applyBorder="1" applyAlignment="1">
      <alignment horizontal="distributed" vertical="center"/>
    </xf>
    <xf numFmtId="179" fontId="49" fillId="0" borderId="14" xfId="107" applyNumberFormat="1" applyFont="1" applyBorder="1" applyAlignment="1">
      <alignment vertical="center"/>
    </xf>
    <xf numFmtId="197" fontId="49" fillId="0" borderId="14" xfId="107" applyNumberFormat="1" applyFont="1" applyBorder="1" applyAlignment="1">
      <alignment vertical="center"/>
    </xf>
    <xf numFmtId="197" fontId="49" fillId="0" borderId="24" xfId="107" applyNumberFormat="1" applyFont="1" applyBorder="1" applyAlignment="1">
      <alignment vertical="center"/>
    </xf>
    <xf numFmtId="179" fontId="49" fillId="0" borderId="56" xfId="107" applyNumberFormat="1" applyFont="1" applyBorder="1" applyAlignment="1">
      <alignment vertical="center"/>
    </xf>
    <xf numFmtId="179" fontId="49" fillId="0" borderId="15" xfId="107" applyNumberFormat="1" applyFont="1" applyBorder="1" applyAlignment="1">
      <alignment vertical="center"/>
    </xf>
    <xf numFmtId="0" fontId="67" fillId="0" borderId="0" xfId="107" applyFont="1" applyAlignment="1">
      <alignment vertical="center"/>
    </xf>
    <xf numFmtId="0" fontId="51" fillId="0" borderId="0" xfId="142" applyFont="1">
      <alignment vertical="center"/>
    </xf>
    <xf numFmtId="0" fontId="8" fillId="0" borderId="46" xfId="107" applyFont="1" applyBorder="1" applyAlignment="1">
      <alignment horizontal="center" vertical="center"/>
    </xf>
    <xf numFmtId="0" fontId="8" fillId="0" borderId="65" xfId="107" applyFont="1" applyBorder="1" applyAlignment="1">
      <alignment horizontal="center" vertical="center"/>
    </xf>
    <xf numFmtId="180" fontId="49" fillId="0" borderId="17" xfId="107" applyNumberFormat="1" applyFont="1" applyBorder="1" applyAlignment="1">
      <alignment vertical="center"/>
    </xf>
    <xf numFmtId="180" fontId="49" fillId="0" borderId="16" xfId="107" applyNumberFormat="1" applyFont="1" applyBorder="1" applyAlignment="1">
      <alignment vertical="center"/>
    </xf>
    <xf numFmtId="4" fontId="8" fillId="0" borderId="0" xfId="107" applyNumberFormat="1" applyFont="1" applyAlignment="1">
      <alignment vertical="center"/>
    </xf>
    <xf numFmtId="0" fontId="8" fillId="0" borderId="18" xfId="107" applyFont="1" applyBorder="1" applyAlignment="1">
      <alignment horizontal="distributed" vertical="center" wrapText="1"/>
    </xf>
    <xf numFmtId="0" fontId="8" fillId="0" borderId="0" xfId="107" applyFont="1" applyFill="1" applyAlignment="1">
      <alignment vertical="center"/>
    </xf>
    <xf numFmtId="180" fontId="49" fillId="0" borderId="13" xfId="107" applyNumberFormat="1" applyFont="1" applyBorder="1" applyAlignment="1">
      <alignment vertical="center"/>
    </xf>
    <xf numFmtId="0" fontId="67" fillId="0" borderId="0" xfId="107" quotePrefix="1" applyFont="1" applyAlignment="1">
      <alignment horizontal="left" vertical="center"/>
    </xf>
    <xf numFmtId="179" fontId="8" fillId="0" borderId="0" xfId="107" applyNumberFormat="1" applyFont="1" applyAlignment="1">
      <alignment vertical="center"/>
    </xf>
    <xf numFmtId="0" fontId="8" fillId="0" borderId="13" xfId="107" applyFont="1" applyBorder="1" applyAlignment="1">
      <alignment horizontal="center" vertical="center"/>
    </xf>
    <xf numFmtId="0" fontId="51" fillId="0" borderId="18" xfId="107" applyFont="1" applyBorder="1" applyAlignment="1">
      <alignment horizontal="distributed" vertical="center"/>
    </xf>
    <xf numFmtId="179" fontId="50" fillId="0" borderId="17" xfId="107" applyNumberFormat="1" applyFont="1" applyBorder="1" applyAlignment="1">
      <alignment vertical="center"/>
    </xf>
    <xf numFmtId="180" fontId="50" fillId="0" borderId="17" xfId="107" applyNumberFormat="1" applyFont="1" applyBorder="1" applyAlignment="1">
      <alignment vertical="center"/>
    </xf>
    <xf numFmtId="180" fontId="50" fillId="0" borderId="16" xfId="107" applyNumberFormat="1" applyFont="1" applyBorder="1" applyAlignment="1">
      <alignment vertical="center"/>
    </xf>
    <xf numFmtId="0" fontId="51" fillId="0" borderId="15" xfId="107" applyFont="1" applyBorder="1" applyAlignment="1">
      <alignment horizontal="distributed" vertical="center"/>
    </xf>
    <xf numFmtId="179" fontId="50" fillId="0" borderId="14" xfId="107" applyNumberFormat="1" applyFont="1" applyBorder="1" applyAlignment="1">
      <alignment vertical="center"/>
    </xf>
    <xf numFmtId="180" fontId="50" fillId="0" borderId="13" xfId="107" applyNumberFormat="1" applyFont="1" applyBorder="1" applyAlignment="1">
      <alignment vertical="center"/>
    </xf>
    <xf numFmtId="0" fontId="49" fillId="0" borderId="48" xfId="107" applyFont="1" applyBorder="1" applyAlignment="1">
      <alignment vertical="center"/>
    </xf>
    <xf numFmtId="0" fontId="49" fillId="0" borderId="0" xfId="107" applyFont="1" applyBorder="1" applyAlignment="1">
      <alignment horizontal="center" vertical="center"/>
    </xf>
    <xf numFmtId="0" fontId="49" fillId="0" borderId="24" xfId="107" applyFont="1" applyBorder="1" applyAlignment="1">
      <alignment vertical="center"/>
    </xf>
    <xf numFmtId="0" fontId="49" fillId="0" borderId="15" xfId="107" applyFont="1" applyBorder="1" applyAlignment="1">
      <alignment horizontal="center" vertical="center"/>
    </xf>
    <xf numFmtId="0" fontId="49" fillId="0" borderId="14" xfId="107" applyFont="1" applyBorder="1" applyAlignment="1">
      <alignment horizontal="center" vertical="center"/>
    </xf>
    <xf numFmtId="0" fontId="49" fillId="0" borderId="13" xfId="107" applyFont="1" applyBorder="1" applyAlignment="1">
      <alignment horizontal="center" vertical="center"/>
    </xf>
    <xf numFmtId="179" fontId="49" fillId="0" borderId="17" xfId="107" applyNumberFormat="1" applyFont="1" applyBorder="1" applyAlignment="1">
      <alignment horizontal="right" vertical="center"/>
    </xf>
    <xf numFmtId="179" fontId="49" fillId="0" borderId="16" xfId="107" applyNumberFormat="1" applyFont="1" applyBorder="1" applyAlignment="1">
      <alignment horizontal="right" vertical="center"/>
    </xf>
    <xf numFmtId="180" fontId="117" fillId="0" borderId="17" xfId="107" applyNumberFormat="1" applyFont="1" applyBorder="1" applyAlignment="1">
      <alignment horizontal="right" vertical="center"/>
    </xf>
    <xf numFmtId="180" fontId="117" fillId="0" borderId="16" xfId="107" applyNumberFormat="1" applyFont="1" applyBorder="1" applyAlignment="1">
      <alignment horizontal="right" vertical="center"/>
    </xf>
    <xf numFmtId="0" fontId="49" fillId="0" borderId="66" xfId="149" applyFont="1" applyBorder="1" applyAlignment="1">
      <alignment vertical="center"/>
    </xf>
    <xf numFmtId="0" fontId="49" fillId="0" borderId="0" xfId="149" applyFont="1" applyBorder="1" applyAlignment="1">
      <alignment horizontal="center" vertical="center"/>
    </xf>
    <xf numFmtId="0" fontId="49" fillId="0" borderId="24" xfId="149" applyFont="1" applyBorder="1" applyAlignment="1">
      <alignment vertical="center"/>
    </xf>
    <xf numFmtId="0" fontId="49" fillId="0" borderId="15" xfId="149" applyFont="1" applyBorder="1" applyAlignment="1">
      <alignment horizontal="center" vertical="center"/>
    </xf>
    <xf numFmtId="0" fontId="49" fillId="0" borderId="14" xfId="149" applyFont="1" applyBorder="1" applyAlignment="1">
      <alignment horizontal="center" vertical="center"/>
    </xf>
    <xf numFmtId="0" fontId="49" fillId="0" borderId="13" xfId="149" applyFont="1" applyBorder="1" applyAlignment="1">
      <alignment horizontal="center" vertical="center"/>
    </xf>
    <xf numFmtId="179" fontId="49" fillId="0" borderId="17" xfId="149" applyNumberFormat="1" applyFont="1" applyBorder="1" applyAlignment="1">
      <alignment horizontal="right" vertical="center"/>
    </xf>
    <xf numFmtId="179" fontId="49" fillId="0" borderId="16" xfId="149" applyNumberFormat="1" applyFont="1" applyBorder="1" applyAlignment="1">
      <alignment horizontal="right" vertical="center"/>
    </xf>
    <xf numFmtId="180" fontId="117" fillId="0" borderId="17" xfId="149" applyNumberFormat="1" applyFont="1" applyBorder="1" applyAlignment="1">
      <alignment horizontal="right" vertical="center"/>
    </xf>
    <xf numFmtId="180" fontId="117" fillId="0" borderId="16" xfId="149" applyNumberFormat="1" applyFont="1" applyBorder="1" applyAlignment="1">
      <alignment horizontal="right" vertical="center"/>
    </xf>
    <xf numFmtId="0" fontId="63" fillId="0" borderId="0" xfId="107" applyFont="1"/>
    <xf numFmtId="0" fontId="8" fillId="0" borderId="0" xfId="107" applyFont="1" applyBorder="1"/>
    <xf numFmtId="0" fontId="8" fillId="0" borderId="18" xfId="107" applyFont="1" applyBorder="1" applyAlignment="1">
      <alignment horizontal="center" vertical="center" wrapText="1"/>
    </xf>
    <xf numFmtId="0" fontId="8" fillId="0" borderId="17" xfId="107" applyFont="1" applyBorder="1" applyAlignment="1">
      <alignment horizontal="center" vertical="center"/>
    </xf>
    <xf numFmtId="0" fontId="8" fillId="0" borderId="15" xfId="107" applyFont="1" applyBorder="1" applyAlignment="1">
      <alignment horizontal="center" vertical="center" wrapText="1"/>
    </xf>
    <xf numFmtId="0" fontId="7" fillId="0" borderId="14" xfId="107" applyFont="1" applyBorder="1" applyAlignment="1">
      <alignment horizontal="distributed" vertical="center"/>
    </xf>
    <xf numFmtId="0" fontId="7" fillId="0" borderId="13" xfId="107" applyFont="1" applyBorder="1" applyAlignment="1">
      <alignment horizontal="distributed" vertical="center"/>
    </xf>
    <xf numFmtId="49" fontId="8" fillId="0" borderId="0" xfId="106" quotePrefix="1" applyNumberFormat="1" applyFont="1" applyBorder="1" applyAlignment="1" applyProtection="1">
      <alignment horizontal="center" vertical="center"/>
      <protection locked="0"/>
    </xf>
    <xf numFmtId="3" fontId="49" fillId="0" borderId="17" xfId="107" applyNumberFormat="1" applyFont="1" applyBorder="1" applyAlignment="1">
      <alignment horizontal="right" vertical="center" indent="1"/>
    </xf>
    <xf numFmtId="198" fontId="49" fillId="0" borderId="17" xfId="107" applyNumberFormat="1" applyFont="1" applyBorder="1" applyAlignment="1">
      <alignment vertical="center"/>
    </xf>
    <xf numFmtId="198" fontId="49" fillId="0" borderId="16" xfId="107" applyNumberFormat="1" applyFont="1" applyBorder="1" applyAlignment="1">
      <alignment vertical="center"/>
    </xf>
    <xf numFmtId="49" fontId="8" fillId="0" borderId="24" xfId="106" quotePrefix="1" applyNumberFormat="1" applyFont="1" applyBorder="1" applyAlignment="1" applyProtection="1">
      <alignment horizontal="center" vertical="center"/>
      <protection locked="0"/>
    </xf>
    <xf numFmtId="3" fontId="49" fillId="0" borderId="14" xfId="107" applyNumberFormat="1" applyFont="1" applyBorder="1" applyAlignment="1">
      <alignment horizontal="right" vertical="center" indent="1"/>
    </xf>
    <xf numFmtId="198" fontId="49" fillId="0" borderId="14" xfId="107" applyNumberFormat="1" applyFont="1" applyBorder="1" applyAlignment="1">
      <alignment vertical="center"/>
    </xf>
    <xf numFmtId="198" fontId="49" fillId="0" borderId="13" xfId="107" applyNumberFormat="1" applyFont="1" applyBorder="1" applyAlignment="1">
      <alignment vertical="center"/>
    </xf>
    <xf numFmtId="0" fontId="49" fillId="0" borderId="0" xfId="107" applyFont="1" applyBorder="1" applyAlignment="1">
      <alignment vertical="center"/>
    </xf>
    <xf numFmtId="0" fontId="49" fillId="0" borderId="0" xfId="107" applyFont="1" applyAlignment="1">
      <alignment horizontal="right" vertical="center"/>
    </xf>
    <xf numFmtId="0" fontId="8" fillId="0" borderId="50" xfId="147" applyFont="1" applyBorder="1" applyAlignment="1">
      <alignment horizontal="right" vertical="center"/>
    </xf>
    <xf numFmtId="0" fontId="8" fillId="0" borderId="48" xfId="147" applyFont="1" applyBorder="1" applyAlignment="1">
      <alignment vertical="center"/>
    </xf>
    <xf numFmtId="0" fontId="8" fillId="0" borderId="48" xfId="142" applyFont="1" applyBorder="1">
      <alignment vertical="center"/>
    </xf>
    <xf numFmtId="0" fontId="8" fillId="0" borderId="47" xfId="142" applyFont="1" applyBorder="1">
      <alignment vertical="center"/>
    </xf>
    <xf numFmtId="0" fontId="8" fillId="0" borderId="48" xfId="147" applyFont="1" applyBorder="1" applyAlignment="1">
      <alignment horizontal="right" vertical="center"/>
    </xf>
    <xf numFmtId="0" fontId="8" fillId="0" borderId="45" xfId="142" applyFont="1" applyBorder="1">
      <alignment vertical="center"/>
    </xf>
    <xf numFmtId="0" fontId="8" fillId="0" borderId="16" xfId="107" applyFont="1" applyBorder="1" applyAlignment="1">
      <alignment vertical="center" wrapText="1"/>
    </xf>
    <xf numFmtId="0" fontId="8" fillId="0" borderId="0" xfId="107" applyFont="1" applyAlignment="1">
      <alignment vertical="center" wrapText="1"/>
    </xf>
    <xf numFmtId="0" fontId="8" fillId="0" borderId="18" xfId="107" applyFont="1" applyBorder="1" applyAlignment="1">
      <alignment vertical="center" wrapText="1"/>
    </xf>
    <xf numFmtId="0" fontId="51" fillId="0" borderId="45" xfId="142" applyFont="1" applyBorder="1">
      <alignment vertical="center"/>
    </xf>
    <xf numFmtId="0" fontId="51" fillId="0" borderId="49" xfId="142" applyFont="1" applyBorder="1">
      <alignment vertical="center"/>
    </xf>
    <xf numFmtId="0" fontId="8" fillId="0" borderId="14" xfId="107" applyFont="1" applyBorder="1" applyAlignment="1">
      <alignment horizontal="distributed" vertical="center" wrapText="1"/>
    </xf>
    <xf numFmtId="0" fontId="8" fillId="0" borderId="65" xfId="107" applyFont="1" applyBorder="1" applyAlignment="1">
      <alignment horizontal="distributed" vertical="center" wrapText="1"/>
    </xf>
    <xf numFmtId="0" fontId="8" fillId="0" borderId="15" xfId="107" applyFont="1" applyBorder="1" applyAlignment="1">
      <alignment horizontal="distributed" vertical="center" wrapText="1"/>
    </xf>
    <xf numFmtId="0" fontId="8" fillId="0" borderId="47" xfId="107" applyFont="1" applyBorder="1" applyAlignment="1">
      <alignment horizontal="distributed" vertical="center"/>
    </xf>
    <xf numFmtId="179" fontId="49" fillId="0" borderId="54" xfId="107" applyNumberFormat="1" applyFont="1" applyBorder="1" applyAlignment="1">
      <alignment vertical="center"/>
    </xf>
    <xf numFmtId="4" fontId="117" fillId="0" borderId="54" xfId="107" applyNumberFormat="1" applyFont="1" applyBorder="1" applyAlignment="1">
      <alignment vertical="center"/>
    </xf>
    <xf numFmtId="179" fontId="49" fillId="0" borderId="47" xfId="107" applyNumberFormat="1" applyFont="1" applyBorder="1" applyAlignment="1">
      <alignment vertical="center"/>
    </xf>
    <xf numFmtId="4" fontId="117" fillId="0" borderId="50" xfId="107" applyNumberFormat="1" applyFont="1" applyBorder="1" applyAlignment="1">
      <alignment vertical="center"/>
    </xf>
    <xf numFmtId="4" fontId="117" fillId="0" borderId="17" xfId="107" applyNumberFormat="1" applyFont="1" applyBorder="1" applyAlignment="1">
      <alignment vertical="center"/>
    </xf>
    <xf numFmtId="4" fontId="117" fillId="0" borderId="16" xfId="107" applyNumberFormat="1" applyFont="1" applyBorder="1" applyAlignment="1">
      <alignment vertical="center"/>
    </xf>
    <xf numFmtId="4" fontId="117" fillId="0" borderId="14" xfId="107" applyNumberFormat="1" applyFont="1" applyBorder="1" applyAlignment="1">
      <alignment vertical="center"/>
    </xf>
    <xf numFmtId="4" fontId="117" fillId="0" borderId="13" xfId="107" applyNumberFormat="1" applyFont="1" applyBorder="1" applyAlignment="1">
      <alignment vertical="center"/>
    </xf>
    <xf numFmtId="0" fontId="67" fillId="0" borderId="0" xfId="107" applyFont="1" applyBorder="1" applyAlignment="1">
      <alignment vertical="center"/>
    </xf>
    <xf numFmtId="3" fontId="67" fillId="0" borderId="0" xfId="107" applyNumberFormat="1" applyFont="1" applyBorder="1" applyAlignment="1">
      <alignment vertical="center"/>
    </xf>
    <xf numFmtId="41" fontId="49" fillId="0" borderId="17" xfId="107" applyNumberFormat="1" applyFont="1" applyBorder="1" applyAlignment="1">
      <alignment vertical="center"/>
    </xf>
    <xf numFmtId="43" fontId="117" fillId="0" borderId="17" xfId="107" applyNumberFormat="1" applyFont="1" applyBorder="1" applyAlignment="1">
      <alignment vertical="center"/>
    </xf>
    <xf numFmtId="41" fontId="49" fillId="0" borderId="18" xfId="107" applyNumberFormat="1" applyFont="1" applyBorder="1" applyAlignment="1">
      <alignment vertical="center"/>
    </xf>
    <xf numFmtId="43" fontId="117" fillId="0" borderId="16" xfId="107" applyNumberFormat="1" applyFont="1" applyBorder="1" applyAlignment="1">
      <alignment vertical="center"/>
    </xf>
    <xf numFmtId="41" fontId="49" fillId="0" borderId="17" xfId="107" quotePrefix="1" applyNumberFormat="1" applyFont="1" applyBorder="1" applyAlignment="1">
      <alignment horizontal="right" vertical="center"/>
    </xf>
    <xf numFmtId="41" fontId="49" fillId="0" borderId="18" xfId="107" quotePrefix="1" applyNumberFormat="1" applyFont="1" applyBorder="1" applyAlignment="1">
      <alignment horizontal="right" vertical="center"/>
    </xf>
    <xf numFmtId="0" fontId="8" fillId="0" borderId="0" xfId="107" applyFont="1" applyFill="1"/>
    <xf numFmtId="0" fontId="49" fillId="0" borderId="18" xfId="107" applyFont="1" applyBorder="1" applyAlignment="1">
      <alignment horizontal="distributed" vertical="center"/>
    </xf>
    <xf numFmtId="41" fontId="49" fillId="0" borderId="14" xfId="107" applyNumberFormat="1" applyFont="1" applyBorder="1" applyAlignment="1">
      <alignment vertical="center"/>
    </xf>
    <xf numFmtId="43" fontId="117" fillId="0" borderId="14" xfId="107" applyNumberFormat="1" applyFont="1" applyBorder="1" applyAlignment="1">
      <alignment vertical="center"/>
    </xf>
    <xf numFmtId="41" fontId="49" fillId="0" borderId="15" xfId="107" applyNumberFormat="1" applyFont="1" applyBorder="1" applyAlignment="1">
      <alignment vertical="center"/>
    </xf>
    <xf numFmtId="43" fontId="117" fillId="0" borderId="13" xfId="107" applyNumberFormat="1" applyFont="1" applyBorder="1" applyAlignment="1">
      <alignment vertical="center"/>
    </xf>
    <xf numFmtId="0" fontId="67" fillId="0" borderId="0" xfId="45" applyFont="1" applyBorder="1" applyAlignment="1">
      <alignment vertical="center"/>
    </xf>
    <xf numFmtId="0" fontId="8" fillId="0" borderId="0" xfId="104" applyFont="1" applyBorder="1" applyAlignment="1">
      <alignment vertical="center"/>
    </xf>
    <xf numFmtId="0" fontId="8" fillId="0" borderId="18" xfId="104" applyFont="1" applyBorder="1" applyAlignment="1">
      <alignment horizontal="center" vertical="center" wrapText="1"/>
    </xf>
    <xf numFmtId="0" fontId="8" fillId="0" borderId="17" xfId="104" applyFont="1" applyBorder="1" applyAlignment="1">
      <alignment horizontal="center" vertical="center"/>
    </xf>
    <xf numFmtId="0" fontId="8" fillId="0" borderId="15" xfId="104" applyFont="1" applyBorder="1" applyAlignment="1">
      <alignment horizontal="center" vertical="center" wrapText="1"/>
    </xf>
    <xf numFmtId="0" fontId="7" fillId="0" borderId="14" xfId="104" applyFont="1" applyBorder="1" applyAlignment="1">
      <alignment horizontal="distributed" vertical="center"/>
    </xf>
    <xf numFmtId="0" fontId="8" fillId="0" borderId="14" xfId="104" applyFont="1" applyBorder="1" applyAlignment="1">
      <alignment horizontal="center" vertical="center" wrapText="1"/>
    </xf>
    <xf numFmtId="0" fontId="7" fillId="0" borderId="13" xfId="104" applyFont="1" applyBorder="1" applyAlignment="1">
      <alignment horizontal="distributed" vertical="center"/>
    </xf>
    <xf numFmtId="49" fontId="8" fillId="0" borderId="0" xfId="106" quotePrefix="1" applyNumberFormat="1" applyFont="1" applyAlignment="1" applyProtection="1">
      <alignment horizontal="center" vertical="center"/>
      <protection locked="0"/>
    </xf>
    <xf numFmtId="41" fontId="49" fillId="0" borderId="17" xfId="104" applyNumberFormat="1" applyFont="1" applyBorder="1" applyAlignment="1">
      <alignment horizontal="right" vertical="center" indent="1"/>
    </xf>
    <xf numFmtId="43" fontId="49" fillId="0" borderId="17" xfId="104" applyNumberFormat="1" applyFont="1" applyBorder="1" applyAlignment="1">
      <alignment horizontal="right" vertical="center" indent="1"/>
    </xf>
    <xf numFmtId="43" fontId="49" fillId="0" borderId="16" xfId="104" applyNumberFormat="1" applyFont="1" applyBorder="1" applyAlignment="1">
      <alignment horizontal="right" vertical="center" indent="1"/>
    </xf>
    <xf numFmtId="41" fontId="49" fillId="0" borderId="14" xfId="104" applyNumberFormat="1" applyFont="1" applyBorder="1" applyAlignment="1">
      <alignment horizontal="right" vertical="center" indent="1"/>
    </xf>
    <xf numFmtId="43" fontId="49" fillId="0" borderId="14" xfId="104" applyNumberFormat="1" applyFont="1" applyBorder="1" applyAlignment="1">
      <alignment horizontal="right" vertical="center" indent="1"/>
    </xf>
    <xf numFmtId="43" fontId="49" fillId="0" borderId="13" xfId="104" applyNumberFormat="1" applyFont="1" applyBorder="1" applyAlignment="1">
      <alignment horizontal="right" vertical="center" indent="1"/>
    </xf>
    <xf numFmtId="0" fontId="67" fillId="0" borderId="0" xfId="104" applyFont="1" applyAlignment="1">
      <alignment vertical="top"/>
    </xf>
    <xf numFmtId="0" fontId="63" fillId="0" borderId="0" xfId="104" applyFont="1" applyBorder="1" applyAlignment="1">
      <alignment vertical="center"/>
    </xf>
    <xf numFmtId="0" fontId="63" fillId="0" borderId="0" xfId="104" applyFont="1" applyAlignment="1">
      <alignment vertical="center"/>
    </xf>
    <xf numFmtId="0" fontId="7" fillId="0" borderId="14" xfId="104" applyFont="1" applyBorder="1" applyAlignment="1">
      <alignment horizontal="distributed" vertical="center" wrapText="1"/>
    </xf>
    <xf numFmtId="0" fontId="8" fillId="0" borderId="18" xfId="104" applyFont="1" applyBorder="1" applyAlignment="1">
      <alignment horizontal="distributed" vertical="center"/>
    </xf>
    <xf numFmtId="179" fontId="49" fillId="0" borderId="17" xfId="104" applyNumberFormat="1" applyFont="1" applyBorder="1" applyAlignment="1">
      <alignment vertical="center"/>
    </xf>
    <xf numFmtId="180" fontId="49" fillId="0" borderId="16" xfId="104" applyNumberFormat="1" applyFont="1" applyBorder="1" applyAlignment="1">
      <alignment vertical="center"/>
    </xf>
    <xf numFmtId="0" fontId="8" fillId="0" borderId="18" xfId="104" applyFont="1" applyBorder="1" applyAlignment="1">
      <alignment horizontal="distributed" vertical="center" wrapText="1"/>
    </xf>
    <xf numFmtId="0" fontId="8" fillId="0" borderId="0" xfId="104" applyFont="1" applyFill="1" applyBorder="1" applyAlignment="1">
      <alignment vertical="center"/>
    </xf>
    <xf numFmtId="0" fontId="8" fillId="0" borderId="0" xfId="104" applyFont="1" applyFill="1" applyAlignment="1">
      <alignment vertical="center"/>
    </xf>
    <xf numFmtId="0" fontId="8" fillId="0" borderId="15" xfId="104" applyFont="1" applyBorder="1" applyAlignment="1">
      <alignment horizontal="distributed" vertical="center"/>
    </xf>
    <xf numFmtId="179" fontId="49" fillId="0" borderId="14" xfId="104" applyNumberFormat="1" applyFont="1" applyBorder="1" applyAlignment="1">
      <alignment vertical="center"/>
    </xf>
    <xf numFmtId="180" fontId="49" fillId="0" borderId="13" xfId="104" applyNumberFormat="1" applyFont="1" applyBorder="1" applyAlignment="1">
      <alignment vertical="center"/>
    </xf>
    <xf numFmtId="0" fontId="67" fillId="0" borderId="0" xfId="104" quotePrefix="1" applyFont="1" applyAlignment="1">
      <alignment horizontal="left" vertical="center"/>
    </xf>
    <xf numFmtId="0" fontId="67" fillId="0" borderId="0" xfId="104" applyFont="1" applyBorder="1" applyAlignment="1">
      <alignment vertical="center"/>
    </xf>
    <xf numFmtId="199" fontId="67" fillId="0" borderId="0" xfId="104" applyNumberFormat="1" applyFont="1" applyAlignment="1">
      <alignment vertical="center"/>
    </xf>
    <xf numFmtId="0" fontId="67" fillId="0" borderId="0" xfId="104" quotePrefix="1" applyFont="1" applyAlignment="1">
      <alignment vertical="center"/>
    </xf>
    <xf numFmtId="0" fontId="119" fillId="0" borderId="0" xfId="104" applyFont="1" applyAlignment="1">
      <alignment vertical="center"/>
    </xf>
    <xf numFmtId="0" fontId="8" fillId="0" borderId="48" xfId="147" applyFont="1" applyBorder="1" applyAlignment="1">
      <alignment horizontal="left" vertical="center"/>
    </xf>
    <xf numFmtId="0" fontId="8" fillId="0" borderId="47" xfId="147" applyFont="1" applyBorder="1" applyAlignment="1">
      <alignment horizontal="right" vertical="center"/>
    </xf>
    <xf numFmtId="0" fontId="7" fillId="0" borderId="46" xfId="104" applyFont="1" applyBorder="1" applyAlignment="1">
      <alignment horizontal="distributed" vertical="center"/>
    </xf>
    <xf numFmtId="0" fontId="51" fillId="0" borderId="0" xfId="150" applyFont="1">
      <alignment vertical="center"/>
    </xf>
    <xf numFmtId="0" fontId="84" fillId="0" borderId="0" xfId="104" applyFont="1" applyAlignment="1">
      <alignment vertical="center"/>
    </xf>
    <xf numFmtId="0" fontId="49" fillId="0" borderId="24" xfId="104" applyFont="1" applyBorder="1" applyAlignment="1">
      <alignment horizontal="right"/>
    </xf>
    <xf numFmtId="0" fontId="49" fillId="0" borderId="0" xfId="104" applyFont="1" applyBorder="1" applyAlignment="1">
      <alignment horizontal="right"/>
    </xf>
    <xf numFmtId="0" fontId="8" fillId="0" borderId="49" xfId="104" applyFont="1" applyBorder="1" applyAlignment="1">
      <alignment horizontal="distributed" vertical="center" wrapText="1"/>
    </xf>
    <xf numFmtId="0" fontId="8" fillId="0" borderId="65" xfId="104" applyFont="1" applyBorder="1" applyAlignment="1">
      <alignment horizontal="distributed" vertical="center" wrapText="1"/>
    </xf>
    <xf numFmtId="0" fontId="8" fillId="0" borderId="46" xfId="104" applyFont="1" applyBorder="1" applyAlignment="1">
      <alignment horizontal="distributed" vertical="center"/>
    </xf>
    <xf numFmtId="3" fontId="8" fillId="0" borderId="18" xfId="104" applyNumberFormat="1" applyFont="1" applyBorder="1" applyAlignment="1">
      <alignment horizontal="center" vertical="center"/>
    </xf>
    <xf numFmtId="3" fontId="8" fillId="0" borderId="17" xfId="104" applyNumberFormat="1" applyFont="1" applyBorder="1" applyAlignment="1">
      <alignment horizontal="center" vertical="center"/>
    </xf>
    <xf numFmtId="2" fontId="8" fillId="0" borderId="16" xfId="104" applyNumberFormat="1" applyFont="1" applyBorder="1" applyAlignment="1">
      <alignment horizontal="center" vertical="center"/>
    </xf>
    <xf numFmtId="49" fontId="8" fillId="0" borderId="48" xfId="106" quotePrefix="1" applyNumberFormat="1" applyFont="1" applyBorder="1" applyAlignment="1" applyProtection="1">
      <alignment horizontal="center" vertical="center"/>
      <protection locked="0"/>
    </xf>
    <xf numFmtId="3" fontId="49" fillId="0" borderId="17" xfId="104" applyNumberFormat="1" applyFont="1" applyBorder="1" applyAlignment="1">
      <alignment horizontal="center" vertical="center"/>
    </xf>
    <xf numFmtId="179" fontId="50" fillId="0" borderId="50" xfId="142" applyNumberFormat="1" applyFont="1" applyBorder="1" applyAlignment="1">
      <alignment horizontal="center" vertical="center"/>
    </xf>
    <xf numFmtId="2" fontId="49" fillId="0" borderId="16" xfId="104" applyNumberFormat="1" applyFont="1" applyBorder="1" applyAlignment="1">
      <alignment horizontal="center" vertical="center"/>
    </xf>
    <xf numFmtId="179" fontId="50" fillId="0" borderId="17" xfId="142" applyNumberFormat="1" applyFont="1" applyBorder="1" applyAlignment="1">
      <alignment horizontal="center" vertical="center"/>
    </xf>
    <xf numFmtId="179" fontId="50" fillId="0" borderId="16" xfId="142" applyNumberFormat="1" applyFont="1" applyBorder="1" applyAlignment="1">
      <alignment horizontal="center" vertical="center"/>
    </xf>
    <xf numFmtId="3" fontId="49" fillId="0" borderId="14" xfId="104" applyNumberFormat="1" applyFont="1" applyBorder="1" applyAlignment="1">
      <alignment horizontal="center" vertical="center"/>
    </xf>
    <xf numFmtId="179" fontId="50" fillId="0" borderId="14" xfId="142" applyNumberFormat="1" applyFont="1" applyBorder="1" applyAlignment="1">
      <alignment horizontal="center" vertical="center"/>
    </xf>
    <xf numFmtId="2" fontId="49" fillId="0" borderId="13" xfId="104" applyNumberFormat="1" applyFont="1" applyBorder="1" applyAlignment="1">
      <alignment horizontal="center" vertical="center"/>
    </xf>
    <xf numFmtId="0" fontId="67" fillId="0" borderId="48" xfId="104" applyFont="1" applyBorder="1" applyAlignment="1">
      <alignment vertical="center"/>
    </xf>
    <xf numFmtId="182" fontId="8" fillId="0" borderId="15" xfId="142" applyNumberFormat="1" applyFont="1" applyBorder="1" applyAlignment="1">
      <alignment horizontal="center" vertical="center"/>
    </xf>
    <xf numFmtId="180" fontId="8" fillId="0" borderId="14" xfId="142" applyNumberFormat="1" applyFont="1" applyBorder="1" applyAlignment="1">
      <alignment horizontal="center" vertical="center"/>
    </xf>
    <xf numFmtId="182" fontId="8" fillId="0" borderId="65" xfId="142" applyNumberFormat="1" applyFont="1" applyBorder="1" applyAlignment="1">
      <alignment horizontal="center" vertical="center"/>
    </xf>
    <xf numFmtId="182" fontId="8" fillId="0" borderId="14" xfId="142" applyNumberFormat="1" applyFont="1" applyBorder="1" applyAlignment="1">
      <alignment horizontal="center" vertical="center"/>
    </xf>
    <xf numFmtId="180" fontId="8" fillId="0" borderId="13" xfId="142" applyNumberFormat="1" applyFont="1" applyBorder="1" applyAlignment="1">
      <alignment horizontal="center" vertical="center"/>
    </xf>
    <xf numFmtId="0" fontId="8" fillId="0" borderId="0" xfId="142" applyFont="1" applyBorder="1" applyAlignment="1"/>
    <xf numFmtId="0" fontId="8" fillId="0" borderId="0" xfId="142" applyFont="1" applyAlignment="1">
      <alignment horizontal="distributed" vertical="center"/>
    </xf>
    <xf numFmtId="179" fontId="49" fillId="0" borderId="17" xfId="142" applyNumberFormat="1" applyFont="1" applyBorder="1">
      <alignment vertical="center"/>
    </xf>
    <xf numFmtId="180" fontId="49" fillId="0" borderId="16" xfId="142" applyNumberFormat="1" applyFont="1" applyBorder="1">
      <alignment vertical="center"/>
    </xf>
    <xf numFmtId="199" fontId="8" fillId="0" borderId="0" xfId="142" applyNumberFormat="1" applyFont="1" applyAlignment="1">
      <alignment vertical="center"/>
    </xf>
    <xf numFmtId="179" fontId="49" fillId="25" borderId="17" xfId="151" applyNumberFormat="1" applyFont="1" applyFill="1" applyBorder="1" applyAlignment="1">
      <alignment horizontal="right" vertical="center" shrinkToFit="1"/>
    </xf>
    <xf numFmtId="180" fontId="49" fillId="0" borderId="16" xfId="142" applyNumberFormat="1" applyFont="1" applyBorder="1" applyAlignment="1"/>
    <xf numFmtId="199" fontId="8" fillId="0" borderId="0" xfId="142" applyNumberFormat="1" applyFont="1" applyFill="1" applyAlignment="1">
      <alignment vertical="center"/>
    </xf>
    <xf numFmtId="179" fontId="49" fillId="0" borderId="17" xfId="151" applyNumberFormat="1" applyFont="1" applyBorder="1" applyAlignment="1">
      <alignment horizontal="right" vertical="center" shrinkToFit="1"/>
    </xf>
    <xf numFmtId="0" fontId="8" fillId="0" borderId="24" xfId="142" applyFont="1" applyBorder="1" applyAlignment="1">
      <alignment horizontal="distributed" vertical="center"/>
    </xf>
    <xf numFmtId="179" fontId="49" fillId="0" borderId="14" xfId="142" applyNumberFormat="1" applyFont="1" applyBorder="1" applyAlignment="1">
      <alignment vertical="center"/>
    </xf>
    <xf numFmtId="180" fontId="49" fillId="0" borderId="13" xfId="142" applyNumberFormat="1" applyFont="1" applyBorder="1" applyAlignment="1">
      <alignment vertical="center"/>
    </xf>
    <xf numFmtId="182" fontId="67" fillId="0" borderId="0" xfId="142" applyNumberFormat="1" applyFont="1" applyAlignment="1"/>
    <xf numFmtId="180" fontId="67" fillId="0" borderId="0" xfId="142" applyNumberFormat="1" applyFont="1" applyAlignment="1"/>
    <xf numFmtId="0" fontId="67" fillId="0" borderId="0" xfId="45" applyFont="1" applyBorder="1" applyAlignment="1"/>
    <xf numFmtId="182" fontId="8" fillId="0" borderId="0" xfId="142" applyNumberFormat="1" applyFont="1" applyAlignment="1"/>
    <xf numFmtId="180" fontId="8" fillId="0" borderId="0" xfId="142" applyNumberFormat="1" applyFont="1" applyAlignment="1"/>
    <xf numFmtId="0" fontId="8" fillId="0" borderId="0" xfId="153" applyFont="1">
      <alignment vertical="center"/>
    </xf>
    <xf numFmtId="0" fontId="121" fillId="0" borderId="0" xfId="152" applyFont="1"/>
    <xf numFmtId="0" fontId="8" fillId="0" borderId="0" xfId="152" applyFont="1"/>
    <xf numFmtId="0" fontId="67" fillId="0" borderId="0" xfId="154" applyFont="1" applyAlignment="1">
      <alignment horizontal="right"/>
    </xf>
    <xf numFmtId="0" fontId="8" fillId="0" borderId="0" xfId="152" applyFont="1" applyAlignment="1">
      <alignment horizontal="center" vertical="center"/>
    </xf>
    <xf numFmtId="41" fontId="49" fillId="0" borderId="17" xfId="148" applyNumberFormat="1" applyFont="1" applyBorder="1" applyAlignment="1">
      <alignment horizontal="right" vertical="center"/>
    </xf>
    <xf numFmtId="41" fontId="49" fillId="0" borderId="16" xfId="148" applyNumberFormat="1" applyFont="1" applyBorder="1" applyAlignment="1">
      <alignment horizontal="right" vertical="center"/>
    </xf>
    <xf numFmtId="41" fontId="49" fillId="0" borderId="0" xfId="148" applyNumberFormat="1" applyFont="1" applyBorder="1" applyAlignment="1">
      <alignment horizontal="right" vertical="center"/>
    </xf>
    <xf numFmtId="41" fontId="49" fillId="0" borderId="14" xfId="148" applyNumberFormat="1" applyFont="1" applyBorder="1" applyAlignment="1">
      <alignment horizontal="right" vertical="center"/>
    </xf>
    <xf numFmtId="41" fontId="49" fillId="0" borderId="13" xfId="148" applyNumberFormat="1" applyFont="1" applyBorder="1" applyAlignment="1">
      <alignment horizontal="right" vertical="center"/>
    </xf>
    <xf numFmtId="41" fontId="49" fillId="0" borderId="0" xfId="148" applyNumberFormat="1" applyFont="1" applyBorder="1" applyAlignment="1">
      <alignment horizontal="center" vertical="center"/>
    </xf>
    <xf numFmtId="0" fontId="121" fillId="0" borderId="0" xfId="158" applyFont="1">
      <alignment vertical="center"/>
    </xf>
    <xf numFmtId="0" fontId="67" fillId="0" borderId="0" xfId="158" applyFont="1">
      <alignment vertical="center"/>
    </xf>
    <xf numFmtId="0" fontId="49" fillId="0" borderId="49" xfId="158" applyFont="1" applyBorder="1" applyAlignment="1">
      <alignment horizontal="center" vertical="center"/>
    </xf>
    <xf numFmtId="0" fontId="67" fillId="0" borderId="65" xfId="158" applyFont="1" applyBorder="1" applyAlignment="1">
      <alignment horizontal="center" vertical="center"/>
    </xf>
    <xf numFmtId="0" fontId="49" fillId="0" borderId="65" xfId="158" applyFont="1" applyBorder="1" applyAlignment="1">
      <alignment horizontal="center" vertical="center"/>
    </xf>
    <xf numFmtId="0" fontId="67" fillId="0" borderId="46" xfId="158" applyFont="1" applyBorder="1" applyAlignment="1">
      <alignment horizontal="center" vertical="center"/>
    </xf>
    <xf numFmtId="0" fontId="67" fillId="0" borderId="0" xfId="158" applyFont="1" applyBorder="1">
      <alignment vertical="center"/>
    </xf>
    <xf numFmtId="0" fontId="8" fillId="0" borderId="0" xfId="157" quotePrefix="1" applyFont="1" applyBorder="1" applyAlignment="1">
      <alignment horizontal="center" vertical="center"/>
    </xf>
    <xf numFmtId="186" fontId="49" fillId="0" borderId="17" xfId="158" applyNumberFormat="1" applyFont="1" applyBorder="1" applyAlignment="1">
      <alignment horizontal="right" vertical="center"/>
    </xf>
    <xf numFmtId="41" fontId="49" fillId="0" borderId="17" xfId="158" applyNumberFormat="1" applyFont="1" applyBorder="1" applyAlignment="1">
      <alignment horizontal="right" vertical="center"/>
    </xf>
    <xf numFmtId="41" fontId="49" fillId="0" borderId="16" xfId="158" applyNumberFormat="1" applyFont="1" applyBorder="1" applyAlignment="1">
      <alignment horizontal="right" vertical="center"/>
    </xf>
    <xf numFmtId="0" fontId="8" fillId="0" borderId="0" xfId="158" applyFont="1">
      <alignment vertical="center"/>
    </xf>
    <xf numFmtId="0" fontId="8" fillId="0" borderId="24" xfId="157" quotePrefix="1" applyFont="1" applyBorder="1" applyAlignment="1">
      <alignment horizontal="center" vertical="center"/>
    </xf>
    <xf numFmtId="186" fontId="49" fillId="0" borderId="14" xfId="158" applyNumberFormat="1" applyFont="1" applyBorder="1" applyAlignment="1">
      <alignment horizontal="right" vertical="center"/>
    </xf>
    <xf numFmtId="41" fontId="49" fillId="0" borderId="14" xfId="158" applyNumberFormat="1" applyFont="1" applyBorder="1" applyAlignment="1">
      <alignment horizontal="right" vertical="center"/>
    </xf>
    <xf numFmtId="41" fontId="49" fillId="0" borderId="13" xfId="158" applyNumberFormat="1" applyFont="1" applyBorder="1" applyAlignment="1">
      <alignment horizontal="right" vertical="center"/>
    </xf>
    <xf numFmtId="0" fontId="67" fillId="0" borderId="18" xfId="157" applyFont="1" applyFill="1" applyBorder="1" applyAlignment="1">
      <alignment horizontal="left" vertical="center"/>
    </xf>
    <xf numFmtId="186" fontId="8" fillId="0" borderId="0" xfId="158" applyNumberFormat="1" applyFont="1">
      <alignment vertical="center"/>
    </xf>
    <xf numFmtId="0" fontId="49" fillId="0" borderId="24" xfId="142" applyFont="1" applyBorder="1" applyAlignment="1">
      <alignment horizontal="right"/>
    </xf>
    <xf numFmtId="0" fontId="49" fillId="0" borderId="0" xfId="142" applyFont="1" applyBorder="1" applyAlignment="1">
      <alignment horizontal="right"/>
    </xf>
    <xf numFmtId="0" fontId="49" fillId="0" borderId="0" xfId="142" applyFont="1" applyBorder="1" applyAlignment="1">
      <alignment horizontal="right" vertical="center"/>
    </xf>
    <xf numFmtId="0" fontId="8" fillId="0" borderId="49" xfId="159" applyFont="1" applyBorder="1" applyAlignment="1">
      <alignment horizontal="center" vertical="center" wrapText="1"/>
    </xf>
    <xf numFmtId="0" fontId="8" fillId="0" borderId="49" xfId="159" applyFont="1" applyBorder="1" applyAlignment="1">
      <alignment horizontal="distributed" vertical="center" wrapText="1"/>
    </xf>
    <xf numFmtId="200" fontId="49" fillId="0" borderId="17" xfId="158" applyNumberFormat="1" applyFont="1" applyBorder="1" applyAlignment="1">
      <alignment horizontal="right" vertical="center"/>
    </xf>
    <xf numFmtId="186" fontId="49" fillId="0" borderId="50" xfId="158" applyNumberFormat="1" applyFont="1" applyBorder="1" applyAlignment="1">
      <alignment horizontal="right" vertical="center"/>
    </xf>
    <xf numFmtId="3" fontId="8" fillId="0" borderId="0" xfId="142" applyNumberFormat="1" applyFont="1" applyBorder="1" applyAlignment="1">
      <alignment horizontal="center" vertical="center"/>
    </xf>
    <xf numFmtId="3" fontId="8" fillId="0" borderId="0" xfId="142" applyNumberFormat="1" applyFont="1" applyAlignment="1">
      <alignment vertical="center"/>
    </xf>
    <xf numFmtId="186" fontId="49" fillId="0" borderId="16" xfId="158" applyNumberFormat="1" applyFont="1" applyBorder="1" applyAlignment="1">
      <alignment horizontal="right" vertical="center"/>
    </xf>
    <xf numFmtId="200" fontId="49" fillId="0" borderId="14" xfId="158" applyNumberFormat="1" applyFont="1" applyBorder="1" applyAlignment="1">
      <alignment horizontal="right" vertical="center"/>
    </xf>
    <xf numFmtId="186" fontId="49" fillId="0" borderId="13" xfId="158" applyNumberFormat="1" applyFont="1" applyBorder="1" applyAlignment="1">
      <alignment horizontal="right" vertical="center"/>
    </xf>
    <xf numFmtId="0" fontId="63" fillId="0" borderId="0" xfId="142" applyFont="1" applyAlignment="1">
      <alignment vertical="center"/>
    </xf>
    <xf numFmtId="0" fontId="49" fillId="0" borderId="0" xfId="142" applyFont="1" applyAlignment="1">
      <alignment horizontal="center" vertical="center"/>
    </xf>
    <xf numFmtId="0" fontId="49" fillId="0" borderId="24" xfId="142" applyFont="1" applyBorder="1" applyAlignment="1">
      <alignment vertical="center"/>
    </xf>
    <xf numFmtId="180" fontId="49" fillId="0" borderId="0" xfId="142" applyNumberFormat="1" applyFont="1" applyBorder="1" applyAlignment="1">
      <alignment vertical="center"/>
    </xf>
    <xf numFmtId="180" fontId="49" fillId="0" borderId="0" xfId="142" applyNumberFormat="1" applyFont="1" applyAlignment="1">
      <alignment vertical="center"/>
    </xf>
    <xf numFmtId="0" fontId="8" fillId="0" borderId="0" xfId="161" applyFont="1" applyBorder="1" applyAlignment="1">
      <alignment horizontal="center" vertical="center"/>
    </xf>
    <xf numFmtId="179" fontId="49" fillId="0" borderId="17" xfId="142" applyNumberFormat="1" applyFont="1" applyBorder="1" applyAlignment="1">
      <alignment horizontal="right" vertical="center"/>
    </xf>
    <xf numFmtId="180" fontId="49" fillId="0" borderId="17" xfId="142" applyNumberFormat="1" applyFont="1" applyBorder="1" applyAlignment="1">
      <alignment horizontal="right" vertical="center"/>
    </xf>
    <xf numFmtId="180" fontId="49" fillId="0" borderId="16" xfId="142" applyNumberFormat="1" applyFont="1" applyFill="1" applyBorder="1" applyAlignment="1">
      <alignment horizontal="right" vertical="center"/>
    </xf>
    <xf numFmtId="0" fontId="8" fillId="0" borderId="0" xfId="161" applyFont="1" applyBorder="1" applyAlignment="1">
      <alignment horizontal="center" vertical="top"/>
    </xf>
    <xf numFmtId="3" fontId="49" fillId="0" borderId="17" xfId="142" applyNumberFormat="1" applyFont="1" applyBorder="1" applyAlignment="1">
      <alignment horizontal="right" vertical="center"/>
    </xf>
    <xf numFmtId="180" fontId="49" fillId="0" borderId="16" xfId="142" applyNumberFormat="1" applyFont="1" applyBorder="1" applyAlignment="1">
      <alignment horizontal="right" vertical="center"/>
    </xf>
    <xf numFmtId="201" fontId="8" fillId="0" borderId="0" xfId="142" applyNumberFormat="1" applyFont="1" applyAlignment="1">
      <alignment vertical="center"/>
    </xf>
    <xf numFmtId="201" fontId="8" fillId="0" borderId="0" xfId="142" applyNumberFormat="1" applyFont="1" applyBorder="1" applyAlignment="1">
      <alignment horizontal="right" vertical="center"/>
    </xf>
    <xf numFmtId="202" fontId="8" fillId="0" borderId="0" xfId="142" applyNumberFormat="1" applyFont="1" applyBorder="1" applyAlignment="1">
      <alignment horizontal="right" vertical="center"/>
    </xf>
    <xf numFmtId="0" fontId="67" fillId="0" borderId="0" xfId="142" applyFont="1" applyBorder="1" applyAlignment="1">
      <alignment vertical="center"/>
    </xf>
    <xf numFmtId="0" fontId="67" fillId="0" borderId="0" xfId="162" applyFont="1" applyAlignment="1">
      <alignment wrapText="1"/>
    </xf>
    <xf numFmtId="0" fontId="8" fillId="0" borderId="0" xfId="142" applyFont="1" applyAlignment="1">
      <alignment horizontal="center" vertical="center"/>
    </xf>
    <xf numFmtId="180" fontId="8" fillId="0" borderId="0" xfId="142" applyNumberFormat="1" applyFont="1" applyAlignment="1">
      <alignment vertical="center"/>
    </xf>
    <xf numFmtId="0" fontId="63" fillId="0" borderId="0" xfId="142" applyFont="1" applyBorder="1" applyAlignment="1">
      <alignment vertical="center"/>
    </xf>
    <xf numFmtId="0" fontId="49" fillId="0" borderId="24" xfId="142" applyNumberFormat="1" applyFont="1" applyBorder="1" applyAlignment="1" applyProtection="1">
      <alignment vertical="center"/>
      <protection locked="0"/>
    </xf>
    <xf numFmtId="0" fontId="49" fillId="0" borderId="0" xfId="142" applyFont="1" applyBorder="1" applyAlignment="1">
      <alignment vertical="center"/>
    </xf>
    <xf numFmtId="0" fontId="49" fillId="0" borderId="42" xfId="142" applyFont="1" applyBorder="1" applyAlignment="1">
      <alignment vertical="center"/>
    </xf>
    <xf numFmtId="0" fontId="8" fillId="0" borderId="18" xfId="142" applyFont="1" applyBorder="1" applyAlignment="1">
      <alignment vertical="center"/>
    </xf>
    <xf numFmtId="49" fontId="8" fillId="0" borderId="18" xfId="142" applyNumberFormat="1" applyFont="1" applyBorder="1" applyAlignment="1">
      <alignment horizontal="center" vertical="center"/>
    </xf>
    <xf numFmtId="0" fontId="8" fillId="0" borderId="18" xfId="142" applyNumberFormat="1" applyFont="1" applyBorder="1" applyAlignment="1" applyProtection="1">
      <alignment horizontal="center" vertical="center"/>
      <protection locked="0"/>
    </xf>
    <xf numFmtId="49" fontId="8" fillId="0" borderId="18" xfId="142" applyNumberFormat="1" applyFont="1" applyBorder="1" applyAlignment="1" applyProtection="1">
      <alignment horizontal="center" vertical="center"/>
      <protection locked="0"/>
    </xf>
    <xf numFmtId="0" fontId="8" fillId="0" borderId="14" xfId="142" applyNumberFormat="1" applyFont="1" applyBorder="1" applyAlignment="1" applyProtection="1">
      <alignment horizontal="center" vertical="center"/>
      <protection locked="0"/>
    </xf>
    <xf numFmtId="0" fontId="96" fillId="0" borderId="15" xfId="142" applyFont="1" applyBorder="1" applyAlignment="1">
      <alignment horizontal="center" vertical="center"/>
    </xf>
    <xf numFmtId="0" fontId="8" fillId="0" borderId="15" xfId="142" applyNumberFormat="1" applyFont="1" applyBorder="1" applyAlignment="1" applyProtection="1">
      <alignment horizontal="center" vertical="center"/>
      <protection locked="0"/>
    </xf>
    <xf numFmtId="49" fontId="8" fillId="0" borderId="15" xfId="142" applyNumberFormat="1" applyFont="1" applyBorder="1" applyAlignment="1" applyProtection="1">
      <alignment horizontal="center" vertical="center"/>
      <protection locked="0"/>
    </xf>
    <xf numFmtId="0" fontId="8" fillId="0" borderId="70" xfId="142" applyFont="1" applyBorder="1" applyAlignment="1">
      <alignment vertical="center"/>
    </xf>
    <xf numFmtId="41" fontId="49" fillId="0" borderId="17" xfId="142" applyNumberFormat="1" applyFont="1" applyBorder="1" applyAlignment="1" applyProtection="1">
      <alignment horizontal="right" vertical="center"/>
      <protection locked="0"/>
    </xf>
    <xf numFmtId="43" fontId="49" fillId="0" borderId="17" xfId="142" applyNumberFormat="1" applyFont="1" applyBorder="1" applyAlignment="1" applyProtection="1">
      <alignment horizontal="right" vertical="center"/>
      <protection locked="0"/>
    </xf>
    <xf numFmtId="41" fontId="49" fillId="0" borderId="16" xfId="142" applyNumberFormat="1" applyFont="1" applyBorder="1" applyAlignment="1" applyProtection="1">
      <alignment horizontal="right" vertical="center"/>
      <protection locked="0"/>
    </xf>
    <xf numFmtId="41" fontId="49" fillId="0" borderId="14" xfId="142" applyNumberFormat="1" applyFont="1" applyBorder="1" applyAlignment="1" applyProtection="1">
      <alignment horizontal="right" vertical="center"/>
      <protection locked="0"/>
    </xf>
    <xf numFmtId="43" fontId="49" fillId="0" borderId="14" xfId="142" applyNumberFormat="1" applyFont="1" applyBorder="1" applyAlignment="1" applyProtection="1">
      <alignment horizontal="right" vertical="center"/>
      <protection locked="0"/>
    </xf>
    <xf numFmtId="41" fontId="49" fillId="0" borderId="13" xfId="142" applyNumberFormat="1" applyFont="1" applyBorder="1" applyAlignment="1" applyProtection="1">
      <alignment horizontal="right" vertical="center"/>
      <protection locked="0"/>
    </xf>
    <xf numFmtId="203" fontId="67" fillId="0" borderId="0" xfId="142" applyNumberFormat="1" applyFont="1" applyAlignment="1">
      <alignment vertical="center"/>
    </xf>
    <xf numFmtId="0" fontId="63" fillId="0" borderId="0" xfId="142" applyFont="1" applyBorder="1" applyAlignment="1"/>
    <xf numFmtId="0" fontId="49" fillId="0" borderId="24" xfId="142" applyFont="1" applyBorder="1" applyAlignment="1"/>
    <xf numFmtId="0" fontId="49" fillId="0" borderId="0" xfId="142" applyFont="1" applyBorder="1" applyAlignment="1"/>
    <xf numFmtId="0" fontId="49" fillId="0" borderId="42" xfId="142" applyFont="1" applyBorder="1" applyAlignment="1"/>
    <xf numFmtId="0" fontId="8" fillId="0" borderId="42" xfId="142" applyFont="1" applyBorder="1" applyAlignment="1"/>
    <xf numFmtId="49" fontId="8" fillId="0" borderId="47" xfId="142" quotePrefix="1" applyNumberFormat="1" applyFont="1" applyBorder="1" applyAlignment="1">
      <alignment horizontal="center" vertical="center"/>
    </xf>
    <xf numFmtId="41" fontId="49" fillId="0" borderId="18" xfId="163" applyNumberFormat="1" applyFont="1" applyBorder="1" applyAlignment="1" applyProtection="1">
      <alignment horizontal="right" vertical="center"/>
      <protection locked="0"/>
    </xf>
    <xf numFmtId="41" fontId="49" fillId="0" borderId="16" xfId="163" applyNumberFormat="1" applyFont="1" applyBorder="1" applyAlignment="1" applyProtection="1">
      <alignment horizontal="right" vertical="center"/>
      <protection locked="0"/>
    </xf>
    <xf numFmtId="41" fontId="8" fillId="0" borderId="0" xfId="142" applyNumberFormat="1" applyFont="1" applyBorder="1" applyAlignment="1"/>
    <xf numFmtId="49" fontId="8" fillId="0" borderId="18" xfId="142" quotePrefix="1" applyNumberFormat="1" applyFont="1" applyBorder="1" applyAlignment="1">
      <alignment horizontal="center" vertical="center"/>
    </xf>
    <xf numFmtId="49" fontId="8" fillId="0" borderId="15" xfId="142" quotePrefix="1" applyNumberFormat="1" applyFont="1" applyBorder="1" applyAlignment="1">
      <alignment horizontal="center" vertical="center"/>
    </xf>
    <xf numFmtId="41" fontId="49" fillId="0" borderId="15" xfId="163" applyNumberFormat="1" applyFont="1" applyBorder="1" applyAlignment="1" applyProtection="1">
      <alignment horizontal="right" vertical="center"/>
      <protection locked="0"/>
    </xf>
    <xf numFmtId="41" fontId="49" fillId="0" borderId="13" xfId="163" applyNumberFormat="1" applyFont="1" applyBorder="1" applyAlignment="1" applyProtection="1">
      <alignment horizontal="right" vertical="center"/>
      <protection locked="0"/>
    </xf>
    <xf numFmtId="203" fontId="67" fillId="0" borderId="0" xfId="142" applyNumberFormat="1" applyFont="1" applyAlignment="1"/>
    <xf numFmtId="0" fontId="67" fillId="0" borderId="0" xfId="142" applyNumberFormat="1" applyFont="1" applyAlignment="1" applyProtection="1">
      <alignment horizontal="center"/>
      <protection locked="0"/>
    </xf>
    <xf numFmtId="0" fontId="67" fillId="0" borderId="0" xfId="142" applyFont="1" applyBorder="1" applyAlignment="1"/>
    <xf numFmtId="0" fontId="127" fillId="0" borderId="0" xfId="142" applyFont="1" applyAlignment="1"/>
    <xf numFmtId="0" fontId="127" fillId="0" borderId="0" xfId="142" applyFont="1" applyBorder="1" applyAlignment="1"/>
    <xf numFmtId="49" fontId="127" fillId="0" borderId="18" xfId="142" applyNumberFormat="1" applyFont="1" applyBorder="1" applyAlignment="1" applyProtection="1">
      <alignment horizontal="center" vertical="center"/>
      <protection locked="0"/>
    </xf>
    <xf numFmtId="49" fontId="127" fillId="0" borderId="54" xfId="142" applyNumberFormat="1" applyFont="1" applyBorder="1" applyAlignment="1" applyProtection="1">
      <alignment horizontal="center" vertical="distributed" textRotation="255"/>
      <protection locked="0"/>
    </xf>
    <xf numFmtId="49" fontId="127" fillId="0" borderId="50" xfId="142" applyNumberFormat="1" applyFont="1" applyBorder="1" applyAlignment="1" applyProtection="1">
      <alignment horizontal="center" vertical="distributed" textRotation="255" wrapText="1"/>
      <protection locked="0"/>
    </xf>
    <xf numFmtId="49" fontId="127" fillId="0" borderId="18" xfId="142" applyNumberFormat="1" applyFont="1" applyBorder="1" applyAlignment="1">
      <alignment horizontal="center" vertical="center"/>
    </xf>
    <xf numFmtId="0" fontId="127" fillId="0" borderId="17" xfId="142" applyFont="1" applyBorder="1" applyAlignment="1">
      <alignment horizontal="center" vertical="distributed" textRotation="255"/>
    </xf>
    <xf numFmtId="49" fontId="127" fillId="0" borderId="16" xfId="142" applyNumberFormat="1" applyFont="1" applyBorder="1" applyAlignment="1" applyProtection="1">
      <alignment horizontal="center" vertical="distributed" textRotation="255" wrapText="1"/>
      <protection locked="0"/>
    </xf>
    <xf numFmtId="49" fontId="127" fillId="0" borderId="15" xfId="142" applyNumberFormat="1" applyFont="1" applyBorder="1" applyAlignment="1" applyProtection="1">
      <alignment horizontal="center" vertical="center"/>
      <protection locked="0"/>
    </xf>
    <xf numFmtId="0" fontId="127" fillId="0" borderId="14" xfId="142" applyFont="1" applyBorder="1" applyAlignment="1">
      <alignment horizontal="center" vertical="distributed" textRotation="255"/>
    </xf>
    <xf numFmtId="49" fontId="127" fillId="0" borderId="13" xfId="142" applyNumberFormat="1" applyFont="1" applyBorder="1" applyAlignment="1" applyProtection="1">
      <alignment horizontal="center" vertical="distributed" textRotation="255" wrapText="1"/>
      <protection locked="0"/>
    </xf>
    <xf numFmtId="49" fontId="127" fillId="0" borderId="18" xfId="142" applyNumberFormat="1" applyFont="1" applyBorder="1" applyAlignment="1" applyProtection="1">
      <alignment horizontal="distributed" vertical="center"/>
      <protection locked="0"/>
    </xf>
    <xf numFmtId="3" fontId="127" fillId="0" borderId="18" xfId="142" applyNumberFormat="1" applyFont="1" applyBorder="1" applyAlignment="1" applyProtection="1">
      <alignment horizontal="right" vertical="center"/>
      <protection locked="0"/>
    </xf>
    <xf numFmtId="203" fontId="127" fillId="0" borderId="18" xfId="142" applyNumberFormat="1" applyFont="1" applyBorder="1" applyAlignment="1" applyProtection="1">
      <alignment horizontal="right" vertical="center"/>
      <protection locked="0"/>
    </xf>
    <xf numFmtId="203" fontId="127" fillId="0" borderId="17" xfId="142" applyNumberFormat="1" applyFont="1" applyBorder="1" applyAlignment="1" applyProtection="1">
      <alignment horizontal="right" vertical="center"/>
      <protection locked="0"/>
    </xf>
    <xf numFmtId="0" fontId="127" fillId="0" borderId="17" xfId="142" applyFont="1" applyBorder="1" applyAlignment="1"/>
    <xf numFmtId="3" fontId="127" fillId="0" borderId="0" xfId="142" applyNumberFormat="1" applyFont="1" applyBorder="1" applyAlignment="1" applyProtection="1">
      <alignment horizontal="right" vertical="center"/>
      <protection locked="0"/>
    </xf>
    <xf numFmtId="203" fontId="127" fillId="0" borderId="0" xfId="142" applyNumberFormat="1" applyFont="1" applyBorder="1" applyAlignment="1" applyProtection="1">
      <alignment horizontal="right" vertical="center"/>
      <protection locked="0"/>
    </xf>
    <xf numFmtId="3" fontId="127" fillId="0" borderId="16" xfId="142" applyNumberFormat="1" applyFont="1" applyBorder="1" applyAlignment="1" applyProtection="1">
      <alignment horizontal="right" vertical="center"/>
      <protection locked="0"/>
    </xf>
    <xf numFmtId="3" fontId="127" fillId="0" borderId="17" xfId="142" applyNumberFormat="1" applyFont="1" applyBorder="1" applyAlignment="1" applyProtection="1">
      <alignment horizontal="right" vertical="center"/>
      <protection locked="0"/>
    </xf>
    <xf numFmtId="203" fontId="127" fillId="0" borderId="16" xfId="142" applyNumberFormat="1" applyFont="1" applyBorder="1" applyAlignment="1" applyProtection="1">
      <alignment horizontal="right" vertical="center"/>
      <protection locked="0"/>
    </xf>
    <xf numFmtId="0" fontId="127" fillId="0" borderId="18" xfId="142" applyFont="1" applyBorder="1" applyAlignment="1">
      <alignment horizontal="center" vertical="center"/>
    </xf>
    <xf numFmtId="203" fontId="127" fillId="0" borderId="54" xfId="142" applyNumberFormat="1" applyFont="1" applyBorder="1" applyAlignment="1" applyProtection="1">
      <alignment horizontal="right" vertical="center"/>
      <protection locked="0"/>
    </xf>
    <xf numFmtId="203" fontId="127" fillId="0" borderId="50" xfId="142" applyNumberFormat="1" applyFont="1" applyBorder="1" applyAlignment="1" applyProtection="1">
      <alignment horizontal="right" vertical="center"/>
      <protection locked="0"/>
    </xf>
    <xf numFmtId="3" fontId="127" fillId="0" borderId="50" xfId="142" applyNumberFormat="1" applyFont="1" applyBorder="1" applyAlignment="1" applyProtection="1">
      <alignment horizontal="right" vertical="center"/>
      <protection locked="0"/>
    </xf>
    <xf numFmtId="0" fontId="127" fillId="0" borderId="15" xfId="142" applyFont="1" applyBorder="1" applyAlignment="1">
      <alignment horizontal="center" vertical="center"/>
    </xf>
    <xf numFmtId="3" fontId="127" fillId="0" borderId="14" xfId="142" applyNumberFormat="1" applyFont="1" applyBorder="1" applyAlignment="1" applyProtection="1">
      <alignment horizontal="right" vertical="center"/>
      <protection locked="0"/>
    </xf>
    <xf numFmtId="203" fontId="127" fillId="0" borderId="14" xfId="142" applyNumberFormat="1" applyFont="1" applyBorder="1" applyAlignment="1" applyProtection="1">
      <alignment horizontal="right" vertical="center"/>
      <protection locked="0"/>
    </xf>
    <xf numFmtId="203" fontId="127" fillId="0" borderId="13" xfId="142" applyNumberFormat="1" applyFont="1" applyBorder="1" applyAlignment="1" applyProtection="1">
      <alignment horizontal="right" vertical="center"/>
      <protection locked="0"/>
    </xf>
    <xf numFmtId="3" fontId="127" fillId="0" borderId="13" xfId="142" applyNumberFormat="1" applyFont="1" applyBorder="1" applyAlignment="1" applyProtection="1">
      <alignment horizontal="right" vertical="center"/>
      <protection locked="0"/>
    </xf>
    <xf numFmtId="203" fontId="8" fillId="0" borderId="0" xfId="142" applyNumberFormat="1" applyFont="1" applyAlignment="1"/>
    <xf numFmtId="0" fontId="8" fillId="0" borderId="24" xfId="142" applyFont="1" applyBorder="1" applyAlignment="1">
      <alignment horizontal="center" vertical="center"/>
    </xf>
    <xf numFmtId="204" fontId="49" fillId="0" borderId="17" xfId="142" applyNumberFormat="1" applyFont="1" applyBorder="1">
      <alignment vertical="center"/>
    </xf>
    <xf numFmtId="205" fontId="49" fillId="0" borderId="16" xfId="142" applyNumberFormat="1" applyFont="1" applyBorder="1">
      <alignment vertical="center"/>
    </xf>
    <xf numFmtId="206" fontId="49" fillId="0" borderId="16" xfId="142" applyNumberFormat="1" applyFont="1" applyBorder="1">
      <alignment vertical="center"/>
    </xf>
    <xf numFmtId="0" fontId="8" fillId="0" borderId="68" xfId="142" applyFont="1" applyBorder="1" applyAlignment="1">
      <alignment horizontal="distributed" vertical="center"/>
    </xf>
    <xf numFmtId="206" fontId="49" fillId="0" borderId="71" xfId="142" applyNumberFormat="1" applyFont="1" applyBorder="1">
      <alignment vertical="center"/>
    </xf>
    <xf numFmtId="206" fontId="49" fillId="0" borderId="72" xfId="142" applyNumberFormat="1" applyFont="1" applyBorder="1" applyAlignment="1">
      <alignment horizontal="right" vertical="center"/>
    </xf>
    <xf numFmtId="206" fontId="49" fillId="0" borderId="73" xfId="142" applyNumberFormat="1" applyFont="1" applyBorder="1">
      <alignment vertical="center"/>
    </xf>
    <xf numFmtId="206" fontId="49" fillId="0" borderId="73" xfId="142" applyNumberFormat="1" applyFont="1" applyBorder="1" applyAlignment="1">
      <alignment horizontal="right" vertical="center"/>
    </xf>
    <xf numFmtId="0" fontId="67" fillId="0" borderId="48" xfId="142" applyFont="1" applyBorder="1" applyAlignment="1"/>
    <xf numFmtId="0" fontId="63" fillId="0" borderId="0" xfId="164" applyFont="1" applyBorder="1" applyAlignment="1">
      <alignment vertical="center"/>
    </xf>
    <xf numFmtId="0" fontId="8" fillId="0" borderId="0" xfId="164" applyFont="1" applyBorder="1" applyAlignment="1">
      <alignment vertical="center"/>
    </xf>
    <xf numFmtId="49" fontId="8" fillId="0" borderId="18" xfId="165" applyNumberFormat="1" applyFont="1" applyBorder="1" applyAlignment="1" applyProtection="1">
      <alignment vertical="center"/>
      <protection locked="0"/>
    </xf>
    <xf numFmtId="207" fontId="8" fillId="0" borderId="17" xfId="142" applyNumberFormat="1" applyFont="1" applyBorder="1" applyAlignment="1">
      <alignment horizontal="right" vertical="center"/>
    </xf>
    <xf numFmtId="208" fontId="8" fillId="0" borderId="16" xfId="142" applyNumberFormat="1" applyFont="1" applyBorder="1">
      <alignment vertical="center"/>
    </xf>
    <xf numFmtId="0" fontId="8" fillId="0" borderId="18" xfId="165" applyFont="1" applyBorder="1" applyAlignment="1">
      <alignment horizontal="left" vertical="distributed" indent="15"/>
    </xf>
    <xf numFmtId="0" fontId="130" fillId="0" borderId="0" xfId="164" applyFont="1" applyBorder="1" applyAlignment="1">
      <alignment vertical="center"/>
    </xf>
    <xf numFmtId="0" fontId="8" fillId="0" borderId="18" xfId="165" applyFont="1" applyBorder="1" applyAlignment="1">
      <alignment horizontal="left" vertical="distributed" indent="13"/>
    </xf>
    <xf numFmtId="0" fontId="8" fillId="0" borderId="18" xfId="165" applyFont="1" applyFill="1" applyBorder="1" applyAlignment="1">
      <alignment horizontal="left" vertical="distributed" indent="15"/>
    </xf>
    <xf numFmtId="0" fontId="8" fillId="0" borderId="0" xfId="164" applyFont="1" applyFill="1" applyBorder="1" applyAlignment="1">
      <alignment vertical="center"/>
    </xf>
    <xf numFmtId="0" fontId="130" fillId="0" borderId="0" xfId="164" applyFont="1" applyFill="1" applyBorder="1" applyAlignment="1">
      <alignment vertical="center"/>
    </xf>
    <xf numFmtId="0" fontId="8" fillId="0" borderId="0" xfId="164" applyFont="1" applyBorder="1"/>
    <xf numFmtId="0" fontId="8" fillId="0" borderId="15" xfId="166" applyFont="1" applyBorder="1" applyAlignment="1">
      <alignment horizontal="left" vertical="center"/>
    </xf>
    <xf numFmtId="207" fontId="8" fillId="0" borderId="14" xfId="142" applyNumberFormat="1" applyFont="1" applyBorder="1" applyAlignment="1">
      <alignment horizontal="right" vertical="center"/>
    </xf>
    <xf numFmtId="208" fontId="8" fillId="0" borderId="13" xfId="142" applyNumberFormat="1" applyFont="1" applyBorder="1">
      <alignment vertical="center"/>
    </xf>
    <xf numFmtId="0" fontId="67" fillId="0" borderId="0" xfId="49" applyFont="1" applyBorder="1" applyAlignment="1">
      <alignment vertical="center"/>
    </xf>
    <xf numFmtId="0" fontId="67" fillId="0" borderId="0" xfId="164" applyFont="1" applyBorder="1"/>
    <xf numFmtId="0" fontId="67" fillId="0" borderId="0" xfId="165" applyFont="1" applyBorder="1" applyAlignment="1">
      <alignment horizontal="left" vertical="distributed"/>
    </xf>
    <xf numFmtId="0" fontId="8" fillId="0" borderId="0" xfId="167" applyFont="1" applyAlignment="1">
      <alignment vertical="center"/>
    </xf>
    <xf numFmtId="0" fontId="8" fillId="0" borderId="0" xfId="167" applyFont="1" applyBorder="1" applyAlignment="1">
      <alignment vertical="center"/>
    </xf>
    <xf numFmtId="0" fontId="49" fillId="0" borderId="47" xfId="168" quotePrefix="1" applyFont="1" applyBorder="1" applyAlignment="1">
      <alignment horizontal="left" vertical="center"/>
    </xf>
    <xf numFmtId="181" fontId="49" fillId="0" borderId="54" xfId="168" applyNumberFormat="1" applyFont="1" applyBorder="1" applyAlignment="1">
      <alignment vertical="center"/>
    </xf>
    <xf numFmtId="181" fontId="49" fillId="0" borderId="50" xfId="168" applyNumberFormat="1" applyFont="1" applyBorder="1" applyAlignment="1">
      <alignment vertical="center"/>
    </xf>
    <xf numFmtId="0" fontId="49" fillId="0" borderId="18" xfId="168" applyFont="1" applyBorder="1" applyAlignment="1">
      <alignment vertical="center"/>
    </xf>
    <xf numFmtId="43" fontId="49" fillId="0" borderId="17" xfId="168" applyNumberFormat="1" applyFont="1" applyBorder="1" applyAlignment="1">
      <alignment vertical="center"/>
    </xf>
    <xf numFmtId="43" fontId="49" fillId="0" borderId="16" xfId="168" applyNumberFormat="1" applyFont="1" applyBorder="1" applyAlignment="1">
      <alignment vertical="center"/>
    </xf>
    <xf numFmtId="41" fontId="49" fillId="0" borderId="17" xfId="168" applyNumberFormat="1" applyFont="1" applyBorder="1" applyAlignment="1">
      <alignment vertical="center"/>
    </xf>
    <xf numFmtId="41" fontId="49" fillId="0" borderId="16" xfId="168" applyNumberFormat="1" applyFont="1" applyBorder="1" applyAlignment="1">
      <alignment vertical="center"/>
    </xf>
    <xf numFmtId="181" fontId="49" fillId="0" borderId="17" xfId="168" applyNumberFormat="1" applyFont="1" applyBorder="1" applyAlignment="1">
      <alignment vertical="center"/>
    </xf>
    <xf numFmtId="181" fontId="49" fillId="0" borderId="16" xfId="168" applyNumberFormat="1" applyFont="1" applyBorder="1" applyAlignment="1">
      <alignment vertical="center"/>
    </xf>
    <xf numFmtId="0" fontId="49" fillId="0" borderId="15" xfId="168" applyFont="1" applyBorder="1" applyAlignment="1">
      <alignment vertical="center"/>
    </xf>
    <xf numFmtId="43" fontId="49" fillId="0" borderId="14" xfId="168" applyNumberFormat="1" applyFont="1" applyBorder="1" applyAlignment="1">
      <alignment vertical="center"/>
    </xf>
    <xf numFmtId="43" fontId="49" fillId="0" borderId="13" xfId="168" applyNumberFormat="1" applyFont="1" applyBorder="1" applyAlignment="1">
      <alignment vertical="center"/>
    </xf>
    <xf numFmtId="0" fontId="67" fillId="0" borderId="0" xfId="168" applyFont="1" applyBorder="1" applyAlignment="1">
      <alignment vertical="center"/>
    </xf>
    <xf numFmtId="43" fontId="8" fillId="0" borderId="0" xfId="168" applyNumberFormat="1" applyFont="1" applyBorder="1"/>
    <xf numFmtId="0" fontId="67" fillId="0" borderId="0" xfId="108" quotePrefix="1" applyFont="1" applyAlignment="1">
      <alignment vertical="center"/>
    </xf>
    <xf numFmtId="0" fontId="67" fillId="0" borderId="0" xfId="168" applyFont="1" applyBorder="1"/>
    <xf numFmtId="0" fontId="67" fillId="0" borderId="0" xfId="168" applyFont="1"/>
    <xf numFmtId="0" fontId="8" fillId="0" borderId="49" xfId="142" applyFont="1" applyBorder="1" applyAlignment="1">
      <alignment horizontal="distributed" vertical="center"/>
    </xf>
    <xf numFmtId="0" fontId="8" fillId="0" borderId="65" xfId="142" applyFont="1" applyBorder="1" applyAlignment="1">
      <alignment horizontal="distributed" vertical="center"/>
    </xf>
    <xf numFmtId="0" fontId="8" fillId="0" borderId="46" xfId="142" applyFont="1" applyBorder="1" applyAlignment="1">
      <alignment horizontal="distributed" vertical="center"/>
    </xf>
    <xf numFmtId="0" fontId="8" fillId="0" borderId="0" xfId="161" applyAlignment="1">
      <alignment horizontal="center" vertical="center"/>
    </xf>
    <xf numFmtId="207" fontId="49" fillId="0" borderId="17" xfId="142" applyNumberFormat="1" applyFont="1" applyBorder="1">
      <alignment vertical="center"/>
    </xf>
    <xf numFmtId="41" fontId="49" fillId="0" borderId="16" xfId="142" applyNumberFormat="1" applyFont="1" applyBorder="1" applyAlignment="1">
      <alignment horizontal="right" vertical="center"/>
    </xf>
    <xf numFmtId="207" fontId="49" fillId="0" borderId="16" xfId="142" applyNumberFormat="1" applyFont="1" applyBorder="1">
      <alignment vertical="center"/>
    </xf>
    <xf numFmtId="0" fontId="120" fillId="0" borderId="0" xfId="142" applyFont="1">
      <alignment vertical="center"/>
    </xf>
    <xf numFmtId="208" fontId="49" fillId="0" borderId="17" xfId="142" applyNumberFormat="1" applyFont="1" applyBorder="1">
      <alignment vertical="center"/>
    </xf>
    <xf numFmtId="208" fontId="49" fillId="0" borderId="16" xfId="142" applyNumberFormat="1" applyFont="1" applyBorder="1">
      <alignment vertical="center"/>
    </xf>
    <xf numFmtId="0" fontId="8" fillId="0" borderId="24" xfId="161" applyBorder="1" applyAlignment="1">
      <alignment horizontal="center" vertical="center"/>
    </xf>
    <xf numFmtId="208" fontId="49" fillId="0" borderId="14" xfId="142" applyNumberFormat="1" applyFont="1" applyBorder="1">
      <alignment vertical="center"/>
    </xf>
    <xf numFmtId="208" fontId="49" fillId="0" borderId="13" xfId="142" applyNumberFormat="1" applyFont="1" applyBorder="1">
      <alignment vertical="center"/>
    </xf>
    <xf numFmtId="208" fontId="120" fillId="0" borderId="0" xfId="142" applyNumberFormat="1" applyFont="1">
      <alignment vertical="center"/>
    </xf>
    <xf numFmtId="0" fontId="67" fillId="0" borderId="0" xfId="161" applyFont="1" applyAlignment="1">
      <alignment vertical="center"/>
    </xf>
    <xf numFmtId="0" fontId="67" fillId="0" borderId="0" xfId="161" applyFont="1" applyAlignment="1">
      <alignment horizontal="center" vertical="center"/>
    </xf>
    <xf numFmtId="0" fontId="67" fillId="0" borderId="0" xfId="161" applyFont="1" applyAlignment="1">
      <alignment vertical="center" wrapText="1"/>
    </xf>
    <xf numFmtId="0" fontId="8" fillId="0" borderId="0" xfId="161" quotePrefix="1" applyAlignment="1">
      <alignment horizontal="center" vertical="center"/>
    </xf>
    <xf numFmtId="0" fontId="8" fillId="0" borderId="0" xfId="142" applyFont="1" applyAlignment="1">
      <alignment horizontal="center"/>
    </xf>
    <xf numFmtId="0" fontId="8" fillId="0" borderId="0" xfId="1"/>
    <xf numFmtId="209" fontId="49" fillId="0" borderId="0" xfId="1" applyNumberFormat="1" applyFont="1" applyAlignment="1">
      <alignment horizontal="left"/>
    </xf>
    <xf numFmtId="0" fontId="8" fillId="0" borderId="24" xfId="1" applyBorder="1"/>
    <xf numFmtId="49" fontId="8" fillId="0" borderId="13" xfId="1" applyNumberFormat="1" applyBorder="1" applyAlignment="1">
      <alignment horizontal="centerContinuous" vertical="center"/>
    </xf>
    <xf numFmtId="49" fontId="8" fillId="0" borderId="24" xfId="1" applyNumberFormat="1" applyBorder="1" applyAlignment="1">
      <alignment horizontal="centerContinuous" vertical="center"/>
    </xf>
    <xf numFmtId="49" fontId="8" fillId="0" borderId="74" xfId="1" applyNumberFormat="1" applyBorder="1" applyAlignment="1">
      <alignment horizontal="centerContinuous" vertical="center"/>
    </xf>
    <xf numFmtId="49" fontId="8" fillId="0" borderId="13" xfId="1" applyNumberFormat="1" applyBorder="1" applyAlignment="1">
      <alignment horizontal="center" vertical="distributed"/>
    </xf>
    <xf numFmtId="0" fontId="8" fillId="0" borderId="46" xfId="1" quotePrefix="1" applyBorder="1" applyAlignment="1">
      <alignment horizontal="center" vertical="center"/>
    </xf>
    <xf numFmtId="0" fontId="8" fillId="0" borderId="74" xfId="1" applyBorder="1" applyAlignment="1">
      <alignment vertical="distributed"/>
    </xf>
    <xf numFmtId="49" fontId="8" fillId="0" borderId="65" xfId="1" applyNumberFormat="1" applyBorder="1" applyAlignment="1">
      <alignment horizontal="center" vertical="center"/>
    </xf>
    <xf numFmtId="49" fontId="131" fillId="0" borderId="13" xfId="1" quotePrefix="1" applyNumberFormat="1" applyFont="1" applyBorder="1" applyAlignment="1">
      <alignment horizontal="center" vertical="center" wrapText="1"/>
    </xf>
    <xf numFmtId="49" fontId="8" fillId="0" borderId="0" xfId="142" quotePrefix="1" applyNumberFormat="1" applyFont="1" applyAlignment="1">
      <alignment horizontal="center" vertical="center"/>
    </xf>
    <xf numFmtId="3" fontId="49" fillId="0" borderId="17" xfId="1" applyNumberFormat="1" applyFont="1" applyBorder="1" applyAlignment="1">
      <alignment horizontal="right" vertical="center" indent="1"/>
    </xf>
    <xf numFmtId="41" fontId="49" fillId="0" borderId="77" xfId="1" applyNumberFormat="1" applyFont="1" applyBorder="1" applyAlignment="1">
      <alignment horizontal="right" vertical="center"/>
    </xf>
    <xf numFmtId="3" fontId="49" fillId="0" borderId="0" xfId="1" applyNumberFormat="1" applyFont="1" applyAlignment="1">
      <alignment horizontal="right" vertical="center" indent="1"/>
    </xf>
    <xf numFmtId="3" fontId="49" fillId="0" borderId="16" xfId="1" applyNumberFormat="1" applyFont="1" applyBorder="1" applyAlignment="1">
      <alignment horizontal="right" vertical="center" indent="1"/>
    </xf>
    <xf numFmtId="4" fontId="49" fillId="0" borderId="16" xfId="1" applyNumberFormat="1" applyFont="1" applyBorder="1" applyAlignment="1">
      <alignment horizontal="right" vertical="center" indent="1"/>
    </xf>
    <xf numFmtId="210" fontId="49" fillId="0" borderId="16" xfId="1" applyNumberFormat="1" applyFont="1" applyBorder="1" applyAlignment="1">
      <alignment horizontal="right" vertical="center"/>
    </xf>
    <xf numFmtId="0" fontId="7" fillId="0" borderId="0" xfId="1" applyFont="1"/>
    <xf numFmtId="3" fontId="49" fillId="0" borderId="18" xfId="1" applyNumberFormat="1" applyFont="1" applyBorder="1" applyAlignment="1">
      <alignment horizontal="right" vertical="center" indent="1"/>
    </xf>
    <xf numFmtId="3" fontId="7" fillId="0" borderId="0" xfId="1" applyNumberFormat="1" applyFont="1"/>
    <xf numFmtId="49" fontId="8" fillId="0" borderId="24" xfId="142" quotePrefix="1" applyNumberFormat="1" applyFont="1" applyBorder="1" applyAlignment="1">
      <alignment horizontal="center" vertical="center"/>
    </xf>
    <xf numFmtId="3" fontId="49" fillId="0" borderId="14" xfId="1" applyNumberFormat="1" applyFont="1" applyBorder="1" applyAlignment="1">
      <alignment horizontal="right" vertical="center" indent="1"/>
    </xf>
    <xf numFmtId="41" fontId="49" fillId="0" borderId="63" xfId="1" applyNumberFormat="1" applyFont="1" applyBorder="1" applyAlignment="1">
      <alignment horizontal="right" vertical="center"/>
    </xf>
    <xf numFmtId="3" fontId="49" fillId="0" borderId="24" xfId="1" applyNumberFormat="1" applyFont="1" applyBorder="1" applyAlignment="1">
      <alignment horizontal="right" vertical="center" indent="1"/>
    </xf>
    <xf numFmtId="3" fontId="49" fillId="0" borderId="15" xfId="1" applyNumberFormat="1" applyFont="1" applyBorder="1" applyAlignment="1">
      <alignment horizontal="right" vertical="center" indent="1"/>
    </xf>
    <xf numFmtId="4" fontId="49" fillId="0" borderId="13" xfId="1" applyNumberFormat="1" applyFont="1" applyBorder="1" applyAlignment="1">
      <alignment horizontal="right" vertical="center" indent="1"/>
    </xf>
    <xf numFmtId="210" fontId="49" fillId="0" borderId="13" xfId="1" applyNumberFormat="1" applyFont="1" applyBorder="1" applyAlignment="1">
      <alignment horizontal="right" vertical="center"/>
    </xf>
    <xf numFmtId="0" fontId="67" fillId="0" borderId="0" xfId="1" quotePrefix="1" applyFont="1" applyAlignment="1">
      <alignment vertical="center"/>
    </xf>
    <xf numFmtId="0" fontId="67" fillId="0" borderId="0" xfId="1" quotePrefix="1" applyFont="1" applyAlignment="1">
      <alignment horizontal="left" vertical="center"/>
    </xf>
    <xf numFmtId="0" fontId="67" fillId="0" borderId="0" xfId="1" applyFont="1" applyAlignment="1">
      <alignment vertical="center"/>
    </xf>
    <xf numFmtId="0" fontId="8" fillId="0" borderId="0" xfId="1" applyAlignment="1">
      <alignment vertical="center"/>
    </xf>
    <xf numFmtId="4" fontId="67" fillId="0" borderId="0" xfId="1" applyNumberFormat="1" applyFont="1" applyAlignment="1">
      <alignment vertical="center"/>
    </xf>
    <xf numFmtId="0" fontId="67" fillId="0" borderId="0" xfId="1" applyFont="1"/>
    <xf numFmtId="0" fontId="63" fillId="0" borderId="0" xfId="170" applyFont="1" applyFill="1"/>
    <xf numFmtId="0" fontId="67" fillId="0" borderId="24" xfId="170" applyFont="1" applyFill="1" applyBorder="1"/>
    <xf numFmtId="0" fontId="67" fillId="0" borderId="0" xfId="170" applyFont="1" applyFill="1" applyBorder="1" applyAlignment="1">
      <alignment vertical="center"/>
    </xf>
    <xf numFmtId="0" fontId="67" fillId="0" borderId="0" xfId="170" applyFont="1" applyFill="1" applyBorder="1"/>
    <xf numFmtId="0" fontId="67" fillId="0" borderId="0" xfId="170" applyFont="1" applyFill="1"/>
    <xf numFmtId="0" fontId="67" fillId="0" borderId="45" xfId="171" applyFont="1" applyFill="1" applyBorder="1" applyAlignment="1">
      <alignment vertical="center"/>
    </xf>
    <xf numFmtId="0" fontId="67" fillId="0" borderId="49" xfId="171" applyFont="1" applyFill="1" applyBorder="1" applyAlignment="1">
      <alignment vertical="center"/>
    </xf>
    <xf numFmtId="0" fontId="8" fillId="0" borderId="0" xfId="171" applyFont="1" applyFill="1" applyBorder="1" applyAlignment="1">
      <alignment horizontal="center" vertical="center"/>
    </xf>
    <xf numFmtId="0" fontId="67" fillId="0" borderId="65" xfId="170" applyFont="1" applyFill="1" applyBorder="1" applyAlignment="1">
      <alignment horizontal="center" vertical="center"/>
    </xf>
    <xf numFmtId="0" fontId="67" fillId="0" borderId="0" xfId="170" applyFont="1" applyFill="1" applyBorder="1" applyAlignment="1">
      <alignment horizontal="center" vertical="center"/>
    </xf>
    <xf numFmtId="0" fontId="67" fillId="0" borderId="18" xfId="170" applyFont="1" applyFill="1" applyBorder="1" applyAlignment="1">
      <alignment horizontal="center" vertical="center"/>
    </xf>
    <xf numFmtId="3" fontId="67" fillId="0" borderId="17" xfId="170" applyNumberFormat="1" applyFont="1" applyFill="1" applyBorder="1"/>
    <xf numFmtId="4" fontId="67" fillId="0" borderId="17" xfId="170" applyNumberFormat="1" applyFont="1" applyFill="1" applyBorder="1"/>
    <xf numFmtId="3" fontId="67" fillId="0" borderId="18" xfId="170" applyNumberFormat="1" applyFont="1" applyFill="1" applyBorder="1"/>
    <xf numFmtId="0" fontId="67" fillId="0" borderId="17" xfId="170" applyFont="1" applyFill="1" applyBorder="1"/>
    <xf numFmtId="3" fontId="67" fillId="0" borderId="16" xfId="170" applyNumberFormat="1" applyFont="1" applyFill="1" applyBorder="1"/>
    <xf numFmtId="211" fontId="67" fillId="0" borderId="16" xfId="170" applyNumberFormat="1" applyFont="1" applyFill="1" applyBorder="1"/>
    <xf numFmtId="0" fontId="67" fillId="0" borderId="16" xfId="170" applyFont="1" applyFill="1" applyBorder="1"/>
    <xf numFmtId="49" fontId="67" fillId="0" borderId="0" xfId="106" quotePrefix="1" applyNumberFormat="1" applyFont="1" applyFill="1" applyBorder="1" applyAlignment="1" applyProtection="1">
      <alignment horizontal="right" vertical="center"/>
      <protection locked="0"/>
    </xf>
    <xf numFmtId="0" fontId="67" fillId="0" borderId="18" xfId="1" applyFont="1" applyFill="1" applyBorder="1" applyAlignment="1">
      <alignment horizontal="center" vertical="center"/>
    </xf>
    <xf numFmtId="0" fontId="67" fillId="0" borderId="18" xfId="170" applyFont="1" applyFill="1" applyBorder="1"/>
    <xf numFmtId="3" fontId="67" fillId="0" borderId="17" xfId="1" applyNumberFormat="1" applyFont="1" applyFill="1" applyBorder="1" applyAlignment="1">
      <alignment vertical="center"/>
    </xf>
    <xf numFmtId="3" fontId="67" fillId="0" borderId="0" xfId="1" applyNumberFormat="1" applyFont="1" applyFill="1" applyBorder="1" applyAlignment="1">
      <alignment vertical="center"/>
    </xf>
    <xf numFmtId="0" fontId="67" fillId="0" borderId="24" xfId="170" applyFont="1" applyFill="1" applyBorder="1" applyAlignment="1">
      <alignment horizontal="center" vertical="center"/>
    </xf>
    <xf numFmtId="0" fontId="67" fillId="0" borderId="15" xfId="170" applyFont="1" applyFill="1" applyBorder="1" applyAlignment="1">
      <alignment horizontal="center" vertical="center"/>
    </xf>
    <xf numFmtId="3" fontId="67" fillId="0" borderId="14" xfId="170" applyNumberFormat="1" applyFont="1" applyFill="1" applyBorder="1"/>
    <xf numFmtId="4" fontId="67" fillId="0" borderId="14" xfId="170" applyNumberFormat="1" applyFont="1" applyFill="1" applyBorder="1"/>
    <xf numFmtId="0" fontId="67" fillId="0" borderId="14" xfId="170" applyFont="1" applyFill="1" applyBorder="1"/>
    <xf numFmtId="2" fontId="67" fillId="0" borderId="14" xfId="170" applyNumberFormat="1" applyFont="1" applyFill="1" applyBorder="1"/>
    <xf numFmtId="0" fontId="67" fillId="0" borderId="13" xfId="170" applyFont="1" applyFill="1" applyBorder="1"/>
    <xf numFmtId="41" fontId="67" fillId="0" borderId="14" xfId="170" applyNumberFormat="1" applyFont="1" applyFill="1" applyBorder="1"/>
    <xf numFmtId="0" fontId="67" fillId="0" borderId="15" xfId="170" applyFont="1" applyFill="1" applyBorder="1"/>
    <xf numFmtId="211" fontId="67" fillId="0" borderId="17" xfId="170" applyNumberFormat="1" applyFont="1" applyFill="1" applyBorder="1"/>
    <xf numFmtId="2" fontId="67" fillId="0" borderId="18" xfId="170" applyNumberFormat="1" applyFont="1" applyFill="1" applyBorder="1"/>
    <xf numFmtId="2" fontId="67" fillId="0" borderId="17" xfId="170" applyNumberFormat="1" applyFont="1" applyFill="1" applyBorder="1"/>
    <xf numFmtId="182" fontId="67" fillId="0" borderId="18" xfId="170" applyNumberFormat="1" applyFont="1" applyFill="1" applyBorder="1"/>
    <xf numFmtId="0" fontId="67" fillId="0" borderId="0" xfId="170" quotePrefix="1" applyFont="1" applyFill="1" applyAlignment="1">
      <alignment horizontal="left"/>
    </xf>
    <xf numFmtId="211" fontId="67" fillId="0" borderId="18" xfId="170" applyNumberFormat="1" applyFont="1" applyFill="1" applyBorder="1"/>
    <xf numFmtId="2" fontId="67" fillId="0" borderId="16" xfId="170" applyNumberFormat="1" applyFont="1" applyFill="1" applyBorder="1"/>
    <xf numFmtId="0" fontId="136" fillId="0" borderId="0" xfId="170" quotePrefix="1" applyFont="1" applyFill="1" applyAlignment="1">
      <alignment horizontal="left"/>
    </xf>
    <xf numFmtId="0" fontId="136" fillId="0" borderId="0" xfId="170" applyFont="1" applyFill="1"/>
    <xf numFmtId="0" fontId="8" fillId="0" borderId="0" xfId="1" applyFont="1" applyFill="1"/>
    <xf numFmtId="0" fontId="63" fillId="0" borderId="0" xfId="1" applyFont="1"/>
    <xf numFmtId="0" fontId="8" fillId="0" borderId="49" xfId="1" applyBorder="1" applyAlignment="1">
      <alignment horizontal="center" vertical="center"/>
    </xf>
    <xf numFmtId="0" fontId="8" fillId="0" borderId="45" xfId="1" applyBorder="1" applyAlignment="1">
      <alignment horizontal="center" vertical="center"/>
    </xf>
    <xf numFmtId="0" fontId="8" fillId="0" borderId="0" xfId="1" applyAlignment="1">
      <alignment horizontal="center" vertical="center"/>
    </xf>
    <xf numFmtId="183" fontId="49" fillId="0" borderId="16" xfId="1" applyNumberFormat="1" applyFont="1" applyBorder="1" applyAlignment="1">
      <alignment horizontal="right" vertical="center" indent="1"/>
    </xf>
    <xf numFmtId="0" fontId="49" fillId="0" borderId="17" xfId="1" applyFont="1" applyBorder="1" applyAlignment="1">
      <alignment horizontal="right" vertical="center" indent="1"/>
    </xf>
    <xf numFmtId="41" fontId="49" fillId="0" borderId="16" xfId="1" applyNumberFormat="1" applyFont="1" applyBorder="1" applyAlignment="1">
      <alignment horizontal="right" vertical="center" indent="1"/>
    </xf>
    <xf numFmtId="0" fontId="138" fillId="0" borderId="0" xfId="1" applyFont="1" applyAlignment="1">
      <alignment vertical="center"/>
    </xf>
    <xf numFmtId="3" fontId="67" fillId="0" borderId="0" xfId="1" applyNumberFormat="1" applyFont="1" applyAlignment="1">
      <alignment vertical="center"/>
    </xf>
    <xf numFmtId="0" fontId="8" fillId="0" borderId="24" xfId="1" applyBorder="1" applyAlignment="1">
      <alignment horizontal="center" vertical="center"/>
    </xf>
    <xf numFmtId="183" fontId="49" fillId="0" borderId="13" xfId="1" applyNumberFormat="1" applyFont="1" applyBorder="1" applyAlignment="1">
      <alignment horizontal="right" vertical="center" indent="1"/>
    </xf>
    <xf numFmtId="0" fontId="49" fillId="0" borderId="14" xfId="1" applyFont="1" applyBorder="1" applyAlignment="1">
      <alignment horizontal="right" vertical="center" indent="1"/>
    </xf>
    <xf numFmtId="41" fontId="49" fillId="0" borderId="13" xfId="1" applyNumberFormat="1" applyFont="1" applyBorder="1" applyAlignment="1">
      <alignment horizontal="right" vertical="center" indent="1"/>
    </xf>
    <xf numFmtId="0" fontId="8" fillId="0" borderId="0" xfId="1" applyAlignment="1">
      <alignment horizontal="right" vertical="center" indent="1"/>
    </xf>
    <xf numFmtId="0" fontId="67" fillId="0" borderId="0" xfId="1" applyFont="1" applyAlignment="1">
      <alignment vertical="top"/>
    </xf>
    <xf numFmtId="0" fontId="63" fillId="0" borderId="0" xfId="1" quotePrefix="1" applyFont="1" applyAlignment="1">
      <alignment horizontal="center" vertical="center"/>
    </xf>
    <xf numFmtId="0" fontId="8" fillId="0" borderId="49" xfId="1" applyBorder="1" applyAlignment="1">
      <alignment horizontal="centerContinuous" vertical="center"/>
    </xf>
    <xf numFmtId="0" fontId="8" fillId="0" borderId="49" xfId="1" quotePrefix="1" applyBorder="1" applyAlignment="1">
      <alignment horizontal="centerContinuous" vertical="center"/>
    </xf>
    <xf numFmtId="0" fontId="8" fillId="0" borderId="45" xfId="1" applyBorder="1" applyAlignment="1">
      <alignment horizontal="centerContinuous" vertical="center"/>
    </xf>
    <xf numFmtId="4" fontId="49" fillId="0" borderId="17" xfId="1" applyNumberFormat="1" applyFont="1" applyBorder="1" applyAlignment="1">
      <alignment horizontal="right" vertical="center" indent="1"/>
    </xf>
    <xf numFmtId="2" fontId="49" fillId="0" borderId="17" xfId="1" applyNumberFormat="1" applyFont="1" applyBorder="1" applyAlignment="1">
      <alignment horizontal="right" vertical="center" indent="1"/>
    </xf>
    <xf numFmtId="2" fontId="49" fillId="0" borderId="16" xfId="1" applyNumberFormat="1" applyFont="1" applyBorder="1" applyAlignment="1">
      <alignment horizontal="right" vertical="center" indent="1"/>
    </xf>
    <xf numFmtId="4" fontId="49" fillId="0" borderId="14" xfId="1" applyNumberFormat="1" applyFont="1" applyBorder="1" applyAlignment="1">
      <alignment horizontal="right" vertical="center" indent="1"/>
    </xf>
    <xf numFmtId="2" fontId="49" fillId="0" borderId="14" xfId="1" applyNumberFormat="1" applyFont="1" applyBorder="1" applyAlignment="1">
      <alignment horizontal="right" vertical="center" indent="1"/>
    </xf>
    <xf numFmtId="2" fontId="49" fillId="0" borderId="13" xfId="1" applyNumberFormat="1" applyFont="1" applyBorder="1" applyAlignment="1">
      <alignment horizontal="right" vertical="center" indent="1"/>
    </xf>
    <xf numFmtId="0" fontId="82" fillId="0" borderId="0" xfId="1" applyFont="1"/>
    <xf numFmtId="0" fontId="82" fillId="0" borderId="0" xfId="1" applyFont="1" applyAlignment="1">
      <alignment vertical="top"/>
    </xf>
    <xf numFmtId="0" fontId="49" fillId="0" borderId="24" xfId="172" applyFont="1" applyBorder="1"/>
    <xf numFmtId="0" fontId="8" fillId="0" borderId="24" xfId="172" applyBorder="1"/>
    <xf numFmtId="0" fontId="8" fillId="0" borderId="0" xfId="142" applyFont="1">
      <alignment vertical="center"/>
    </xf>
    <xf numFmtId="0" fontId="131" fillId="0" borderId="24" xfId="172" applyFont="1" applyBorder="1" applyAlignment="1">
      <alignment horizontal="right" vertical="center"/>
    </xf>
    <xf numFmtId="196" fontId="8" fillId="0" borderId="47" xfId="157" quotePrefix="1" applyNumberFormat="1" applyFont="1" applyBorder="1" applyAlignment="1">
      <alignment horizontal="center" vertical="center"/>
    </xf>
    <xf numFmtId="3" fontId="49" fillId="0" borderId="17" xfId="172" applyNumberFormat="1" applyFont="1" applyBorder="1" applyAlignment="1">
      <alignment horizontal="right" vertical="center" indent="1"/>
    </xf>
    <xf numFmtId="3" fontId="49" fillId="0" borderId="16" xfId="172" applyNumberFormat="1" applyFont="1" applyBorder="1" applyAlignment="1">
      <alignment horizontal="right" vertical="center" indent="1"/>
    </xf>
    <xf numFmtId="3" fontId="49" fillId="0" borderId="57" xfId="172" applyNumberFormat="1" applyFont="1" applyBorder="1" applyAlignment="1">
      <alignment horizontal="right" vertical="center" indent="1"/>
    </xf>
    <xf numFmtId="3" fontId="49" fillId="0" borderId="17" xfId="173" applyNumberFormat="1" applyFont="1" applyBorder="1" applyAlignment="1">
      <alignment horizontal="right" vertical="center" indent="1"/>
    </xf>
    <xf numFmtId="196" fontId="8" fillId="0" borderId="18" xfId="157" quotePrefix="1" applyNumberFormat="1" applyFont="1" applyBorder="1" applyAlignment="1">
      <alignment horizontal="center" vertical="center"/>
    </xf>
    <xf numFmtId="196" fontId="8" fillId="0" borderId="15" xfId="157" quotePrefix="1" applyNumberFormat="1" applyFont="1" applyBorder="1" applyAlignment="1">
      <alignment horizontal="center" vertical="center"/>
    </xf>
    <xf numFmtId="3" fontId="49" fillId="0" borderId="14" xfId="172" applyNumberFormat="1" applyFont="1" applyBorder="1" applyAlignment="1">
      <alignment horizontal="right" vertical="center" indent="1"/>
    </xf>
    <xf numFmtId="3" fontId="49" fillId="0" borderId="13" xfId="172" applyNumberFormat="1" applyFont="1" applyBorder="1" applyAlignment="1">
      <alignment horizontal="right" vertical="center" indent="1"/>
    </xf>
    <xf numFmtId="3" fontId="49" fillId="0" borderId="56" xfId="172" applyNumberFormat="1" applyFont="1" applyBorder="1" applyAlignment="1">
      <alignment horizontal="right" vertical="center" indent="1"/>
    </xf>
    <xf numFmtId="3" fontId="49" fillId="0" borderId="14" xfId="173" applyNumberFormat="1" applyFont="1" applyBorder="1" applyAlignment="1">
      <alignment horizontal="right" vertical="center" indent="1"/>
    </xf>
    <xf numFmtId="0" fontId="67" fillId="0" borderId="0" xfId="157" quotePrefix="1" applyFont="1" applyAlignment="1">
      <alignment horizontal="left" vertical="center"/>
    </xf>
    <xf numFmtId="41" fontId="67" fillId="0" borderId="0" xfId="172" applyNumberFormat="1" applyFont="1" applyAlignment="1">
      <alignment horizontal="left" vertical="center"/>
    </xf>
    <xf numFmtId="41" fontId="67" fillId="0" borderId="0" xfId="172" applyNumberFormat="1" applyFont="1" applyAlignment="1">
      <alignment horizontal="right" vertical="center"/>
    </xf>
    <xf numFmtId="41" fontId="67" fillId="0" borderId="0" xfId="173" applyNumberFormat="1" applyFont="1" applyAlignment="1">
      <alignment horizontal="right" vertical="center"/>
    </xf>
    <xf numFmtId="0" fontId="67" fillId="0" borderId="0" xfId="142" applyFont="1">
      <alignment vertical="center"/>
    </xf>
    <xf numFmtId="0" fontId="67" fillId="0" borderId="0" xfId="174" applyFont="1"/>
    <xf numFmtId="0" fontId="67" fillId="0" borderId="0" xfId="172" applyFont="1"/>
    <xf numFmtId="0" fontId="67" fillId="0" borderId="0" xfId="172" applyFont="1" applyAlignment="1">
      <alignment horizontal="right"/>
    </xf>
    <xf numFmtId="191" fontId="51" fillId="0" borderId="0" xfId="142" applyNumberFormat="1" applyFont="1">
      <alignment vertical="center"/>
    </xf>
    <xf numFmtId="3" fontId="8" fillId="0" borderId="17" xfId="142" applyNumberFormat="1" applyFont="1" applyBorder="1" applyAlignment="1">
      <alignment horizontal="right" vertical="center" indent="2"/>
    </xf>
    <xf numFmtId="3" fontId="8" fillId="0" borderId="50" xfId="142" applyNumberFormat="1" applyFont="1" applyBorder="1" applyAlignment="1">
      <alignment horizontal="right" vertical="center" indent="2"/>
    </xf>
    <xf numFmtId="4" fontId="8" fillId="0" borderId="17" xfId="142" applyNumberFormat="1" applyFont="1" applyBorder="1" applyAlignment="1">
      <alignment horizontal="right" vertical="center" indent="2"/>
    </xf>
    <xf numFmtId="4" fontId="8" fillId="0" borderId="16" xfId="142" applyNumberFormat="1" applyFont="1" applyBorder="1" applyAlignment="1">
      <alignment horizontal="right" vertical="center" indent="2"/>
    </xf>
    <xf numFmtId="4" fontId="8" fillId="0" borderId="0" xfId="142" applyNumberFormat="1" applyFont="1" applyAlignment="1"/>
    <xf numFmtId="3" fontId="8" fillId="0" borderId="16" xfId="142" applyNumberFormat="1" applyFont="1" applyBorder="1" applyAlignment="1">
      <alignment horizontal="right" vertical="center" indent="2"/>
    </xf>
    <xf numFmtId="4" fontId="8" fillId="0" borderId="14" xfId="142" applyNumberFormat="1" applyFont="1" applyBorder="1" applyAlignment="1">
      <alignment horizontal="right" vertical="center" indent="2"/>
    </xf>
    <xf numFmtId="4" fontId="8" fillId="0" borderId="13" xfId="142" applyNumberFormat="1" applyFont="1" applyBorder="1" applyAlignment="1">
      <alignment horizontal="right" vertical="center" indent="2"/>
    </xf>
    <xf numFmtId="0" fontId="67" fillId="0" borderId="0" xfId="142" applyFont="1" applyAlignment="1">
      <alignment horizontal="center" vertical="center"/>
    </xf>
    <xf numFmtId="0" fontId="8" fillId="0" borderId="14" xfId="142" applyFont="1" applyBorder="1" applyAlignment="1">
      <alignment horizontal="distributed" vertical="distributed"/>
    </xf>
    <xf numFmtId="3" fontId="49" fillId="0" borderId="54" xfId="142" applyNumberFormat="1" applyFont="1" applyBorder="1" applyAlignment="1">
      <alignment horizontal="right" vertical="center" indent="2"/>
    </xf>
    <xf numFmtId="3" fontId="49" fillId="0" borderId="50" xfId="142" applyNumberFormat="1" applyFont="1" applyBorder="1" applyAlignment="1">
      <alignment horizontal="right" vertical="center" indent="2"/>
    </xf>
    <xf numFmtId="3" fontId="8" fillId="0" borderId="0" xfId="142" applyNumberFormat="1" applyFont="1">
      <alignment vertical="center"/>
    </xf>
    <xf numFmtId="2" fontId="49" fillId="0" borderId="17" xfId="142" applyNumberFormat="1" applyFont="1" applyBorder="1" applyAlignment="1">
      <alignment horizontal="right" vertical="center" indent="2"/>
    </xf>
    <xf numFmtId="2" fontId="49" fillId="0" borderId="16" xfId="142" applyNumberFormat="1" applyFont="1" applyBorder="1" applyAlignment="1">
      <alignment horizontal="right" vertical="center" indent="2"/>
    </xf>
    <xf numFmtId="3" fontId="49" fillId="0" borderId="17" xfId="142" applyNumberFormat="1" applyFont="1" applyBorder="1" applyAlignment="1">
      <alignment horizontal="right" vertical="center" indent="2"/>
    </xf>
    <xf numFmtId="3" fontId="49" fillId="0" borderId="16" xfId="142" applyNumberFormat="1" applyFont="1" applyBorder="1" applyAlignment="1">
      <alignment horizontal="right" vertical="center" indent="2"/>
    </xf>
    <xf numFmtId="2" fontId="49" fillId="0" borderId="14" xfId="142" applyNumberFormat="1" applyFont="1" applyBorder="1" applyAlignment="1">
      <alignment horizontal="right" vertical="center" indent="2"/>
    </xf>
    <xf numFmtId="2" fontId="49" fillId="0" borderId="13" xfId="142" applyNumberFormat="1" applyFont="1" applyBorder="1" applyAlignment="1">
      <alignment horizontal="right" vertical="center" indent="2"/>
    </xf>
    <xf numFmtId="0" fontId="63" fillId="0" borderId="0" xfId="175" applyFont="1" applyAlignment="1">
      <alignment vertical="center"/>
    </xf>
    <xf numFmtId="0" fontId="49" fillId="0" borderId="0" xfId="175" applyFont="1" applyAlignment="1">
      <alignment horizontal="center" vertical="center"/>
    </xf>
    <xf numFmtId="0" fontId="49" fillId="0" borderId="0" xfId="175" applyFont="1" applyAlignment="1">
      <alignment vertical="center"/>
    </xf>
    <xf numFmtId="0" fontId="49" fillId="0" borderId="24" xfId="175" applyFont="1" applyBorder="1" applyAlignment="1">
      <alignment vertical="center"/>
    </xf>
    <xf numFmtId="0" fontId="49" fillId="0" borderId="24" xfId="175" applyFont="1" applyBorder="1" applyAlignment="1">
      <alignment horizontal="right"/>
    </xf>
    <xf numFmtId="0" fontId="8" fillId="0" borderId="0" xfId="175" applyFont="1" applyAlignment="1">
      <alignment vertical="center"/>
    </xf>
    <xf numFmtId="0" fontId="8" fillId="0" borderId="49" xfId="175" applyFont="1" applyBorder="1" applyAlignment="1">
      <alignment horizontal="center" vertical="distributed" textRotation="255"/>
    </xf>
    <xf numFmtId="0" fontId="8" fillId="0" borderId="65" xfId="175" applyFont="1" applyBorder="1" applyAlignment="1">
      <alignment horizontal="center" vertical="distributed" textRotation="255" wrapText="1"/>
    </xf>
    <xf numFmtId="0" fontId="8" fillId="0" borderId="46" xfId="175" applyFont="1" applyBorder="1" applyAlignment="1">
      <alignment horizontal="center" vertical="distributed" textRotation="255" wrapText="1"/>
    </xf>
    <xf numFmtId="0" fontId="8" fillId="0" borderId="79" xfId="175" applyFont="1" applyBorder="1" applyAlignment="1">
      <alignment horizontal="center" vertical="distributed" textRotation="255"/>
    </xf>
    <xf numFmtId="0" fontId="141" fillId="0" borderId="65" xfId="176" applyFont="1" applyBorder="1" applyAlignment="1">
      <alignment horizontal="center" vertical="distributed" textRotation="255" wrapText="1"/>
    </xf>
    <xf numFmtId="0" fontId="133" fillId="0" borderId="65" xfId="176" applyFont="1" applyBorder="1" applyAlignment="1">
      <alignment horizontal="center" vertical="distributed" textRotation="255" wrapText="1"/>
    </xf>
    <xf numFmtId="0" fontId="133" fillId="0" borderId="46" xfId="142" applyFont="1" applyBorder="1" applyAlignment="1">
      <alignment horizontal="center" vertical="distributed" textRotation="255" wrapText="1"/>
    </xf>
    <xf numFmtId="41" fontId="8" fillId="0" borderId="0" xfId="175" quotePrefix="1" applyNumberFormat="1" applyFont="1" applyAlignment="1">
      <alignment horizontal="center" vertical="center"/>
    </xf>
    <xf numFmtId="41" fontId="49" fillId="0" borderId="17" xfId="175" applyNumberFormat="1" applyFont="1" applyBorder="1" applyAlignment="1">
      <alignment horizontal="right" vertical="center" indent="1"/>
    </xf>
    <xf numFmtId="41" fontId="49" fillId="0" borderId="16" xfId="175" applyNumberFormat="1" applyFont="1" applyBorder="1" applyAlignment="1">
      <alignment horizontal="right" vertical="center" indent="1"/>
    </xf>
    <xf numFmtId="41" fontId="49" fillId="0" borderId="55" xfId="175" applyNumberFormat="1" applyFont="1" applyBorder="1" applyAlignment="1">
      <alignment horizontal="right" vertical="center" indent="1"/>
    </xf>
    <xf numFmtId="197" fontId="8" fillId="0" borderId="0" xfId="175" applyNumberFormat="1" applyFont="1" applyAlignment="1">
      <alignment vertical="center"/>
    </xf>
    <xf numFmtId="41" fontId="49" fillId="0" borderId="57" xfId="175" applyNumberFormat="1" applyFont="1" applyBorder="1" applyAlignment="1">
      <alignment horizontal="right" vertical="center" indent="1"/>
    </xf>
    <xf numFmtId="41" fontId="8" fillId="0" borderId="24" xfId="175" quotePrefix="1" applyNumberFormat="1" applyFont="1" applyBorder="1" applyAlignment="1">
      <alignment horizontal="center" vertical="center"/>
    </xf>
    <xf numFmtId="41" fontId="49" fillId="0" borderId="14" xfId="175" applyNumberFormat="1" applyFont="1" applyBorder="1" applyAlignment="1">
      <alignment horizontal="right" vertical="center" indent="1"/>
    </xf>
    <xf numFmtId="41" fontId="49" fillId="0" borderId="13" xfId="175" applyNumberFormat="1" applyFont="1" applyBorder="1" applyAlignment="1">
      <alignment horizontal="right" vertical="center" indent="1"/>
    </xf>
    <xf numFmtId="41" fontId="49" fillId="0" borderId="56" xfId="175" applyNumberFormat="1" applyFont="1" applyBorder="1" applyAlignment="1">
      <alignment horizontal="right" vertical="center" indent="1"/>
    </xf>
    <xf numFmtId="0" fontId="8" fillId="0" borderId="0" xfId="176" applyFont="1">
      <alignment vertical="center"/>
    </xf>
    <xf numFmtId="0" fontId="8" fillId="0" borderId="0" xfId="175" applyFont="1" applyAlignment="1">
      <alignment horizontal="center" vertical="center"/>
    </xf>
    <xf numFmtId="0" fontId="8" fillId="0" borderId="0" xfId="177" applyFont="1"/>
    <xf numFmtId="0" fontId="84" fillId="0" borderId="0" xfId="177" applyFont="1" applyAlignment="1">
      <alignment horizontal="center" vertical="center"/>
    </xf>
    <xf numFmtId="0" fontId="84" fillId="0" borderId="0" xfId="177" applyFont="1" applyAlignment="1">
      <alignment vertical="center"/>
    </xf>
    <xf numFmtId="0" fontId="84" fillId="0" borderId="0" xfId="177" applyFont="1" applyAlignment="1" applyProtection="1">
      <alignment vertical="center"/>
      <protection locked="0"/>
    </xf>
    <xf numFmtId="0" fontId="84" fillId="0" borderId="0" xfId="177" applyFont="1" applyAlignment="1">
      <alignment horizontal="right" vertical="center"/>
    </xf>
    <xf numFmtId="0" fontId="8" fillId="0" borderId="0" xfId="177" applyFont="1" applyAlignment="1">
      <alignment vertical="center"/>
    </xf>
    <xf numFmtId="49" fontId="84" fillId="0" borderId="45" xfId="178" applyNumberFormat="1" applyFont="1" applyBorder="1" applyAlignment="1">
      <alignment horizontal="centerContinuous" vertical="center"/>
    </xf>
    <xf numFmtId="49" fontId="84" fillId="0" borderId="49" xfId="178" applyNumberFormat="1" applyFont="1" applyBorder="1" applyAlignment="1">
      <alignment horizontal="centerContinuous" vertical="center"/>
    </xf>
    <xf numFmtId="0" fontId="8" fillId="0" borderId="0" xfId="179" quotePrefix="1" applyFont="1" applyAlignment="1">
      <alignment horizontal="center" vertical="center"/>
    </xf>
    <xf numFmtId="207" fontId="8" fillId="0" borderId="54" xfId="49" applyNumberFormat="1" applyFont="1" applyBorder="1" applyAlignment="1">
      <alignment horizontal="right" vertical="center"/>
    </xf>
    <xf numFmtId="3" fontId="8" fillId="0" borderId="17" xfId="49" applyNumberFormat="1" applyFont="1" applyBorder="1" applyAlignment="1">
      <alignment horizontal="right" vertical="center" indent="1"/>
    </xf>
    <xf numFmtId="3" fontId="8" fillId="0" borderId="16" xfId="49" applyNumberFormat="1" applyFont="1" applyBorder="1" applyAlignment="1">
      <alignment horizontal="right" vertical="center" indent="1"/>
    </xf>
    <xf numFmtId="0" fontId="8" fillId="0" borderId="0" xfId="177" applyFont="1" applyAlignment="1">
      <alignment horizontal="right" indent="1"/>
    </xf>
    <xf numFmtId="207" fontId="8" fillId="0" borderId="17" xfId="49" applyNumberFormat="1" applyFont="1" applyBorder="1" applyAlignment="1">
      <alignment horizontal="right" vertical="center"/>
    </xf>
    <xf numFmtId="3" fontId="8" fillId="0" borderId="14" xfId="49" applyNumberFormat="1" applyFont="1" applyBorder="1" applyAlignment="1">
      <alignment horizontal="right" vertical="center" indent="1"/>
    </xf>
    <xf numFmtId="3" fontId="8" fillId="0" borderId="13" xfId="49" applyNumberFormat="1" applyFont="1" applyBorder="1" applyAlignment="1">
      <alignment horizontal="right" vertical="center" indent="1"/>
    </xf>
    <xf numFmtId="49" fontId="84" fillId="0" borderId="0" xfId="177" applyNumberFormat="1" applyFont="1" applyAlignment="1" applyProtection="1">
      <alignment horizontal="center" vertical="center"/>
      <protection locked="0"/>
    </xf>
    <xf numFmtId="203" fontId="84" fillId="0" borderId="18" xfId="177" applyNumberFormat="1" applyFont="1" applyBorder="1" applyAlignment="1" applyProtection="1">
      <alignment horizontal="right" vertical="center"/>
      <protection locked="0"/>
    </xf>
    <xf numFmtId="212" fontId="144" fillId="0" borderId="80" xfId="177" applyNumberFormat="1" applyFont="1" applyBorder="1" applyAlignment="1">
      <alignment vertical="center"/>
    </xf>
    <xf numFmtId="203" fontId="84" fillId="0" borderId="70" xfId="177" applyNumberFormat="1" applyFont="1" applyBorder="1" applyAlignment="1" applyProtection="1">
      <alignment horizontal="right" vertical="center"/>
      <protection locked="0"/>
    </xf>
    <xf numFmtId="203" fontId="84" fillId="0" borderId="80" xfId="177" applyNumberFormat="1" applyFont="1" applyBorder="1" applyAlignment="1" applyProtection="1">
      <alignment horizontal="right" vertical="center"/>
      <protection locked="0"/>
    </xf>
    <xf numFmtId="203" fontId="84" fillId="0" borderId="81" xfId="177" applyNumberFormat="1" applyFont="1" applyBorder="1" applyAlignment="1" applyProtection="1">
      <alignment horizontal="right" vertical="center"/>
      <protection locked="0"/>
    </xf>
    <xf numFmtId="0" fontId="67" fillId="0" borderId="0" xfId="177" applyFont="1" applyAlignment="1">
      <alignment vertical="center"/>
    </xf>
    <xf numFmtId="0" fontId="67" fillId="0" borderId="0" xfId="177" applyFont="1"/>
    <xf numFmtId="0" fontId="84" fillId="0" borderId="0" xfId="177" applyFont="1" applyAlignment="1">
      <alignment horizontal="center"/>
    </xf>
    <xf numFmtId="0" fontId="84" fillId="0" borderId="0" xfId="177" applyFont="1"/>
    <xf numFmtId="0" fontId="63" fillId="0" borderId="0" xfId="179" applyFont="1"/>
    <xf numFmtId="0" fontId="49" fillId="0" borderId="24" xfId="179" applyFont="1" applyBorder="1"/>
    <xf numFmtId="0" fontId="49" fillId="0" borderId="24" xfId="179" applyFont="1" applyBorder="1" applyAlignment="1">
      <alignment horizontal="right" vertical="center"/>
    </xf>
    <xf numFmtId="0" fontId="49" fillId="0" borderId="0" xfId="179" applyFont="1" applyAlignment="1">
      <alignment horizontal="right" vertical="center"/>
    </xf>
    <xf numFmtId="0" fontId="49" fillId="0" borderId="0" xfId="179" applyFont="1"/>
    <xf numFmtId="0" fontId="8" fillId="0" borderId="0" xfId="179" applyFont="1"/>
    <xf numFmtId="0" fontId="8" fillId="0" borderId="18" xfId="179" quotePrefix="1" applyFont="1" applyBorder="1" applyAlignment="1">
      <alignment horizontal="center" vertical="center"/>
    </xf>
    <xf numFmtId="3" fontId="49" fillId="0" borderId="18" xfId="179" applyNumberFormat="1" applyFont="1" applyBorder="1" applyAlignment="1">
      <alignment horizontal="right" vertical="center" indent="1"/>
    </xf>
    <xf numFmtId="3" fontId="49" fillId="0" borderId="17" xfId="179" applyNumberFormat="1" applyFont="1" applyBorder="1" applyAlignment="1">
      <alignment horizontal="right" vertical="center" indent="1"/>
    </xf>
    <xf numFmtId="3" fontId="49" fillId="0" borderId="16" xfId="179" applyNumberFormat="1" applyFont="1" applyBorder="1" applyAlignment="1">
      <alignment horizontal="right" vertical="center" indent="1"/>
    </xf>
    <xf numFmtId="0" fontId="8" fillId="0" borderId="15" xfId="179" quotePrefix="1" applyFont="1" applyBorder="1" applyAlignment="1">
      <alignment horizontal="center" vertical="center"/>
    </xf>
    <xf numFmtId="3" fontId="49" fillId="0" borderId="15" xfId="179" applyNumberFormat="1" applyFont="1" applyBorder="1" applyAlignment="1">
      <alignment horizontal="right" vertical="center" indent="1"/>
    </xf>
    <xf numFmtId="3" fontId="49" fillId="0" borderId="14" xfId="179" applyNumberFormat="1" applyFont="1" applyBorder="1" applyAlignment="1">
      <alignment horizontal="right" vertical="center" indent="1"/>
    </xf>
    <xf numFmtId="3" fontId="49" fillId="0" borderId="13" xfId="179" applyNumberFormat="1" applyFont="1" applyBorder="1" applyAlignment="1">
      <alignment horizontal="right" vertical="center" indent="1"/>
    </xf>
    <xf numFmtId="0" fontId="67" fillId="0" borderId="0" xfId="179" applyFont="1"/>
    <xf numFmtId="0" fontId="84" fillId="0" borderId="0" xfId="142" applyFont="1" applyAlignment="1">
      <alignment horizontal="center"/>
    </xf>
    <xf numFmtId="0" fontId="8" fillId="0" borderId="65" xfId="142" applyFont="1" applyBorder="1" applyAlignment="1">
      <alignment horizontal="center" vertical="center"/>
    </xf>
    <xf numFmtId="3" fontId="49" fillId="0" borderId="17" xfId="142" applyNumberFormat="1" applyFont="1" applyBorder="1" applyAlignment="1">
      <alignment horizontal="right" vertical="center" indent="1"/>
    </xf>
    <xf numFmtId="3" fontId="49" fillId="0" borderId="18" xfId="142" applyNumberFormat="1" applyFont="1" applyBorder="1" applyAlignment="1">
      <alignment horizontal="right" vertical="center" indent="1"/>
    </xf>
    <xf numFmtId="3" fontId="49" fillId="0" borderId="50" xfId="142" applyNumberFormat="1" applyFont="1" applyBorder="1" applyAlignment="1">
      <alignment horizontal="right" vertical="center" indent="1"/>
    </xf>
    <xf numFmtId="3" fontId="8" fillId="0" borderId="0" xfId="142" applyNumberFormat="1" applyFont="1" applyAlignment="1"/>
    <xf numFmtId="180" fontId="49" fillId="0" borderId="17" xfId="142" applyNumberFormat="1" applyFont="1" applyBorder="1" applyAlignment="1">
      <alignment horizontal="right" vertical="center" indent="1"/>
    </xf>
    <xf numFmtId="4" fontId="49" fillId="0" borderId="18" xfId="142" applyNumberFormat="1" applyFont="1" applyBorder="1" applyAlignment="1">
      <alignment horizontal="right" vertical="center" indent="1"/>
    </xf>
    <xf numFmtId="4" fontId="49" fillId="0" borderId="16" xfId="142" applyNumberFormat="1" applyFont="1" applyBorder="1" applyAlignment="1">
      <alignment horizontal="right" vertical="center" indent="1"/>
    </xf>
    <xf numFmtId="3" fontId="49" fillId="0" borderId="16" xfId="142" applyNumberFormat="1" applyFont="1" applyBorder="1" applyAlignment="1">
      <alignment horizontal="right" vertical="center" indent="1"/>
    </xf>
    <xf numFmtId="0" fontId="8" fillId="0" borderId="18" xfId="161" applyBorder="1" applyAlignment="1">
      <alignment horizontal="center" vertical="center"/>
    </xf>
    <xf numFmtId="0" fontId="8" fillId="0" borderId="15" xfId="161" applyBorder="1" applyAlignment="1">
      <alignment horizontal="center" vertical="center"/>
    </xf>
    <xf numFmtId="180" fontId="49" fillId="0" borderId="14" xfId="142" applyNumberFormat="1" applyFont="1" applyBorder="1" applyAlignment="1">
      <alignment horizontal="right" vertical="center" indent="1"/>
    </xf>
    <xf numFmtId="4" fontId="49" fillId="0" borderId="15" xfId="142" applyNumberFormat="1" applyFont="1" applyBorder="1" applyAlignment="1">
      <alignment horizontal="right" vertical="center" indent="1"/>
    </xf>
    <xf numFmtId="4" fontId="49" fillId="0" borderId="13" xfId="142" applyNumberFormat="1" applyFont="1" applyBorder="1" applyAlignment="1">
      <alignment horizontal="right" vertical="center" indent="1"/>
    </xf>
    <xf numFmtId="0" fontId="49" fillId="0" borderId="47" xfId="142" applyFont="1" applyBorder="1" applyAlignment="1">
      <alignment horizontal="distributed" vertical="center"/>
    </xf>
    <xf numFmtId="41" fontId="49" fillId="0" borderId="18" xfId="142" applyNumberFormat="1" applyFont="1" applyBorder="1" applyAlignment="1">
      <alignment horizontal="right" vertical="center"/>
    </xf>
    <xf numFmtId="193" fontId="49" fillId="0" borderId="18" xfId="142" applyNumberFormat="1" applyFont="1" applyBorder="1" applyAlignment="1">
      <alignment horizontal="right" vertical="center"/>
    </xf>
    <xf numFmtId="193" fontId="49" fillId="0" borderId="50" xfId="142" applyNumberFormat="1" applyFont="1" applyBorder="1" applyAlignment="1">
      <alignment horizontal="right" vertical="center"/>
    </xf>
    <xf numFmtId="0" fontId="49" fillId="0" borderId="18" xfId="142" applyFont="1" applyBorder="1" applyAlignment="1">
      <alignment horizontal="distributed" vertical="distributed"/>
    </xf>
    <xf numFmtId="183" fontId="49" fillId="0" borderId="17" xfId="142" applyNumberFormat="1" applyFont="1" applyBorder="1" applyAlignment="1">
      <alignment horizontal="right" vertical="center"/>
    </xf>
    <xf numFmtId="183" fontId="49" fillId="0" borderId="16" xfId="142" applyNumberFormat="1" applyFont="1" applyBorder="1" applyAlignment="1">
      <alignment horizontal="right" vertical="center"/>
    </xf>
    <xf numFmtId="0" fontId="49" fillId="0" borderId="15" xfId="142" applyFont="1" applyBorder="1" applyAlignment="1">
      <alignment horizontal="distributed" vertical="distributed"/>
    </xf>
    <xf numFmtId="41" fontId="49" fillId="0" borderId="15" xfId="142" applyNumberFormat="1" applyFont="1" applyBorder="1" applyAlignment="1">
      <alignment horizontal="right" vertical="center"/>
    </xf>
    <xf numFmtId="183" fontId="49" fillId="0" borderId="14" xfId="142" applyNumberFormat="1" applyFont="1" applyBorder="1" applyAlignment="1">
      <alignment horizontal="right" vertical="center"/>
    </xf>
    <xf numFmtId="183" fontId="49" fillId="0" borderId="82" xfId="142" applyNumberFormat="1" applyFont="1" applyBorder="1" applyAlignment="1">
      <alignment horizontal="right" vertical="center"/>
    </xf>
    <xf numFmtId="0" fontId="8" fillId="0" borderId="24" xfId="142" applyFont="1" applyBorder="1">
      <alignment vertical="center"/>
    </xf>
    <xf numFmtId="0" fontId="49" fillId="0" borderId="0" xfId="142" applyFont="1" applyAlignment="1">
      <alignment horizontal="right"/>
    </xf>
    <xf numFmtId="41" fontId="8" fillId="0" borderId="17" xfId="142" applyNumberFormat="1" applyFont="1" applyBorder="1" applyAlignment="1">
      <alignment horizontal="right" vertical="center" indent="2"/>
    </xf>
    <xf numFmtId="43" fontId="8" fillId="0" borderId="16" xfId="142" applyNumberFormat="1" applyFont="1" applyBorder="1" applyAlignment="1">
      <alignment horizontal="right" vertical="center" indent="2"/>
    </xf>
    <xf numFmtId="41" fontId="8" fillId="0" borderId="16" xfId="142" applyNumberFormat="1" applyFont="1" applyBorder="1" applyAlignment="1">
      <alignment horizontal="right" vertical="center" indent="2"/>
    </xf>
    <xf numFmtId="213" fontId="8" fillId="0" borderId="0" xfId="142" applyNumberFormat="1" applyFont="1">
      <alignment vertical="center"/>
    </xf>
    <xf numFmtId="41" fontId="8" fillId="0" borderId="14" xfId="142" applyNumberFormat="1" applyFont="1" applyBorder="1" applyAlignment="1">
      <alignment horizontal="right" vertical="center" indent="2"/>
    </xf>
    <xf numFmtId="43" fontId="8" fillId="0" borderId="13" xfId="142" applyNumberFormat="1" applyFont="1" applyBorder="1" applyAlignment="1">
      <alignment horizontal="right" vertical="center" indent="2"/>
    </xf>
    <xf numFmtId="41" fontId="8" fillId="0" borderId="24" xfId="142" applyNumberFormat="1" applyFont="1" applyBorder="1" applyAlignment="1">
      <alignment horizontal="right" vertical="center" indent="2"/>
    </xf>
    <xf numFmtId="0" fontId="63" fillId="0" borderId="0" xfId="142" applyFont="1">
      <alignment vertical="center"/>
    </xf>
    <xf numFmtId="41" fontId="8" fillId="0" borderId="16" xfId="142" applyNumberFormat="1" applyFont="1" applyBorder="1" applyAlignment="1">
      <alignment horizontal="right" vertical="center"/>
    </xf>
    <xf numFmtId="41" fontId="8" fillId="0" borderId="13" xfId="142" applyNumberFormat="1" applyFont="1" applyBorder="1" applyAlignment="1">
      <alignment horizontal="right" vertical="center"/>
    </xf>
    <xf numFmtId="0" fontId="49" fillId="0" borderId="65" xfId="142" applyFont="1" applyBorder="1" applyAlignment="1">
      <alignment horizontal="center" vertical="center"/>
    </xf>
    <xf numFmtId="0" fontId="79" fillId="0" borderId="65" xfId="142" applyFont="1" applyBorder="1" applyAlignment="1">
      <alignment horizontal="center" vertical="center"/>
    </xf>
    <xf numFmtId="0" fontId="49" fillId="0" borderId="46" xfId="142" applyFont="1" applyBorder="1" applyAlignment="1">
      <alignment horizontal="center" vertical="center"/>
    </xf>
    <xf numFmtId="0" fontId="8" fillId="0" borderId="0" xfId="161" applyFont="1" applyAlignment="1">
      <alignment horizontal="center" vertical="center"/>
    </xf>
    <xf numFmtId="207" fontId="8" fillId="0" borderId="17" xfId="142" applyNumberFormat="1" applyFont="1" applyBorder="1">
      <alignment vertical="center"/>
    </xf>
    <xf numFmtId="207" fontId="8" fillId="0" borderId="50" xfId="142" applyNumberFormat="1" applyFont="1" applyBorder="1">
      <alignment vertical="center"/>
    </xf>
    <xf numFmtId="193" fontId="8" fillId="0" borderId="17" xfId="142" applyNumberFormat="1" applyFont="1" applyBorder="1">
      <alignment vertical="center"/>
    </xf>
    <xf numFmtId="208" fontId="8" fillId="0" borderId="17" xfId="142" applyNumberFormat="1" applyFont="1" applyBorder="1" applyAlignment="1">
      <alignment vertical="top"/>
    </xf>
    <xf numFmtId="208" fontId="8" fillId="0" borderId="16" xfId="142" applyNumberFormat="1" applyFont="1" applyBorder="1" applyAlignment="1">
      <alignment vertical="top"/>
    </xf>
    <xf numFmtId="207" fontId="8" fillId="0" borderId="16" xfId="142" applyNumberFormat="1" applyFont="1" applyBorder="1">
      <alignment vertical="center"/>
    </xf>
    <xf numFmtId="0" fontId="8" fillId="0" borderId="24" xfId="161" applyFont="1" applyBorder="1" applyAlignment="1">
      <alignment horizontal="center" vertical="center"/>
    </xf>
    <xf numFmtId="193" fontId="8" fillId="0" borderId="14" xfId="142" applyNumberFormat="1" applyFont="1" applyBorder="1">
      <alignment vertical="center"/>
    </xf>
    <xf numFmtId="208" fontId="8" fillId="0" borderId="14" xfId="142" applyNumberFormat="1" applyFont="1" applyBorder="1" applyAlignment="1">
      <alignment vertical="top"/>
    </xf>
    <xf numFmtId="208" fontId="8" fillId="0" borderId="13" xfId="142" applyNumberFormat="1" applyFont="1" applyBorder="1" applyAlignment="1">
      <alignment vertical="top"/>
    </xf>
    <xf numFmtId="49" fontId="63" fillId="0" borderId="0" xfId="142" applyNumberFormat="1" applyFont="1" applyAlignment="1" applyProtection="1">
      <alignment vertical="center"/>
      <protection locked="0"/>
    </xf>
    <xf numFmtId="49" fontId="63" fillId="0" borderId="0" xfId="142" applyNumberFormat="1" applyFont="1" applyAlignment="1" applyProtection="1">
      <alignment horizontal="center" vertical="center"/>
      <protection locked="0"/>
    </xf>
    <xf numFmtId="0" fontId="8" fillId="0" borderId="48" xfId="150" applyFont="1" applyBorder="1" applyAlignment="1">
      <alignment horizontal="center" vertical="distributed" textRotation="255"/>
    </xf>
    <xf numFmtId="0" fontId="8" fillId="0" borderId="24" xfId="150" applyFont="1" applyBorder="1" applyAlignment="1">
      <alignment horizontal="center" vertical="distributed" textRotation="255"/>
    </xf>
    <xf numFmtId="49" fontId="96" fillId="0" borderId="45" xfId="142" quotePrefix="1" applyNumberFormat="1" applyFont="1" applyBorder="1" applyAlignment="1">
      <alignment horizontal="center" vertical="center"/>
    </xf>
    <xf numFmtId="41" fontId="8" fillId="0" borderId="45" xfId="163" applyNumberFormat="1" applyFont="1" applyBorder="1" applyAlignment="1" applyProtection="1">
      <alignment horizontal="center" vertical="center"/>
      <protection locked="0"/>
    </xf>
    <xf numFmtId="43" fontId="49" fillId="0" borderId="17" xfId="163" applyNumberFormat="1" applyFont="1" applyBorder="1" applyAlignment="1" applyProtection="1">
      <alignment horizontal="right" vertical="center"/>
      <protection locked="0"/>
    </xf>
    <xf numFmtId="43" fontId="49" fillId="0" borderId="16" xfId="163" applyNumberFormat="1" applyFont="1" applyBorder="1" applyAlignment="1" applyProtection="1">
      <alignment horizontal="right" vertical="center"/>
      <protection locked="0"/>
    </xf>
    <xf numFmtId="41" fontId="105" fillId="0" borderId="18" xfId="163" applyNumberFormat="1" applyFont="1" applyBorder="1" applyAlignment="1" applyProtection="1">
      <alignment horizontal="right" vertical="center"/>
      <protection locked="0"/>
    </xf>
    <xf numFmtId="43" fontId="49" fillId="0" borderId="18" xfId="163" applyNumberFormat="1" applyFont="1" applyBorder="1" applyAlignment="1" applyProtection="1">
      <alignment horizontal="right" vertical="center"/>
      <protection locked="0"/>
    </xf>
    <xf numFmtId="41" fontId="7" fillId="0" borderId="18" xfId="163" applyNumberFormat="1" applyFont="1" applyBorder="1" applyAlignment="1" applyProtection="1">
      <alignment horizontal="right" vertical="center"/>
      <protection locked="0"/>
    </xf>
    <xf numFmtId="43" fontId="49" fillId="0" borderId="13" xfId="163" applyNumberFormat="1" applyFont="1" applyBorder="1" applyAlignment="1" applyProtection="1">
      <alignment horizontal="right" vertical="center"/>
      <protection locked="0"/>
    </xf>
    <xf numFmtId="0" fontId="67" fillId="0" borderId="0" xfId="181" applyFont="1" applyAlignment="1"/>
    <xf numFmtId="0" fontId="8" fillId="0" borderId="0" xfId="182" applyFont="1" applyAlignment="1">
      <alignment horizontal="center" vertical="center"/>
    </xf>
    <xf numFmtId="0" fontId="8" fillId="0" borderId="0" xfId="182" applyFont="1" applyAlignment="1">
      <alignment vertical="center"/>
    </xf>
    <xf numFmtId="41" fontId="49" fillId="0" borderId="17" xfId="163" applyNumberFormat="1" applyFont="1" applyBorder="1" applyAlignment="1" applyProtection="1">
      <alignment horizontal="right" vertical="center" indent="1"/>
      <protection locked="0"/>
    </xf>
    <xf numFmtId="215" fontId="46" fillId="0" borderId="17" xfId="182" applyNumberFormat="1" applyFont="1" applyBorder="1" applyAlignment="1">
      <alignment horizontal="right" vertical="center" indent="1"/>
    </xf>
    <xf numFmtId="215" fontId="46" fillId="0" borderId="16" xfId="182" applyNumberFormat="1" applyFont="1" applyBorder="1" applyAlignment="1">
      <alignment horizontal="right" vertical="center" indent="1"/>
    </xf>
    <xf numFmtId="215" fontId="46" fillId="0" borderId="57" xfId="182" applyNumberFormat="1" applyFont="1" applyBorder="1" applyAlignment="1">
      <alignment horizontal="right" vertical="center" indent="1"/>
    </xf>
    <xf numFmtId="216" fontId="46" fillId="0" borderId="16" xfId="182" applyNumberFormat="1" applyFont="1" applyBorder="1" applyAlignment="1">
      <alignment horizontal="right" vertical="center" indent="1"/>
    </xf>
    <xf numFmtId="41" fontId="49" fillId="0" borderId="14" xfId="163" applyNumberFormat="1" applyFont="1" applyBorder="1" applyAlignment="1" applyProtection="1">
      <alignment horizontal="right" vertical="center" indent="1"/>
      <protection locked="0"/>
    </xf>
    <xf numFmtId="215" fontId="46" fillId="0" borderId="14" xfId="182" applyNumberFormat="1" applyFont="1" applyBorder="1" applyAlignment="1">
      <alignment horizontal="right" vertical="center" indent="1"/>
    </xf>
    <xf numFmtId="215" fontId="46" fillId="0" borderId="13" xfId="182" applyNumberFormat="1" applyFont="1" applyBorder="1" applyAlignment="1">
      <alignment horizontal="right" vertical="center" indent="1"/>
    </xf>
    <xf numFmtId="215" fontId="46" fillId="0" borderId="56" xfId="182" applyNumberFormat="1" applyFont="1" applyBorder="1" applyAlignment="1">
      <alignment horizontal="right" vertical="center" indent="1"/>
    </xf>
    <xf numFmtId="216" fontId="46" fillId="0" borderId="13" xfId="182" applyNumberFormat="1" applyFont="1" applyBorder="1" applyAlignment="1">
      <alignment horizontal="right" vertical="center" indent="1"/>
    </xf>
    <xf numFmtId="0" fontId="67" fillId="0" borderId="0" xfId="184" applyFont="1" applyAlignment="1">
      <alignment vertical="center"/>
    </xf>
    <xf numFmtId="0" fontId="67" fillId="0" borderId="0" xfId="182" applyFont="1" applyAlignment="1">
      <alignment horizontal="left" vertical="center"/>
    </xf>
    <xf numFmtId="0" fontId="67" fillId="0" borderId="0" xfId="182" applyFont="1" applyAlignment="1">
      <alignment horizontal="center" vertical="center"/>
    </xf>
    <xf numFmtId="49" fontId="67" fillId="0" borderId="0" xfId="182" applyNumberFormat="1" applyFont="1" applyAlignment="1">
      <alignment vertical="center"/>
    </xf>
    <xf numFmtId="191" fontId="67" fillId="0" borderId="0" xfId="182" applyNumberFormat="1" applyFont="1" applyAlignment="1">
      <alignment horizontal="center" vertical="center"/>
    </xf>
    <xf numFmtId="191" fontId="8" fillId="0" borderId="0" xfId="182" applyNumberFormat="1" applyFont="1" applyAlignment="1">
      <alignment horizontal="center" vertical="center"/>
    </xf>
    <xf numFmtId="49" fontId="145" fillId="0" borderId="0" xfId="185" applyNumberFormat="1" applyFont="1" applyAlignment="1">
      <alignment horizontal="left" vertical="center"/>
    </xf>
    <xf numFmtId="49" fontId="8" fillId="0" borderId="0" xfId="182" applyNumberFormat="1" applyFont="1" applyAlignment="1">
      <alignment horizontal="center" vertical="center"/>
    </xf>
    <xf numFmtId="0" fontId="63" fillId="0" borderId="0" xfId="184" applyFont="1" applyAlignment="1">
      <alignment vertical="center"/>
    </xf>
    <xf numFmtId="217" fontId="49" fillId="0" borderId="24" xfId="184" applyNumberFormat="1" applyFont="1" applyBorder="1" applyAlignment="1">
      <alignment horizontal="left" vertical="center"/>
    </xf>
    <xf numFmtId="0" fontId="49" fillId="0" borderId="0" xfId="184" applyFont="1" applyAlignment="1">
      <alignment horizontal="centerContinuous" vertical="center"/>
    </xf>
    <xf numFmtId="0" fontId="49" fillId="0" borderId="0" xfId="184" applyFont="1" applyAlignment="1">
      <alignment vertical="center"/>
    </xf>
    <xf numFmtId="0" fontId="49" fillId="0" borderId="24" xfId="184" applyFont="1" applyBorder="1" applyAlignment="1">
      <alignment horizontal="right"/>
    </xf>
    <xf numFmtId="0" fontId="8" fillId="0" borderId="0" xfId="184" applyAlignment="1">
      <alignment vertical="center"/>
    </xf>
    <xf numFmtId="0" fontId="8" fillId="0" borderId="46" xfId="184" applyBorder="1" applyAlignment="1">
      <alignment horizontal="center" vertical="center"/>
    </xf>
    <xf numFmtId="0" fontId="8" fillId="0" borderId="65" xfId="184" applyBorder="1" applyAlignment="1">
      <alignment horizontal="center" vertical="center"/>
    </xf>
    <xf numFmtId="0" fontId="8" fillId="0" borderId="0" xfId="184" applyAlignment="1">
      <alignment horizontal="center" vertical="center"/>
    </xf>
    <xf numFmtId="41" fontId="49" fillId="0" borderId="16" xfId="184" applyNumberFormat="1" applyFont="1" applyBorder="1" applyAlignment="1">
      <alignment horizontal="right" vertical="center"/>
    </xf>
    <xf numFmtId="43" fontId="49" fillId="0" borderId="16" xfId="184" applyNumberFormat="1" applyFont="1" applyBorder="1" applyAlignment="1">
      <alignment horizontal="right" vertical="center"/>
    </xf>
    <xf numFmtId="41" fontId="49" fillId="0" borderId="17" xfId="184" applyNumberFormat="1" applyFont="1" applyBorder="1" applyAlignment="1">
      <alignment horizontal="right" vertical="center"/>
    </xf>
    <xf numFmtId="43" fontId="49" fillId="0" borderId="17" xfId="184" applyNumberFormat="1" applyFont="1" applyBorder="1" applyAlignment="1">
      <alignment horizontal="right" vertical="center"/>
    </xf>
    <xf numFmtId="219" fontId="8" fillId="0" borderId="17" xfId="184" applyNumberFormat="1" applyBorder="1" applyAlignment="1">
      <alignment vertical="center"/>
    </xf>
    <xf numFmtId="220" fontId="8" fillId="0" borderId="17" xfId="184" applyNumberFormat="1" applyBorder="1" applyAlignment="1">
      <alignment vertical="center"/>
    </xf>
    <xf numFmtId="194" fontId="8" fillId="0" borderId="17" xfId="184" applyNumberFormat="1" applyBorder="1" applyAlignment="1">
      <alignment vertical="center"/>
    </xf>
    <xf numFmtId="219" fontId="8" fillId="0" borderId="16" xfId="184" applyNumberFormat="1" applyBorder="1" applyAlignment="1">
      <alignment vertical="center"/>
    </xf>
    <xf numFmtId="0" fontId="131" fillId="0" borderId="0" xfId="184" applyFont="1" applyAlignment="1">
      <alignment vertical="center"/>
    </xf>
    <xf numFmtId="0" fontId="8" fillId="0" borderId="24" xfId="184" applyBorder="1" applyAlignment="1">
      <alignment horizontal="center" vertical="center"/>
    </xf>
    <xf numFmtId="41" fontId="49" fillId="0" borderId="14" xfId="184" applyNumberFormat="1" applyFont="1" applyBorder="1" applyAlignment="1">
      <alignment horizontal="right" vertical="center"/>
    </xf>
    <xf numFmtId="43" fontId="49" fillId="0" borderId="14" xfId="184" applyNumberFormat="1" applyFont="1" applyBorder="1" applyAlignment="1">
      <alignment horizontal="right" vertical="center"/>
    </xf>
    <xf numFmtId="220" fontId="67" fillId="0" borderId="0" xfId="184" applyNumberFormat="1" applyFont="1" applyAlignment="1">
      <alignment vertical="center"/>
    </xf>
    <xf numFmtId="0" fontId="63" fillId="0" borderId="0" xfId="184" applyFont="1" applyAlignment="1">
      <alignment horizontal="right" vertical="center"/>
    </xf>
    <xf numFmtId="222" fontId="8" fillId="0" borderId="15" xfId="186" applyNumberFormat="1" applyFont="1" applyBorder="1" applyAlignment="1">
      <alignment horizontal="center" vertical="center"/>
    </xf>
    <xf numFmtId="222" fontId="8" fillId="0" borderId="14" xfId="186" applyNumberFormat="1" applyFont="1" applyBorder="1" applyAlignment="1">
      <alignment horizontal="center" vertical="center"/>
    </xf>
    <xf numFmtId="222" fontId="8" fillId="0" borderId="13" xfId="186" applyNumberFormat="1" applyFont="1" applyBorder="1" applyAlignment="1">
      <alignment horizontal="center" vertical="center"/>
    </xf>
    <xf numFmtId="0" fontId="8" fillId="0" borderId="0" xfId="184" applyAlignment="1">
      <alignment horizontal="right" vertical="center"/>
    </xf>
    <xf numFmtId="0" fontId="8" fillId="0" borderId="0" xfId="161" applyAlignment="1">
      <alignment horizontal="right" vertical="center"/>
    </xf>
    <xf numFmtId="221" fontId="49" fillId="0" borderId="17" xfId="186" applyFont="1" applyBorder="1" applyAlignment="1">
      <alignment horizontal="right" vertical="center"/>
    </xf>
    <xf numFmtId="221" fontId="49" fillId="0" borderId="50" xfId="186" applyFont="1" applyBorder="1" applyAlignment="1">
      <alignment horizontal="right" vertical="center"/>
    </xf>
    <xf numFmtId="193" fontId="49" fillId="0" borderId="17" xfId="186" applyNumberFormat="1" applyFont="1" applyBorder="1" applyAlignment="1">
      <alignment horizontal="right" vertical="center"/>
    </xf>
    <xf numFmtId="222" fontId="49" fillId="0" borderId="17" xfId="186" applyNumberFormat="1" applyFont="1" applyBorder="1" applyAlignment="1">
      <alignment horizontal="right" vertical="center"/>
    </xf>
    <xf numFmtId="222" fontId="49" fillId="0" borderId="16" xfId="186" applyNumberFormat="1" applyFont="1" applyBorder="1" applyAlignment="1">
      <alignment horizontal="right" vertical="center"/>
    </xf>
    <xf numFmtId="221" fontId="49" fillId="0" borderId="16" xfId="186" applyFont="1" applyBorder="1" applyAlignment="1">
      <alignment horizontal="right" vertical="center"/>
    </xf>
    <xf numFmtId="0" fontId="8" fillId="0" borderId="24" xfId="161" applyBorder="1" applyAlignment="1">
      <alignment horizontal="right" vertical="center"/>
    </xf>
    <xf numFmtId="193" fontId="49" fillId="0" borderId="14" xfId="186" applyNumberFormat="1" applyFont="1" applyBorder="1" applyAlignment="1">
      <alignment horizontal="right" vertical="center"/>
    </xf>
    <xf numFmtId="222" fontId="49" fillId="0" borderId="14" xfId="186" applyNumberFormat="1" applyFont="1" applyBorder="1" applyAlignment="1">
      <alignment horizontal="right" vertical="center"/>
    </xf>
    <xf numFmtId="222" fontId="49" fillId="0" borderId="13" xfId="186" applyNumberFormat="1" applyFont="1" applyBorder="1" applyAlignment="1">
      <alignment horizontal="right" vertical="center"/>
    </xf>
    <xf numFmtId="0" fontId="67" fillId="0" borderId="0" xfId="184" applyFont="1" applyAlignment="1">
      <alignment horizontal="left" vertical="center"/>
    </xf>
    <xf numFmtId="0" fontId="131" fillId="0" borderId="0" xfId="184" applyFont="1" applyAlignment="1">
      <alignment horizontal="right" vertical="center"/>
    </xf>
    <xf numFmtId="221" fontId="8" fillId="0" borderId="0" xfId="184" applyNumberFormat="1" applyAlignment="1">
      <alignment horizontal="right" vertical="center"/>
    </xf>
    <xf numFmtId="0" fontId="8" fillId="0" borderId="0" xfId="161" quotePrefix="1" applyAlignment="1">
      <alignment horizontal="right" vertical="center"/>
    </xf>
    <xf numFmtId="0" fontId="8" fillId="0" borderId="0" xfId="184"/>
    <xf numFmtId="0" fontId="63" fillId="0" borderId="0" xfId="184" applyFont="1"/>
    <xf numFmtId="0" fontId="63" fillId="0" borderId="24" xfId="184" applyFont="1" applyBorder="1" applyAlignment="1">
      <alignment horizontal="center" vertical="center"/>
    </xf>
    <xf numFmtId="0" fontId="63" fillId="0" borderId="24" xfId="184" applyFont="1" applyBorder="1" applyAlignment="1">
      <alignment horizontal="centerContinuous" vertical="center"/>
    </xf>
    <xf numFmtId="0" fontId="8" fillId="0" borderId="47" xfId="184" applyBorder="1" applyAlignment="1">
      <alignment horizontal="center" vertical="distributed" textRotation="255" wrapText="1"/>
    </xf>
    <xf numFmtId="0" fontId="8" fillId="0" borderId="50" xfId="184" applyBorder="1" applyAlignment="1">
      <alignment horizontal="center" vertical="distributed"/>
    </xf>
    <xf numFmtId="0" fontId="8" fillId="0" borderId="47" xfId="184" applyBorder="1" applyAlignment="1">
      <alignment horizontal="center" vertical="distributed"/>
    </xf>
    <xf numFmtId="0" fontId="8" fillId="0" borderId="48" xfId="184" applyBorder="1"/>
    <xf numFmtId="0" fontId="8" fillId="0" borderId="18" xfId="184" applyBorder="1" applyAlignment="1">
      <alignment horizontal="center" vertical="distributed" textRotation="255" wrapText="1"/>
    </xf>
    <xf numFmtId="0" fontId="8" fillId="0" borderId="16" xfId="184" applyBorder="1" applyAlignment="1">
      <alignment horizontal="center" vertical="center"/>
    </xf>
    <xf numFmtId="0" fontId="8" fillId="0" borderId="18" xfId="184" applyBorder="1" applyAlignment="1">
      <alignment horizontal="center" vertical="center"/>
    </xf>
    <xf numFmtId="0" fontId="8" fillId="0" borderId="16" xfId="184" applyBorder="1" applyAlignment="1">
      <alignment horizontal="center" vertical="distributed"/>
    </xf>
    <xf numFmtId="0" fontId="8" fillId="0" borderId="18" xfId="184" applyBorder="1" applyAlignment="1">
      <alignment horizontal="center" vertical="distributed"/>
    </xf>
    <xf numFmtId="0" fontId="8" fillId="0" borderId="24" xfId="184" applyBorder="1" applyAlignment="1">
      <alignment horizontal="center" vertical="distributed" textRotation="255" wrapText="1"/>
    </xf>
    <xf numFmtId="0" fontId="8" fillId="0" borderId="24" xfId="184" applyBorder="1" applyAlignment="1">
      <alignment horizontal="center" vertical="distributed"/>
    </xf>
    <xf numFmtId="0" fontId="8" fillId="0" borderId="15" xfId="184" applyBorder="1" applyAlignment="1">
      <alignment horizontal="center" vertical="distributed"/>
    </xf>
    <xf numFmtId="0" fontId="8" fillId="0" borderId="14" xfId="184" applyBorder="1" applyAlignment="1">
      <alignment horizontal="center" vertical="distributed" textRotation="255" wrapText="1"/>
    </xf>
    <xf numFmtId="193" fontId="49" fillId="0" borderId="16" xfId="186" applyNumberFormat="1" applyFont="1" applyBorder="1" applyAlignment="1">
      <alignment horizontal="right" vertical="center"/>
    </xf>
    <xf numFmtId="221" fontId="49" fillId="0" borderId="13" xfId="186" applyFont="1" applyBorder="1" applyAlignment="1">
      <alignment horizontal="right" vertical="center"/>
    </xf>
    <xf numFmtId="193" fontId="49" fillId="0" borderId="13" xfId="186" applyNumberFormat="1" applyFont="1" applyBorder="1" applyAlignment="1">
      <alignment horizontal="right" vertical="center"/>
    </xf>
    <xf numFmtId="0" fontId="67" fillId="0" borderId="0" xfId="184" applyFont="1" applyAlignment="1">
      <alignment horizontal="left"/>
    </xf>
    <xf numFmtId="0" fontId="131" fillId="0" borderId="0" xfId="184" applyFont="1" applyAlignment="1">
      <alignment horizontal="center"/>
    </xf>
    <xf numFmtId="0" fontId="131" fillId="0" borderId="0" xfId="184" applyFont="1"/>
    <xf numFmtId="43" fontId="8" fillId="0" borderId="0" xfId="184" applyNumberFormat="1"/>
    <xf numFmtId="0" fontId="8" fillId="0" borderId="0" xfId="184" applyAlignment="1">
      <alignment horizontal="center"/>
    </xf>
    <xf numFmtId="0" fontId="63" fillId="0" borderId="0" xfId="184" applyFont="1" applyAlignment="1">
      <alignment vertical="center" wrapText="1"/>
    </xf>
    <xf numFmtId="0" fontId="49" fillId="0" borderId="0" xfId="184" applyFont="1" applyAlignment="1">
      <alignment horizontal="center" vertical="center" wrapText="1"/>
    </xf>
    <xf numFmtId="0" fontId="8" fillId="0" borderId="54" xfId="184" applyBorder="1" applyAlignment="1">
      <alignment horizontal="center" vertical="center" wrapText="1"/>
    </xf>
    <xf numFmtId="0" fontId="8" fillId="0" borderId="48" xfId="184" applyBorder="1" applyAlignment="1">
      <alignment horizontal="center" vertical="center" wrapText="1"/>
    </xf>
    <xf numFmtId="179" fontId="8" fillId="0" borderId="47" xfId="184" applyNumberFormat="1" applyBorder="1" applyAlignment="1">
      <alignment horizontal="center" vertical="center" wrapText="1"/>
    </xf>
    <xf numFmtId="41" fontId="49" fillId="0" borderId="50" xfId="188" applyNumberFormat="1" applyFont="1" applyBorder="1" applyAlignment="1">
      <alignment horizontal="right" vertical="center" wrapText="1"/>
    </xf>
    <xf numFmtId="179" fontId="49" fillId="0" borderId="54" xfId="188" applyNumberFormat="1" applyFont="1" applyBorder="1" applyAlignment="1">
      <alignment horizontal="right" vertical="center"/>
    </xf>
    <xf numFmtId="179" fontId="49" fillId="0" borderId="50" xfId="188" applyNumberFormat="1" applyFont="1" applyBorder="1" applyAlignment="1">
      <alignment horizontal="right" vertical="center"/>
    </xf>
    <xf numFmtId="0" fontId="49" fillId="0" borderId="0" xfId="184" applyFont="1" applyAlignment="1">
      <alignment horizontal="left" vertical="center" wrapText="1"/>
    </xf>
    <xf numFmtId="179" fontId="8" fillId="0" borderId="18" xfId="184" applyNumberFormat="1" applyBorder="1" applyAlignment="1">
      <alignment horizontal="center" vertical="center" wrapText="1"/>
    </xf>
    <xf numFmtId="41" fontId="49" fillId="0" borderId="16" xfId="188" applyNumberFormat="1" applyFont="1" applyBorder="1" applyAlignment="1">
      <alignment horizontal="right" vertical="center" wrapText="1"/>
    </xf>
    <xf numFmtId="179" fontId="49" fillId="0" borderId="17" xfId="188" applyNumberFormat="1" applyFont="1" applyBorder="1" applyAlignment="1">
      <alignment horizontal="right" vertical="center"/>
    </xf>
    <xf numFmtId="179" fontId="49" fillId="0" borderId="16" xfId="188" applyNumberFormat="1" applyFont="1" applyBorder="1" applyAlignment="1">
      <alignment horizontal="right" vertical="center"/>
    </xf>
    <xf numFmtId="179" fontId="8" fillId="0" borderId="15" xfId="184" applyNumberFormat="1" applyBorder="1" applyAlignment="1">
      <alignment horizontal="center" vertical="center" wrapText="1"/>
    </xf>
    <xf numFmtId="41" fontId="49" fillId="0" borderId="13" xfId="188" applyNumberFormat="1" applyFont="1" applyBorder="1" applyAlignment="1">
      <alignment horizontal="right" vertical="center" wrapText="1"/>
    </xf>
    <xf numFmtId="179" fontId="49" fillId="0" borderId="14" xfId="188" applyNumberFormat="1" applyFont="1" applyBorder="1" applyAlignment="1">
      <alignment horizontal="right" vertical="center"/>
    </xf>
    <xf numFmtId="179" fontId="49" fillId="0" borderId="13" xfId="188" applyNumberFormat="1" applyFont="1" applyBorder="1" applyAlignment="1">
      <alignment horizontal="right" vertical="center"/>
    </xf>
    <xf numFmtId="0" fontId="67" fillId="0" borderId="0" xfId="184" applyFont="1"/>
    <xf numFmtId="0" fontId="49" fillId="0" borderId="0" xfId="184" applyFont="1" applyAlignment="1">
      <alignment vertical="center" wrapText="1"/>
    </xf>
    <xf numFmtId="0" fontId="63" fillId="0" borderId="0" xfId="184" applyFont="1" applyAlignment="1">
      <alignment horizontal="centerContinuous" vertical="top"/>
    </xf>
    <xf numFmtId="0" fontId="8" fillId="0" borderId="48" xfId="189" applyBorder="1" applyAlignment="1">
      <alignment horizontal="center" vertical="center"/>
    </xf>
    <xf numFmtId="0" fontId="8" fillId="0" borderId="0" xfId="189"/>
    <xf numFmtId="0" fontId="8" fillId="0" borderId="24" xfId="189" applyBorder="1" applyAlignment="1">
      <alignment horizontal="center" vertical="center"/>
    </xf>
    <xf numFmtId="0" fontId="8" fillId="0" borderId="49" xfId="189" applyBorder="1" applyAlignment="1">
      <alignment horizontal="center" vertical="center"/>
    </xf>
    <xf numFmtId="0" fontId="8" fillId="0" borderId="65" xfId="189" applyBorder="1" applyAlignment="1">
      <alignment horizontal="center" vertical="center"/>
    </xf>
    <xf numFmtId="0" fontId="8" fillId="0" borderId="46" xfId="189" applyBorder="1" applyAlignment="1">
      <alignment horizontal="center" vertical="center"/>
    </xf>
    <xf numFmtId="41" fontId="148" fillId="0" borderId="48" xfId="191" applyNumberFormat="1" applyFont="1" applyBorder="1" applyAlignment="1">
      <alignment horizontal="left" vertical="center"/>
    </xf>
    <xf numFmtId="41" fontId="49" fillId="0" borderId="50" xfId="190" applyNumberFormat="1" applyFont="1" applyBorder="1" applyAlignment="1">
      <alignment horizontal="center" vertical="center" wrapText="1"/>
    </xf>
    <xf numFmtId="41" fontId="49" fillId="0" borderId="48" xfId="190" applyNumberFormat="1" applyFont="1" applyBorder="1" applyAlignment="1">
      <alignment horizontal="center" vertical="center" wrapText="1"/>
    </xf>
    <xf numFmtId="41" fontId="148" fillId="0" borderId="0" xfId="192" applyNumberFormat="1" applyFont="1" applyBorder="1" applyAlignment="1">
      <alignment horizontal="right" vertical="center"/>
    </xf>
    <xf numFmtId="41" fontId="148" fillId="0" borderId="0" xfId="192" applyNumberFormat="1" applyFont="1" applyBorder="1" applyAlignment="1">
      <alignment horizontal="center" vertical="center"/>
    </xf>
    <xf numFmtId="41" fontId="49" fillId="0" borderId="16" xfId="190" applyNumberFormat="1" applyFont="1" applyBorder="1" applyAlignment="1">
      <alignment horizontal="center" vertical="center" wrapText="1"/>
    </xf>
    <xf numFmtId="41" fontId="49" fillId="0" borderId="0" xfId="190" applyNumberFormat="1" applyFont="1" applyAlignment="1">
      <alignment horizontal="center" vertical="center" wrapText="1"/>
    </xf>
    <xf numFmtId="41" fontId="49" fillId="0" borderId="18" xfId="190" applyNumberFormat="1" applyFont="1" applyBorder="1" applyAlignment="1">
      <alignment horizontal="center" vertical="center" wrapText="1"/>
    </xf>
    <xf numFmtId="0" fontId="148" fillId="0" borderId="0" xfId="189" applyFont="1" applyBorder="1" applyAlignment="1">
      <alignment horizontal="right"/>
    </xf>
    <xf numFmtId="41" fontId="148" fillId="0" borderId="18" xfId="192" applyNumberFormat="1" applyFont="1" applyBorder="1" applyAlignment="1">
      <alignment horizontal="right" vertical="center"/>
    </xf>
    <xf numFmtId="0" fontId="148" fillId="0" borderId="0" xfId="190" applyFont="1" applyBorder="1" applyAlignment="1">
      <alignment horizontal="right"/>
    </xf>
    <xf numFmtId="0" fontId="8" fillId="0" borderId="0" xfId="190" applyFont="1"/>
    <xf numFmtId="178" fontId="148" fillId="0" borderId="0" xfId="51" applyNumberFormat="1" applyFont="1" applyBorder="1" applyAlignment="1">
      <alignment horizontal="right"/>
    </xf>
    <xf numFmtId="178" fontId="8" fillId="0" borderId="0" xfId="51" applyNumberFormat="1" applyFont="1" applyAlignment="1"/>
    <xf numFmtId="41" fontId="49" fillId="0" borderId="18" xfId="190" applyNumberFormat="1" applyFont="1" applyBorder="1" applyAlignment="1">
      <alignment horizontal="right" vertical="center"/>
    </xf>
    <xf numFmtId="41" fontId="49" fillId="0" borderId="0" xfId="190" applyNumberFormat="1" applyFont="1" applyAlignment="1">
      <alignment horizontal="right" vertical="center"/>
    </xf>
    <xf numFmtId="41" fontId="49" fillId="0" borderId="16" xfId="190" applyNumberFormat="1" applyFont="1" applyBorder="1" applyAlignment="1">
      <alignment horizontal="right" vertical="center"/>
    </xf>
    <xf numFmtId="41" fontId="148" fillId="0" borderId="18" xfId="193" applyNumberFormat="1" applyFont="1" applyBorder="1" applyAlignment="1">
      <alignment horizontal="right" vertical="center"/>
    </xf>
    <xf numFmtId="41" fontId="148" fillId="0" borderId="0" xfId="192" applyNumberFormat="1" applyFont="1" applyBorder="1" applyAlignment="1">
      <alignment horizontal="right"/>
    </xf>
    <xf numFmtId="41" fontId="148" fillId="0" borderId="0" xfId="192" applyNumberFormat="1" applyFont="1" applyBorder="1" applyAlignment="1">
      <alignment horizontal="center"/>
    </xf>
    <xf numFmtId="41" fontId="148" fillId="0" borderId="24" xfId="192" applyNumberFormat="1" applyFont="1" applyBorder="1" applyAlignment="1">
      <alignment horizontal="right"/>
    </xf>
    <xf numFmtId="41" fontId="148" fillId="0" borderId="24" xfId="192" applyNumberFormat="1" applyFont="1" applyBorder="1" applyAlignment="1">
      <alignment horizontal="center"/>
    </xf>
    <xf numFmtId="41" fontId="49" fillId="0" borderId="13" xfId="190" applyNumberFormat="1" applyFont="1" applyBorder="1" applyAlignment="1">
      <alignment horizontal="center" vertical="center" wrapText="1"/>
    </xf>
    <xf numFmtId="41" fontId="49" fillId="0" borderId="24" xfId="190" applyNumberFormat="1" applyFont="1" applyBorder="1" applyAlignment="1">
      <alignment horizontal="center" vertical="center" wrapText="1"/>
    </xf>
    <xf numFmtId="41" fontId="49" fillId="0" borderId="15" xfId="190" applyNumberFormat="1" applyFont="1" applyBorder="1" applyAlignment="1">
      <alignment horizontal="center" vertical="center" wrapText="1"/>
    </xf>
    <xf numFmtId="0" fontId="49" fillId="0" borderId="0" xfId="194" applyFont="1" applyAlignment="1">
      <alignment horizontal="left" vertical="center"/>
    </xf>
    <xf numFmtId="186" fontId="49" fillId="0" borderId="0" xfId="190" applyNumberFormat="1" applyFont="1" applyAlignment="1">
      <alignment horizontal="right" vertical="center" wrapText="1"/>
    </xf>
    <xf numFmtId="0" fontId="49" fillId="0" borderId="0" xfId="190" applyFont="1"/>
    <xf numFmtId="0" fontId="49" fillId="0" borderId="0" xfId="195" applyFont="1" applyAlignment="1">
      <alignment horizontal="left" vertical="center"/>
    </xf>
    <xf numFmtId="0" fontId="49" fillId="0" borderId="0" xfId="195" applyFont="1" applyAlignment="1">
      <alignment horizontal="center" vertical="center"/>
    </xf>
    <xf numFmtId="0" fontId="49" fillId="0" borderId="0" xfId="195" applyFont="1" applyAlignment="1">
      <alignment horizontal="left" vertical="center" wrapText="1"/>
    </xf>
    <xf numFmtId="223" fontId="8" fillId="0" borderId="0" xfId="190" applyNumberFormat="1" applyFont="1"/>
    <xf numFmtId="0" fontId="8" fillId="0" borderId="45" xfId="184" applyBorder="1" applyAlignment="1">
      <alignment horizontal="center" vertical="center"/>
    </xf>
    <xf numFmtId="0" fontId="8" fillId="0" borderId="0" xfId="184" quotePrefix="1" applyAlignment="1">
      <alignment horizontal="center" vertical="center"/>
    </xf>
    <xf numFmtId="224" fontId="49" fillId="0" borderId="16" xfId="186" applyNumberFormat="1" applyFont="1" applyBorder="1" applyAlignment="1">
      <alignment horizontal="right" vertical="center"/>
    </xf>
    <xf numFmtId="224" fontId="49" fillId="0" borderId="17" xfId="186" applyNumberFormat="1" applyFont="1" applyBorder="1" applyAlignment="1">
      <alignment horizontal="right" vertical="center"/>
    </xf>
    <xf numFmtId="224" fontId="49" fillId="0" borderId="50" xfId="186" applyNumberFormat="1" applyFont="1" applyBorder="1" applyAlignment="1">
      <alignment horizontal="right" vertical="center"/>
    </xf>
    <xf numFmtId="0" fontId="8" fillId="0" borderId="0" xfId="184" applyBorder="1" applyAlignment="1">
      <alignment horizontal="center" vertical="center"/>
    </xf>
    <xf numFmtId="221" fontId="8" fillId="0" borderId="16" xfId="186" applyFont="1" applyBorder="1" applyAlignment="1">
      <alignment horizontal="right" vertical="center"/>
    </xf>
    <xf numFmtId="224" fontId="8" fillId="0" borderId="18" xfId="186" applyNumberFormat="1" applyFont="1" applyBorder="1" applyAlignment="1">
      <alignment horizontal="right" vertical="center"/>
    </xf>
    <xf numFmtId="221" fontId="8" fillId="0" borderId="16" xfId="186" applyFont="1" applyBorder="1" applyAlignment="1">
      <alignment vertical="center"/>
    </xf>
    <xf numFmtId="224" fontId="8" fillId="0" borderId="18" xfId="186" applyNumberFormat="1" applyFont="1" applyBorder="1" applyAlignment="1">
      <alignment vertical="center"/>
    </xf>
    <xf numFmtId="221" fontId="8" fillId="0" borderId="17" xfId="186" applyFont="1" applyBorder="1" applyAlignment="1">
      <alignment vertical="center"/>
    </xf>
    <xf numFmtId="224" fontId="8" fillId="0" borderId="17" xfId="186" applyNumberFormat="1" applyFont="1" applyBorder="1" applyAlignment="1">
      <alignment vertical="center"/>
    </xf>
    <xf numFmtId="224" fontId="8" fillId="0" borderId="84" xfId="186" applyNumberFormat="1" applyFont="1" applyBorder="1" applyAlignment="1">
      <alignment vertical="center"/>
    </xf>
    <xf numFmtId="0" fontId="8" fillId="0" borderId="15" xfId="184" quotePrefix="1" applyBorder="1" applyAlignment="1">
      <alignment horizontal="center" vertical="center"/>
    </xf>
    <xf numFmtId="221" fontId="49" fillId="0" borderId="14" xfId="186" applyFont="1" applyBorder="1" applyAlignment="1">
      <alignment horizontal="right" vertical="center"/>
    </xf>
    <xf numFmtId="224" fontId="49" fillId="0" borderId="13" xfId="186" applyNumberFormat="1" applyFont="1" applyBorder="1" applyAlignment="1">
      <alignment horizontal="right" vertical="center"/>
    </xf>
    <xf numFmtId="224" fontId="49" fillId="0" borderId="14" xfId="186" applyNumberFormat="1" applyFont="1" applyBorder="1" applyAlignment="1">
      <alignment horizontal="right" vertical="center"/>
    </xf>
    <xf numFmtId="224" fontId="8" fillId="0" borderId="0" xfId="186" applyNumberFormat="1" applyFont="1" applyBorder="1" applyAlignment="1">
      <alignment vertical="center"/>
    </xf>
    <xf numFmtId="0" fontId="84" fillId="0" borderId="0" xfId="182" applyFont="1" applyAlignment="1">
      <alignment horizontal="right" vertical="center"/>
    </xf>
    <xf numFmtId="0" fontId="8" fillId="0" borderId="0" xfId="182" applyFont="1" applyAlignment="1">
      <alignment horizontal="right" vertical="center"/>
    </xf>
    <xf numFmtId="0" fontId="84" fillId="0" borderId="0" xfId="182" applyFont="1" applyAlignment="1">
      <alignment horizontal="right"/>
    </xf>
    <xf numFmtId="0" fontId="8" fillId="0" borderId="48" xfId="182" applyFont="1" applyBorder="1" applyAlignment="1">
      <alignment horizontal="center" vertical="center"/>
    </xf>
    <xf numFmtId="0" fontId="8" fillId="0" borderId="54" xfId="182" applyFont="1" applyBorder="1" applyAlignment="1">
      <alignment horizontal="center" vertical="distributed" wrapText="1"/>
    </xf>
    <xf numFmtId="0" fontId="8" fillId="0" borderId="45" xfId="182" applyFont="1" applyBorder="1" applyAlignment="1">
      <alignment horizontal="center" vertical="center"/>
    </xf>
    <xf numFmtId="0" fontId="8" fillId="0" borderId="45" xfId="182" applyFont="1" applyBorder="1" applyAlignment="1">
      <alignment horizontal="center" vertical="distributed" wrapText="1"/>
    </xf>
    <xf numFmtId="0" fontId="8" fillId="0" borderId="54" xfId="182" applyFont="1" applyBorder="1" applyAlignment="1">
      <alignment horizontal="center" vertical="center"/>
    </xf>
    <xf numFmtId="0" fontId="8" fillId="0" borderId="17" xfId="182" applyFont="1" applyBorder="1" applyAlignment="1">
      <alignment horizontal="center" vertical="distributed" wrapText="1"/>
    </xf>
    <xf numFmtId="0" fontId="8" fillId="0" borderId="17" xfId="182" applyFont="1" applyBorder="1" applyAlignment="1">
      <alignment horizontal="center" vertical="center"/>
    </xf>
    <xf numFmtId="0" fontId="8" fillId="0" borderId="24" xfId="182" applyFont="1" applyBorder="1" applyAlignment="1">
      <alignment horizontal="center" vertical="center"/>
    </xf>
    <xf numFmtId="0" fontId="8" fillId="0" borderId="14" xfId="182" applyFont="1" applyBorder="1" applyAlignment="1">
      <alignment horizontal="center" vertical="distributed" wrapText="1"/>
    </xf>
    <xf numFmtId="0" fontId="8" fillId="0" borderId="14" xfId="182" applyFont="1" applyBorder="1" applyAlignment="1">
      <alignment horizontal="center" vertical="center"/>
    </xf>
    <xf numFmtId="218" fontId="8" fillId="0" borderId="47" xfId="182" quotePrefix="1" applyNumberFormat="1" applyFont="1" applyBorder="1" applyAlignment="1">
      <alignment horizontal="right" vertical="center" indent="2"/>
    </xf>
    <xf numFmtId="225" fontId="46" fillId="0" borderId="48" xfId="182" applyNumberFormat="1" applyFont="1" applyBorder="1" applyAlignment="1">
      <alignment horizontal="right" vertical="center"/>
    </xf>
    <xf numFmtId="225" fontId="49" fillId="0" borderId="48" xfId="182" applyNumberFormat="1" applyFont="1" applyBorder="1" applyAlignment="1">
      <alignment horizontal="right" vertical="center"/>
    </xf>
    <xf numFmtId="218" fontId="8" fillId="0" borderId="18" xfId="182" quotePrefix="1" applyNumberFormat="1" applyFont="1" applyBorder="1" applyAlignment="1">
      <alignment horizontal="right" vertical="center" indent="2"/>
    </xf>
    <xf numFmtId="225" fontId="46" fillId="0" borderId="0" xfId="182" applyNumberFormat="1" applyFont="1" applyAlignment="1">
      <alignment horizontal="right" vertical="center"/>
    </xf>
    <xf numFmtId="225" fontId="49" fillId="0" borderId="0" xfId="182" applyNumberFormat="1" applyFont="1" applyAlignment="1">
      <alignment horizontal="right" vertical="center"/>
    </xf>
    <xf numFmtId="218" fontId="8" fillId="0" borderId="18" xfId="182" quotePrefix="1" applyNumberFormat="1" applyFont="1" applyBorder="1" applyAlignment="1">
      <alignment horizontal="center" vertical="center"/>
    </xf>
    <xf numFmtId="225" fontId="49" fillId="0" borderId="24" xfId="182" applyNumberFormat="1" applyFont="1" applyBorder="1" applyAlignment="1">
      <alignment horizontal="right" vertical="center"/>
    </xf>
    <xf numFmtId="226" fontId="8" fillId="0" borderId="18" xfId="182" quotePrefix="1" applyNumberFormat="1" applyFont="1" applyBorder="1" applyAlignment="1">
      <alignment horizontal="right" vertical="center" indent="1"/>
    </xf>
    <xf numFmtId="226" fontId="8" fillId="0" borderId="18" xfId="182" quotePrefix="1" applyNumberFormat="1" applyFont="1" applyBorder="1" applyAlignment="1">
      <alignment horizontal="center" vertical="center"/>
    </xf>
    <xf numFmtId="226" fontId="8" fillId="0" borderId="15" xfId="182" quotePrefix="1" applyNumberFormat="1" applyFont="1" applyBorder="1" applyAlignment="1">
      <alignment horizontal="center" vertical="center"/>
    </xf>
    <xf numFmtId="225" fontId="46" fillId="0" borderId="13" xfId="182" applyNumberFormat="1" applyFont="1" applyBorder="1" applyAlignment="1">
      <alignment horizontal="right" vertical="center"/>
    </xf>
    <xf numFmtId="49" fontId="67" fillId="0" borderId="0" xfId="182" applyNumberFormat="1" applyFont="1" applyAlignment="1">
      <alignment horizontal="left" vertical="center"/>
    </xf>
    <xf numFmtId="0" fontId="67" fillId="0" borderId="0" xfId="182" applyFont="1" applyAlignment="1">
      <alignment horizontal="centerContinuous" vertical="center"/>
    </xf>
    <xf numFmtId="0" fontId="67" fillId="0" borderId="0" xfId="182" applyFont="1" applyAlignment="1">
      <alignment vertical="center"/>
    </xf>
    <xf numFmtId="0" fontId="84" fillId="0" borderId="0" xfId="184" applyFont="1" applyAlignment="1">
      <alignment horizontal="center" vertical="top"/>
    </xf>
    <xf numFmtId="0" fontId="49" fillId="0" borderId="0" xfId="184" applyFont="1" applyAlignment="1">
      <alignment horizontal="right"/>
    </xf>
    <xf numFmtId="0" fontId="8" fillId="0" borderId="48" xfId="196" applyFont="1" applyBorder="1" applyAlignment="1">
      <alignment horizontal="center" vertical="distributed" textRotation="255"/>
    </xf>
    <xf numFmtId="0" fontId="8" fillId="0" borderId="47" xfId="196" applyFont="1" applyBorder="1" applyAlignment="1">
      <alignment horizontal="center" vertical="distributed" textRotation="255"/>
    </xf>
    <xf numFmtId="0" fontId="8" fillId="0" borderId="0" xfId="196" applyFont="1" applyAlignment="1">
      <alignment horizontal="center" vertical="center"/>
    </xf>
    <xf numFmtId="0" fontId="8" fillId="0" borderId="45" xfId="196" applyFont="1" applyBorder="1" applyAlignment="1">
      <alignment vertical="distributed" textRotation="255" wrapText="1"/>
    </xf>
    <xf numFmtId="0" fontId="8" fillId="0" borderId="49" xfId="196" applyFont="1" applyBorder="1" applyAlignment="1">
      <alignment vertical="distributed" textRotation="255" wrapText="1"/>
    </xf>
    <xf numFmtId="0" fontId="49" fillId="0" borderId="24" xfId="196" applyFont="1" applyBorder="1" applyAlignment="1">
      <alignment vertical="distributed" textRotation="255" wrapText="1"/>
    </xf>
    <xf numFmtId="0" fontId="8" fillId="0" borderId="0" xfId="196" applyFont="1" applyAlignment="1">
      <alignment vertical="distributed" textRotation="255" wrapText="1"/>
    </xf>
    <xf numFmtId="0" fontId="8" fillId="0" borderId="0" xfId="196" applyFont="1" applyAlignment="1">
      <alignment horizontal="center" vertical="distributed" textRotation="255"/>
    </xf>
    <xf numFmtId="0" fontId="141" fillId="0" borderId="54" xfId="196" applyFont="1" applyBorder="1" applyAlignment="1">
      <alignment vertical="distributed" textRotation="255" wrapText="1"/>
    </xf>
    <xf numFmtId="0" fontId="8" fillId="0" borderId="54" xfId="196" applyFont="1" applyBorder="1" applyAlignment="1">
      <alignment vertical="distributed" textRotation="255" wrapText="1"/>
    </xf>
    <xf numFmtId="0" fontId="67" fillId="0" borderId="54" xfId="196" applyFont="1" applyBorder="1" applyAlignment="1">
      <alignment vertical="distributed" textRotation="255" wrapText="1"/>
    </xf>
    <xf numFmtId="227" fontId="149" fillId="0" borderId="15" xfId="196" applyNumberFormat="1" applyFont="1" applyBorder="1" applyAlignment="1">
      <alignment horizontal="center" vertical="top" wrapText="1"/>
    </xf>
    <xf numFmtId="227" fontId="149" fillId="0" borderId="14" xfId="196" applyNumberFormat="1" applyFont="1" applyBorder="1" applyAlignment="1">
      <alignment horizontal="center" vertical="top" wrapText="1"/>
    </xf>
    <xf numFmtId="0" fontId="149" fillId="0" borderId="14" xfId="196" applyFont="1" applyBorder="1" applyAlignment="1">
      <alignment horizontal="center" vertical="top" wrapText="1"/>
    </xf>
    <xf numFmtId="227" fontId="149" fillId="0" borderId="13" xfId="196" applyNumberFormat="1" applyFont="1" applyBorder="1" applyAlignment="1">
      <alignment horizontal="center" vertical="top" wrapText="1"/>
    </xf>
    <xf numFmtId="221" fontId="49" fillId="0" borderId="17" xfId="186" applyFont="1" applyBorder="1" applyAlignment="1">
      <alignment vertical="center"/>
    </xf>
    <xf numFmtId="193" fontId="49" fillId="0" borderId="17" xfId="186" applyNumberFormat="1" applyFont="1" applyBorder="1" applyAlignment="1">
      <alignment vertical="center"/>
    </xf>
    <xf numFmtId="225" fontId="49" fillId="0" borderId="16" xfId="196" applyNumberFormat="1" applyFont="1" applyBorder="1" applyAlignment="1">
      <alignment horizontal="right" vertical="center"/>
    </xf>
    <xf numFmtId="0" fontId="8" fillId="0" borderId="24" xfId="184" quotePrefix="1" applyBorder="1" applyAlignment="1">
      <alignment horizontal="center" vertical="center"/>
    </xf>
    <xf numFmtId="221" fontId="49" fillId="0" borderId="14" xfId="186" applyFont="1" applyBorder="1" applyAlignment="1">
      <alignment vertical="center"/>
    </xf>
    <xf numFmtId="193" fontId="49" fillId="0" borderId="14" xfId="186" applyNumberFormat="1" applyFont="1" applyBorder="1" applyAlignment="1">
      <alignment vertical="center"/>
    </xf>
    <xf numFmtId="225" fontId="49" fillId="0" borderId="13" xfId="196" applyNumberFormat="1" applyFont="1" applyBorder="1" applyAlignment="1">
      <alignment horizontal="right" vertical="center"/>
    </xf>
    <xf numFmtId="221" fontId="8" fillId="0" borderId="0" xfId="186" applyFont="1" applyBorder="1" applyAlignment="1">
      <alignment vertical="center"/>
    </xf>
    <xf numFmtId="193" fontId="8" fillId="0" borderId="0" xfId="186" applyNumberFormat="1" applyFont="1" applyBorder="1" applyAlignment="1">
      <alignment vertical="center"/>
    </xf>
    <xf numFmtId="0" fontId="7" fillId="0" borderId="46" xfId="184" applyFont="1" applyBorder="1" applyAlignment="1">
      <alignment horizontal="center" vertical="center"/>
    </xf>
    <xf numFmtId="0" fontId="7" fillId="0" borderId="65" xfId="184" applyFont="1" applyBorder="1" applyAlignment="1">
      <alignment horizontal="center" vertical="center"/>
    </xf>
    <xf numFmtId="0" fontId="7" fillId="0" borderId="45" xfId="184" applyFont="1" applyBorder="1" applyAlignment="1">
      <alignment horizontal="center" vertical="center"/>
    </xf>
    <xf numFmtId="228" fontId="49" fillId="0" borderId="16" xfId="197" applyNumberFormat="1" applyFont="1" applyBorder="1" applyAlignment="1">
      <alignment horizontal="center" vertical="center"/>
    </xf>
    <xf numFmtId="43" fontId="49" fillId="0" borderId="17" xfId="184" applyNumberFormat="1" applyFont="1" applyBorder="1" applyAlignment="1">
      <alignment vertical="center"/>
    </xf>
    <xf numFmtId="228" fontId="49" fillId="0" borderId="0" xfId="197" applyNumberFormat="1" applyFont="1" applyAlignment="1">
      <alignment vertical="center"/>
    </xf>
    <xf numFmtId="43" fontId="49" fillId="0" borderId="16" xfId="184" applyNumberFormat="1" applyFont="1" applyBorder="1" applyAlignment="1">
      <alignment vertical="center"/>
    </xf>
    <xf numFmtId="228" fontId="49" fillId="0" borderId="13" xfId="197" applyNumberFormat="1" applyFont="1" applyBorder="1" applyAlignment="1">
      <alignment horizontal="center" vertical="center"/>
    </xf>
    <xf numFmtId="43" fontId="49" fillId="0" borderId="14" xfId="184" applyNumberFormat="1" applyFont="1" applyBorder="1" applyAlignment="1">
      <alignment vertical="center"/>
    </xf>
    <xf numFmtId="228" fontId="49" fillId="0" borderId="24" xfId="197" applyNumberFormat="1" applyFont="1" applyBorder="1" applyAlignment="1">
      <alignment vertical="center"/>
    </xf>
    <xf numFmtId="43" fontId="49" fillId="0" borderId="13" xfId="184" applyNumberFormat="1" applyFont="1" applyBorder="1" applyAlignment="1">
      <alignment vertical="center"/>
    </xf>
    <xf numFmtId="0" fontId="67" fillId="0" borderId="0" xfId="197" applyFont="1" applyAlignment="1">
      <alignment vertical="center"/>
    </xf>
    <xf numFmtId="0" fontId="8" fillId="0" borderId="49" xfId="184" applyBorder="1" applyAlignment="1">
      <alignment horizontal="center" vertical="center"/>
    </xf>
    <xf numFmtId="0" fontId="8" fillId="0" borderId="0" xfId="184" applyAlignment="1">
      <alignment horizontal="distributed" vertical="center"/>
    </xf>
    <xf numFmtId="221" fontId="49" fillId="0" borderId="16" xfId="184" applyNumberFormat="1" applyFont="1" applyBorder="1" applyAlignment="1">
      <alignment horizontal="right" vertical="center"/>
    </xf>
    <xf numFmtId="193" fontId="49" fillId="0" borderId="16" xfId="184" applyNumberFormat="1" applyFont="1" applyBorder="1" applyAlignment="1">
      <alignment horizontal="right" vertical="center"/>
    </xf>
    <xf numFmtId="176" fontId="49" fillId="0" borderId="16" xfId="184" applyNumberFormat="1" applyFont="1" applyBorder="1" applyAlignment="1">
      <alignment horizontal="right" vertical="center"/>
    </xf>
    <xf numFmtId="0" fontId="8" fillId="0" borderId="0" xfId="184" applyAlignment="1">
      <alignment horizontal="distributed" vertical="center" wrapText="1"/>
    </xf>
    <xf numFmtId="0" fontId="8" fillId="0" borderId="15" xfId="184" applyBorder="1" applyAlignment="1">
      <alignment horizontal="distributed" vertical="center"/>
    </xf>
    <xf numFmtId="221" fontId="49" fillId="0" borderId="13" xfId="184" applyNumberFormat="1" applyFont="1" applyBorder="1" applyAlignment="1">
      <alignment horizontal="right" vertical="center"/>
    </xf>
    <xf numFmtId="176" fontId="49" fillId="0" borderId="13" xfId="184" applyNumberFormat="1" applyFont="1" applyBorder="1" applyAlignment="1">
      <alignment horizontal="right" vertical="center"/>
    </xf>
    <xf numFmtId="0" fontId="67" fillId="0" borderId="0" xfId="198" applyFont="1"/>
    <xf numFmtId="0" fontId="49" fillId="0" borderId="24" xfId="198" applyFont="1" applyBorder="1"/>
    <xf numFmtId="0" fontId="133" fillId="0" borderId="0" xfId="198" applyFont="1"/>
    <xf numFmtId="0" fontId="131" fillId="0" borderId="0" xfId="198" applyFont="1"/>
    <xf numFmtId="0" fontId="8" fillId="0" borderId="14" xfId="201" applyFont="1" applyBorder="1" applyAlignment="1">
      <alignment horizontal="center" vertical="distributed"/>
    </xf>
    <xf numFmtId="0" fontId="8" fillId="0" borderId="14" xfId="201" applyFont="1" applyBorder="1" applyAlignment="1">
      <alignment horizontal="center" vertical="distributed" textRotation="255"/>
    </xf>
    <xf numFmtId="0" fontId="8" fillId="0" borderId="14" xfId="201" applyFont="1" applyBorder="1" applyAlignment="1">
      <alignment horizontal="center" vertical="distributed" textRotation="255" wrapText="1"/>
    </xf>
    <xf numFmtId="0" fontId="8" fillId="0" borderId="46" xfId="201" applyFont="1" applyBorder="1" applyAlignment="1">
      <alignment horizontal="center" vertical="distributed" textRotation="255" wrapText="1"/>
    </xf>
    <xf numFmtId="0" fontId="8" fillId="0" borderId="0" xfId="200" quotePrefix="1" applyFont="1" applyAlignment="1">
      <alignment horizontal="left" vertical="center" shrinkToFit="1"/>
    </xf>
    <xf numFmtId="0" fontId="8" fillId="0" borderId="18" xfId="200" quotePrefix="1" applyFont="1" applyBorder="1" applyAlignment="1">
      <alignment horizontal="left" vertical="center" shrinkToFit="1"/>
    </xf>
    <xf numFmtId="41" fontId="49" fillId="0" borderId="0" xfId="200" applyNumberFormat="1" applyFont="1" applyAlignment="1">
      <alignment horizontal="right" vertical="center"/>
    </xf>
    <xf numFmtId="0" fontId="8" fillId="0" borderId="0" xfId="198" applyFont="1" applyAlignment="1">
      <alignment horizontal="right" vertical="center"/>
    </xf>
    <xf numFmtId="0" fontId="8" fillId="0" borderId="18" xfId="198" applyFont="1" applyBorder="1" applyAlignment="1">
      <alignment horizontal="right" vertical="center"/>
    </xf>
    <xf numFmtId="0" fontId="8" fillId="0" borderId="24" xfId="198" applyFont="1" applyBorder="1" applyAlignment="1">
      <alignment horizontal="right" vertical="center"/>
    </xf>
    <xf numFmtId="0" fontId="8" fillId="0" borderId="15" xfId="198" applyFont="1" applyBorder="1" applyAlignment="1">
      <alignment horizontal="right" vertical="center"/>
    </xf>
    <xf numFmtId="41" fontId="49" fillId="0" borderId="87" xfId="200" applyNumberFormat="1" applyFont="1" applyBorder="1" applyAlignment="1">
      <alignment horizontal="right" vertical="center"/>
    </xf>
    <xf numFmtId="41" fontId="49" fillId="0" borderId="88" xfId="200" applyNumberFormat="1" applyFont="1" applyBorder="1" applyAlignment="1">
      <alignment horizontal="right" vertical="center"/>
    </xf>
    <xf numFmtId="0" fontId="8" fillId="0" borderId="0" xfId="200" quotePrefix="1" applyFont="1" applyAlignment="1">
      <alignment horizontal="left" vertical="center"/>
    </xf>
    <xf numFmtId="41" fontId="49" fillId="0" borderId="89" xfId="200" applyNumberFormat="1" applyFont="1" applyBorder="1" applyAlignment="1">
      <alignment horizontal="right" vertical="center"/>
    </xf>
    <xf numFmtId="0" fontId="141" fillId="0" borderId="0" xfId="198" applyFont="1"/>
    <xf numFmtId="0" fontId="89" fillId="0" borderId="0" xfId="198" applyFont="1"/>
    <xf numFmtId="0" fontId="8" fillId="0" borderId="0" xfId="203"/>
    <xf numFmtId="0" fontId="8" fillId="0" borderId="46" xfId="203" applyBorder="1"/>
    <xf numFmtId="0" fontId="8" fillId="0" borderId="45" xfId="203" applyBorder="1" applyAlignment="1">
      <alignment horizontal="distributed" vertical="center"/>
    </xf>
    <xf numFmtId="0" fontId="8" fillId="0" borderId="46" xfId="203" applyBorder="1" applyAlignment="1">
      <alignment horizontal="distributed" vertical="distributed"/>
    </xf>
    <xf numFmtId="0" fontId="8" fillId="0" borderId="45" xfId="203" applyBorder="1" applyAlignment="1">
      <alignment horizontal="distributed" vertical="distributed"/>
    </xf>
    <xf numFmtId="0" fontId="8" fillId="0" borderId="46" xfId="203" applyBorder="1" applyAlignment="1">
      <alignment horizontal="center" vertical="justify" textRotation="255"/>
    </xf>
    <xf numFmtId="0" fontId="8" fillId="0" borderId="13" xfId="203" applyBorder="1" applyAlignment="1">
      <alignment horizontal="center" vertical="justify" textRotation="255"/>
    </xf>
    <xf numFmtId="186" fontId="8" fillId="0" borderId="49" xfId="204" applyNumberFormat="1" applyFont="1" applyBorder="1" applyAlignment="1">
      <alignment horizontal="center" vertical="center"/>
    </xf>
    <xf numFmtId="186" fontId="8" fillId="0" borderId="65" xfId="204" applyNumberFormat="1" applyFont="1" applyBorder="1" applyAlignment="1">
      <alignment horizontal="center" vertical="center"/>
    </xf>
    <xf numFmtId="186" fontId="8" fillId="0" borderId="46" xfId="204" applyNumberFormat="1" applyFont="1" applyBorder="1" applyAlignment="1">
      <alignment horizontal="center" vertical="center"/>
    </xf>
    <xf numFmtId="186" fontId="8" fillId="0" borderId="0" xfId="203" applyNumberFormat="1"/>
    <xf numFmtId="0" fontId="8" fillId="0" borderId="0" xfId="203" quotePrefix="1" applyAlignment="1">
      <alignment horizontal="center" vertical="center"/>
    </xf>
    <xf numFmtId="186" fontId="49" fillId="0" borderId="17" xfId="200" applyNumberFormat="1" applyFont="1" applyBorder="1">
      <alignment vertical="center"/>
    </xf>
    <xf numFmtId="200" fontId="49" fillId="0" borderId="17" xfId="200" applyNumberFormat="1" applyFont="1" applyBorder="1">
      <alignment vertical="center"/>
    </xf>
    <xf numFmtId="186" fontId="49" fillId="0" borderId="50" xfId="200" applyNumberFormat="1" applyFont="1" applyBorder="1">
      <alignment vertical="center"/>
    </xf>
    <xf numFmtId="186" fontId="8" fillId="0" borderId="0" xfId="204" applyNumberFormat="1" applyFont="1" applyBorder="1" applyAlignment="1">
      <alignment horizontal="right" vertical="center"/>
    </xf>
    <xf numFmtId="186" fontId="49" fillId="0" borderId="16" xfId="200" applyNumberFormat="1" applyFont="1" applyBorder="1">
      <alignment vertical="center"/>
    </xf>
    <xf numFmtId="186" fontId="49" fillId="0" borderId="17" xfId="200" applyNumberFormat="1" applyFont="1" applyBorder="1" applyAlignment="1">
      <alignment horizontal="right" vertical="center"/>
    </xf>
    <xf numFmtId="229" fontId="49" fillId="0" borderId="16" xfId="148" applyNumberFormat="1" applyFont="1" applyBorder="1" applyAlignment="1">
      <alignment horizontal="right" vertical="center"/>
    </xf>
    <xf numFmtId="0" fontId="8" fillId="0" borderId="24" xfId="203" quotePrefix="1" applyBorder="1" applyAlignment="1">
      <alignment horizontal="center" vertical="center"/>
    </xf>
    <xf numFmtId="186" fontId="49" fillId="0" borderId="14" xfId="200" applyNumberFormat="1" applyFont="1" applyBorder="1">
      <alignment vertical="center"/>
    </xf>
    <xf numFmtId="200" fontId="49" fillId="0" borderId="14" xfId="200" applyNumberFormat="1" applyFont="1" applyBorder="1">
      <alignment vertical="center"/>
    </xf>
    <xf numFmtId="186" fontId="49" fillId="0" borderId="14" xfId="200" applyNumberFormat="1" applyFont="1" applyBorder="1" applyAlignment="1">
      <alignment horizontal="right" vertical="center"/>
    </xf>
    <xf numFmtId="229" fontId="49" fillId="0" borderId="13" xfId="148" applyNumberFormat="1" applyFont="1" applyBorder="1" applyAlignment="1">
      <alignment horizontal="right" vertical="center"/>
    </xf>
    <xf numFmtId="186" fontId="49" fillId="0" borderId="13" xfId="200" applyNumberFormat="1" applyFont="1" applyBorder="1">
      <alignment vertical="center"/>
    </xf>
    <xf numFmtId="0" fontId="67" fillId="0" borderId="0" xfId="203" applyFont="1"/>
    <xf numFmtId="0" fontId="63" fillId="0" borderId="0" xfId="203" applyFont="1"/>
    <xf numFmtId="0" fontId="49" fillId="0" borderId="24" xfId="203" applyFont="1" applyBorder="1" applyAlignment="1">
      <alignment horizontal="right"/>
    </xf>
    <xf numFmtId="0" fontId="8" fillId="0" borderId="24" xfId="203" applyBorder="1" applyAlignment="1">
      <alignment horizontal="center" vertical="distributed" textRotation="255"/>
    </xf>
    <xf numFmtId="0" fontId="8" fillId="0" borderId="13" xfId="203" applyBorder="1" applyAlignment="1">
      <alignment horizontal="center" vertical="distributed" textRotation="255"/>
    </xf>
    <xf numFmtId="0" fontId="8" fillId="0" borderId="13" xfId="203" applyBorder="1" applyAlignment="1">
      <alignment horizontal="center" vertical="center"/>
    </xf>
    <xf numFmtId="230" fontId="8" fillId="0" borderId="16" xfId="204" applyNumberFormat="1" applyFont="1" applyBorder="1" applyAlignment="1">
      <alignment horizontal="right" vertical="center" indent="2"/>
    </xf>
    <xf numFmtId="41" fontId="8" fillId="0" borderId="0" xfId="204" applyNumberFormat="1" applyFont="1" applyBorder="1" applyAlignment="1">
      <alignment horizontal="right" vertical="center"/>
    </xf>
    <xf numFmtId="230" fontId="8" fillId="0" borderId="13" xfId="204" applyNumberFormat="1" applyFont="1" applyBorder="1" applyAlignment="1">
      <alignment horizontal="right" vertical="center" indent="2"/>
    </xf>
    <xf numFmtId="41" fontId="8" fillId="0" borderId="24" xfId="204" applyNumberFormat="1" applyFont="1" applyBorder="1" applyAlignment="1">
      <alignment horizontal="right" vertical="center"/>
    </xf>
    <xf numFmtId="0" fontId="8" fillId="0" borderId="45" xfId="203" applyBorder="1" applyAlignment="1">
      <alignment horizontal="center" vertical="center"/>
    </xf>
    <xf numFmtId="0" fontId="8" fillId="0" borderId="46" xfId="203" applyBorder="1" applyAlignment="1">
      <alignment horizontal="center" vertical="center"/>
    </xf>
    <xf numFmtId="0" fontId="8" fillId="0" borderId="18" xfId="203" applyBorder="1" applyAlignment="1">
      <alignment horizontal="center" vertical="center"/>
    </xf>
    <xf numFmtId="231" fontId="49" fillId="0" borderId="17" xfId="203" applyNumberFormat="1" applyFont="1" applyBorder="1" applyAlignment="1">
      <alignment horizontal="right" indent="1"/>
    </xf>
    <xf numFmtId="231" fontId="49" fillId="0" borderId="50" xfId="203" applyNumberFormat="1" applyFont="1" applyBorder="1" applyAlignment="1">
      <alignment horizontal="right" indent="1"/>
    </xf>
    <xf numFmtId="232" fontId="49" fillId="0" borderId="16" xfId="203" applyNumberFormat="1" applyFont="1" applyBorder="1" applyAlignment="1">
      <alignment horizontal="right" indent="1"/>
    </xf>
    <xf numFmtId="231" fontId="49" fillId="0" borderId="16" xfId="203" applyNumberFormat="1" applyFont="1" applyBorder="1" applyAlignment="1">
      <alignment horizontal="right" indent="1"/>
    </xf>
    <xf numFmtId="0" fontId="8" fillId="0" borderId="15" xfId="203" applyBorder="1" applyAlignment="1">
      <alignment horizontal="center" vertical="center"/>
    </xf>
    <xf numFmtId="232" fontId="49" fillId="0" borderId="13" xfId="203" applyNumberFormat="1" applyFont="1" applyBorder="1" applyAlignment="1">
      <alignment horizontal="right" indent="1"/>
    </xf>
    <xf numFmtId="231" fontId="49" fillId="0" borderId="14" xfId="203" applyNumberFormat="1" applyFont="1" applyBorder="1" applyAlignment="1">
      <alignment horizontal="right" indent="1"/>
    </xf>
    <xf numFmtId="2" fontId="8" fillId="0" borderId="0" xfId="203" applyNumberFormat="1" applyAlignment="1">
      <alignment horizontal="center" vertical="center"/>
    </xf>
    <xf numFmtId="0" fontId="67" fillId="0" borderId="0" xfId="142" applyFont="1" applyAlignment="1">
      <alignment horizontal="right"/>
    </xf>
    <xf numFmtId="0" fontId="8" fillId="0" borderId="48" xfId="160" applyFont="1" applyBorder="1" applyAlignment="1">
      <alignment horizontal="center" vertical="distributed" wrapText="1"/>
    </xf>
    <xf numFmtId="0" fontId="8" fillId="0" borderId="47" xfId="160" applyFont="1" applyBorder="1" applyAlignment="1">
      <alignment horizontal="center" vertical="distributed" wrapText="1"/>
    </xf>
    <xf numFmtId="0" fontId="8" fillId="0" borderId="45" xfId="160" applyFont="1" applyBorder="1" applyAlignment="1">
      <alignment horizontal="center" vertical="center"/>
    </xf>
    <xf numFmtId="0" fontId="8" fillId="0" borderId="45" xfId="160" applyFont="1" applyBorder="1" applyAlignment="1">
      <alignment horizontal="center" vertical="distributed" wrapText="1"/>
    </xf>
    <xf numFmtId="0" fontId="8" fillId="0" borderId="48" xfId="160" applyFont="1" applyBorder="1" applyAlignment="1">
      <alignment horizontal="centerContinuous" vertical="distributed" wrapText="1"/>
    </xf>
    <xf numFmtId="0" fontId="8" fillId="0" borderId="0" xfId="160" applyFont="1" applyAlignment="1">
      <alignment horizontal="center" vertical="center"/>
    </xf>
    <xf numFmtId="0" fontId="8" fillId="0" borderId="15" xfId="160" applyFont="1" applyBorder="1" applyAlignment="1">
      <alignment horizontal="center" vertical="center"/>
    </xf>
    <xf numFmtId="0" fontId="8" fillId="0" borderId="48" xfId="160" applyFont="1" applyBorder="1" applyAlignment="1">
      <alignment horizontal="center" vertical="center"/>
    </xf>
    <xf numFmtId="0" fontId="8" fillId="0" borderId="18" xfId="142" quotePrefix="1" applyFont="1" applyBorder="1" applyAlignment="1">
      <alignment horizontal="center" vertical="center"/>
    </xf>
    <xf numFmtId="225" fontId="49" fillId="0" borderId="17" xfId="182" applyNumberFormat="1" applyFont="1" applyBorder="1" applyAlignment="1">
      <alignment horizontal="right" vertical="center"/>
    </xf>
    <xf numFmtId="225" fontId="49" fillId="0" borderId="16" xfId="182" applyNumberFormat="1" applyFont="1" applyBorder="1" applyAlignment="1">
      <alignment horizontal="right" vertical="center"/>
    </xf>
    <xf numFmtId="0" fontId="8" fillId="0" borderId="15" xfId="142" quotePrefix="1" applyFont="1" applyBorder="1" applyAlignment="1">
      <alignment horizontal="center" vertical="center"/>
    </xf>
    <xf numFmtId="225" fontId="49" fillId="0" borderId="14" xfId="182" applyNumberFormat="1" applyFont="1" applyBorder="1" applyAlignment="1">
      <alignment horizontal="right" vertical="center"/>
    </xf>
    <xf numFmtId="225" fontId="49" fillId="0" borderId="13" xfId="182" applyNumberFormat="1" applyFont="1" applyBorder="1" applyAlignment="1">
      <alignment horizontal="right" vertical="center"/>
    </xf>
    <xf numFmtId="0" fontId="82" fillId="0" borderId="0" xfId="203" applyFont="1" applyAlignment="1">
      <alignment horizontal="left"/>
    </xf>
    <xf numFmtId="0" fontId="67" fillId="0" borderId="0" xfId="142" applyFont="1" applyAlignment="1">
      <alignment horizontal="left" vertical="center"/>
    </xf>
    <xf numFmtId="0" fontId="67" fillId="0" borderId="0" xfId="205" applyFont="1"/>
    <xf numFmtId="0" fontId="67" fillId="0" borderId="0" xfId="205" applyFont="1" applyAlignment="1">
      <alignment vertical="center"/>
    </xf>
    <xf numFmtId="0" fontId="67" fillId="0" borderId="0" xfId="205" applyFont="1" applyAlignment="1">
      <alignment horizontal="right"/>
    </xf>
    <xf numFmtId="0" fontId="8" fillId="0" borderId="45" xfId="205" applyFont="1" applyBorder="1" applyAlignment="1">
      <alignment vertical="center"/>
    </xf>
    <xf numFmtId="0" fontId="8" fillId="0" borderId="49" xfId="205" applyFont="1" applyBorder="1" applyAlignment="1">
      <alignment vertical="center"/>
    </xf>
    <xf numFmtId="0" fontId="8" fillId="0" borderId="18" xfId="207" quotePrefix="1" applyFont="1" applyBorder="1" applyAlignment="1">
      <alignment horizontal="center" vertical="center"/>
    </xf>
    <xf numFmtId="225" fontId="49" fillId="0" borderId="17" xfId="205" applyNumberFormat="1" applyFont="1" applyBorder="1" applyAlignment="1">
      <alignment vertical="center"/>
    </xf>
    <xf numFmtId="225" fontId="49" fillId="0" borderId="16" xfId="205" applyNumberFormat="1" applyFont="1" applyBorder="1" applyAlignment="1">
      <alignment vertical="center"/>
    </xf>
    <xf numFmtId="3" fontId="67" fillId="0" borderId="0" xfId="205" applyNumberFormat="1" applyFont="1" applyAlignment="1">
      <alignment vertical="center"/>
    </xf>
    <xf numFmtId="0" fontId="153" fillId="0" borderId="0" xfId="205" applyFont="1"/>
    <xf numFmtId="0" fontId="8" fillId="0" borderId="15" xfId="207" quotePrefix="1" applyFont="1" applyBorder="1" applyAlignment="1">
      <alignment horizontal="center" vertical="center"/>
    </xf>
    <xf numFmtId="225" fontId="49" fillId="0" borderId="14" xfId="205" applyNumberFormat="1" applyFont="1" applyBorder="1" applyAlignment="1">
      <alignment vertical="center"/>
    </xf>
    <xf numFmtId="225" fontId="49" fillId="0" borderId="13" xfId="205" applyNumberFormat="1" applyFont="1" applyBorder="1" applyAlignment="1">
      <alignment vertical="center"/>
    </xf>
    <xf numFmtId="0" fontId="67" fillId="0" borderId="24" xfId="205" applyFont="1" applyBorder="1" applyAlignment="1">
      <alignment horizontal="center" vertical="center" wrapText="1"/>
    </xf>
    <xf numFmtId="191" fontId="67" fillId="0" borderId="13" xfId="205" applyNumberFormat="1" applyFont="1" applyBorder="1" applyAlignment="1">
      <alignment vertical="center"/>
    </xf>
    <xf numFmtId="191" fontId="67" fillId="0" borderId="24" xfId="205" applyNumberFormat="1" applyFont="1" applyBorder="1" applyAlignment="1">
      <alignment vertical="center"/>
    </xf>
    <xf numFmtId="0" fontId="67" fillId="0" borderId="0" xfId="203" applyFont="1" applyAlignment="1">
      <alignment horizontal="left"/>
    </xf>
    <xf numFmtId="0" fontId="67" fillId="0" borderId="0" xfId="205" applyFont="1" applyAlignment="1">
      <alignment horizontal="left"/>
    </xf>
    <xf numFmtId="0" fontId="63" fillId="0" borderId="0" xfId="152" applyFont="1" applyAlignment="1">
      <alignment horizontal="center" vertical="center" shrinkToFit="1"/>
    </xf>
    <xf numFmtId="41" fontId="49" fillId="0" borderId="50" xfId="148" applyNumberFormat="1" applyFont="1" applyBorder="1" applyAlignment="1">
      <alignment horizontal="right" vertical="center"/>
    </xf>
    <xf numFmtId="0" fontId="67" fillId="0" borderId="18" xfId="157" applyFont="1" applyBorder="1" applyAlignment="1">
      <alignment horizontal="left" vertical="center"/>
    </xf>
    <xf numFmtId="0" fontId="67" fillId="0" borderId="0" xfId="157" applyFont="1" applyAlignment="1">
      <alignment horizontal="left" vertical="center"/>
    </xf>
    <xf numFmtId="0" fontId="67" fillId="0" borderId="24" xfId="205" applyFont="1" applyBorder="1" applyAlignment="1">
      <alignment vertical="center"/>
    </xf>
    <xf numFmtId="0" fontId="49" fillId="0" borderId="45" xfId="208" applyFont="1" applyBorder="1"/>
    <xf numFmtId="0" fontId="49" fillId="0" borderId="54" xfId="208" applyFont="1" applyBorder="1" applyAlignment="1">
      <alignment horizontal="center" vertical="distributed" textRotation="255" wrapText="1"/>
    </xf>
    <xf numFmtId="0" fontId="49" fillId="0" borderId="48" xfId="208" applyFont="1" applyBorder="1" applyAlignment="1">
      <alignment horizontal="center" vertical="distributed" textRotation="255" wrapText="1"/>
    </xf>
    <xf numFmtId="0" fontId="49" fillId="0" borderId="49" xfId="205" applyFont="1" applyBorder="1" applyAlignment="1">
      <alignment horizontal="center" vertical="center"/>
    </xf>
    <xf numFmtId="0" fontId="49" fillId="0" borderId="46" xfId="205" applyFont="1" applyBorder="1" applyAlignment="1">
      <alignment horizontal="center" vertical="center"/>
    </xf>
    <xf numFmtId="0" fontId="49" fillId="0" borderId="52" xfId="205" applyFont="1" applyBorder="1" applyAlignment="1">
      <alignment horizontal="center" vertical="center"/>
    </xf>
    <xf numFmtId="0" fontId="49" fillId="0" borderId="45" xfId="205" applyFont="1" applyBorder="1" applyAlignment="1">
      <alignment horizontal="center" vertical="center"/>
    </xf>
    <xf numFmtId="0" fontId="49" fillId="0" borderId="65" xfId="205" applyFont="1" applyBorder="1" applyAlignment="1">
      <alignment horizontal="center" vertical="center"/>
    </xf>
    <xf numFmtId="3" fontId="49" fillId="0" borderId="17" xfId="205" applyNumberFormat="1" applyFont="1" applyBorder="1" applyAlignment="1">
      <alignment horizontal="right" vertical="center" indent="1"/>
    </xf>
    <xf numFmtId="3" fontId="49" fillId="0" borderId="77" xfId="205" applyNumberFormat="1" applyFont="1" applyBorder="1" applyAlignment="1">
      <alignment horizontal="right" vertical="center" indent="1"/>
    </xf>
    <xf numFmtId="3" fontId="49" fillId="0" borderId="18" xfId="205" applyNumberFormat="1" applyFont="1" applyBorder="1" applyAlignment="1">
      <alignment horizontal="right" vertical="center" indent="1"/>
    </xf>
    <xf numFmtId="3" fontId="49" fillId="0" borderId="0" xfId="205" applyNumberFormat="1" applyFont="1" applyAlignment="1">
      <alignment horizontal="right" vertical="center" indent="1"/>
    </xf>
    <xf numFmtId="3" fontId="49" fillId="0" borderId="14" xfId="205" applyNumberFormat="1" applyFont="1" applyBorder="1" applyAlignment="1">
      <alignment horizontal="right" vertical="center" indent="1"/>
    </xf>
    <xf numFmtId="3" fontId="49" fillId="0" borderId="63" xfId="205" applyNumberFormat="1" applyFont="1" applyBorder="1" applyAlignment="1">
      <alignment horizontal="right" vertical="center" indent="1"/>
    </xf>
    <xf numFmtId="3" fontId="49" fillId="0" borderId="15" xfId="205" applyNumberFormat="1" applyFont="1" applyBorder="1" applyAlignment="1">
      <alignment horizontal="right" vertical="center" indent="1"/>
    </xf>
    <xf numFmtId="3" fontId="49" fillId="0" borderId="24" xfId="205" applyNumberFormat="1" applyFont="1" applyBorder="1" applyAlignment="1">
      <alignment horizontal="right" vertical="center" indent="1"/>
    </xf>
    <xf numFmtId="0" fontId="8" fillId="0" borderId="0" xfId="208" applyFont="1" applyAlignment="1">
      <alignment horizontal="center" vertical="center"/>
    </xf>
    <xf numFmtId="0" fontId="63" fillId="0" borderId="0" xfId="152" applyFont="1" applyAlignment="1">
      <alignment vertical="center" shrinkToFit="1"/>
    </xf>
    <xf numFmtId="0" fontId="8" fillId="0" borderId="0" xfId="152" applyFont="1" applyAlignment="1">
      <alignment vertical="center"/>
    </xf>
    <xf numFmtId="0" fontId="67" fillId="0" borderId="0" xfId="154" applyFont="1" applyAlignment="1">
      <alignment horizontal="right" vertical="center"/>
    </xf>
    <xf numFmtId="0" fontId="49" fillId="0" borderId="49" xfId="152" applyFont="1" applyBorder="1" applyAlignment="1">
      <alignment horizontal="center" vertical="distributed"/>
    </xf>
    <xf numFmtId="0" fontId="49" fillId="0" borderId="65" xfId="152" applyFont="1" applyBorder="1" applyAlignment="1">
      <alignment horizontal="center" vertical="distributed" wrapText="1"/>
    </xf>
    <xf numFmtId="0" fontId="49" fillId="0" borderId="65" xfId="152" applyFont="1" applyBorder="1" applyAlignment="1">
      <alignment horizontal="center" vertical="distributed"/>
    </xf>
    <xf numFmtId="0" fontId="49" fillId="0" borderId="46" xfId="152" applyFont="1" applyBorder="1" applyAlignment="1">
      <alignment horizontal="center" vertical="distributed"/>
    </xf>
    <xf numFmtId="0" fontId="49" fillId="0" borderId="0" xfId="152" applyFont="1" applyAlignment="1">
      <alignment horizontal="center" vertical="distributed" textRotation="255"/>
    </xf>
    <xf numFmtId="41" fontId="49" fillId="0" borderId="17" xfId="148" applyNumberFormat="1" applyFont="1" applyFill="1" applyBorder="1" applyAlignment="1">
      <alignment horizontal="right" vertical="center"/>
    </xf>
    <xf numFmtId="41" fontId="49" fillId="0" borderId="14" xfId="148" applyNumberFormat="1" applyFont="1" applyFill="1" applyBorder="1" applyAlignment="1">
      <alignment horizontal="right" vertical="center"/>
    </xf>
    <xf numFmtId="0" fontId="67" fillId="0" borderId="16" xfId="157" applyFont="1" applyBorder="1" applyAlignment="1">
      <alignment horizontal="left" vertical="center"/>
    </xf>
    <xf numFmtId="41" fontId="49" fillId="0" borderId="0" xfId="148" applyNumberFormat="1" applyFont="1" applyFill="1" applyBorder="1" applyAlignment="1">
      <alignment horizontal="center" vertical="center"/>
    </xf>
    <xf numFmtId="0" fontId="49" fillId="0" borderId="50" xfId="208" applyFont="1" applyBorder="1" applyAlignment="1">
      <alignment horizontal="center" vertical="distributed" textRotation="255" wrapText="1"/>
    </xf>
    <xf numFmtId="49" fontId="8" fillId="0" borderId="49" xfId="209" applyNumberFormat="1" applyFont="1" applyBorder="1" applyAlignment="1">
      <alignment horizontal="center" vertical="center"/>
    </xf>
    <xf numFmtId="49" fontId="8" fillId="0" borderId="65" xfId="209" applyNumberFormat="1" applyFont="1" applyBorder="1" applyAlignment="1">
      <alignment horizontal="center" vertical="center"/>
    </xf>
    <xf numFmtId="49" fontId="8" fillId="0" borderId="52" xfId="209" applyNumberFormat="1" applyFont="1" applyBorder="1" applyAlignment="1">
      <alignment horizontal="center" vertical="center"/>
    </xf>
    <xf numFmtId="49" fontId="8" fillId="0" borderId="46" xfId="209" applyNumberFormat="1" applyFont="1" applyBorder="1" applyAlignment="1">
      <alignment horizontal="center" vertical="center"/>
    </xf>
    <xf numFmtId="0" fontId="8" fillId="0" borderId="0" xfId="209" quotePrefix="1" applyFont="1" applyAlignment="1">
      <alignment horizontal="center" vertical="center" wrapText="1"/>
    </xf>
    <xf numFmtId="41" fontId="49" fillId="0" borderId="17" xfId="209" applyNumberFormat="1" applyFont="1" applyBorder="1" applyAlignment="1">
      <alignment vertical="center"/>
    </xf>
    <xf numFmtId="41" fontId="49" fillId="0" borderId="77" xfId="209" applyNumberFormat="1" applyFont="1" applyBorder="1" applyAlignment="1">
      <alignment vertical="center"/>
    </xf>
    <xf numFmtId="41" fontId="49" fillId="0" borderId="18" xfId="209" applyNumberFormat="1" applyFont="1" applyBorder="1" applyAlignment="1">
      <alignment vertical="center"/>
    </xf>
    <xf numFmtId="41" fontId="49" fillId="0" borderId="16" xfId="209" applyNumberFormat="1" applyFont="1" applyBorder="1" applyAlignment="1">
      <alignment vertical="center"/>
    </xf>
    <xf numFmtId="0" fontId="8" fillId="0" borderId="0" xfId="209" applyFont="1"/>
    <xf numFmtId="0" fontId="8" fillId="0" borderId="24" xfId="209" quotePrefix="1" applyFont="1" applyBorder="1" applyAlignment="1">
      <alignment horizontal="center" vertical="center" wrapText="1"/>
    </xf>
    <xf numFmtId="41" fontId="49" fillId="0" borderId="14" xfId="209" applyNumberFormat="1" applyFont="1" applyBorder="1" applyAlignment="1">
      <alignment vertical="center"/>
    </xf>
    <xf numFmtId="41" fontId="49" fillId="0" borderId="63" xfId="209" applyNumberFormat="1" applyFont="1" applyBorder="1" applyAlignment="1">
      <alignment vertical="center"/>
    </xf>
    <xf numFmtId="41" fontId="49" fillId="0" borderId="15" xfId="209" applyNumberFormat="1" applyFont="1" applyBorder="1" applyAlignment="1">
      <alignment vertical="center"/>
    </xf>
    <xf numFmtId="41" fontId="49" fillId="0" borderId="13" xfId="209" applyNumberFormat="1" applyFont="1" applyBorder="1" applyAlignment="1">
      <alignment vertical="center"/>
    </xf>
    <xf numFmtId="0" fontId="51" fillId="0" borderId="0" xfId="181" applyFont="1">
      <alignment vertical="center"/>
    </xf>
    <xf numFmtId="0" fontId="82" fillId="0" borderId="0" xfId="209" applyFont="1" applyAlignment="1">
      <alignment wrapText="1"/>
    </xf>
    <xf numFmtId="0" fontId="8" fillId="0" borderId="0" xfId="206" applyFont="1"/>
    <xf numFmtId="0" fontId="8" fillId="0" borderId="48" xfId="206" applyFont="1" applyBorder="1" applyAlignment="1">
      <alignment horizontal="center" vertical="center"/>
    </xf>
    <xf numFmtId="0" fontId="8" fillId="0" borderId="45" xfId="206" applyFont="1" applyBorder="1" applyAlignment="1">
      <alignment horizontal="center" vertical="center"/>
    </xf>
    <xf numFmtId="0" fontId="8" fillId="0" borderId="46" xfId="206" applyFont="1" applyBorder="1" applyAlignment="1">
      <alignment horizontal="center" vertical="center"/>
    </xf>
    <xf numFmtId="3" fontId="49" fillId="0" borderId="17" xfId="206" applyNumberFormat="1" applyFont="1" applyBorder="1" applyAlignment="1">
      <alignment horizontal="right" vertical="center" indent="1"/>
    </xf>
    <xf numFmtId="3" fontId="49" fillId="0" borderId="16" xfId="206" applyNumberFormat="1" applyFont="1" applyBorder="1" applyAlignment="1">
      <alignment horizontal="right" vertical="center" indent="1"/>
    </xf>
    <xf numFmtId="3" fontId="8" fillId="0" borderId="0" xfId="206" applyNumberFormat="1" applyFont="1"/>
    <xf numFmtId="3" fontId="49" fillId="0" borderId="14" xfId="206" applyNumberFormat="1" applyFont="1" applyBorder="1" applyAlignment="1">
      <alignment horizontal="right" vertical="center" indent="1"/>
    </xf>
    <xf numFmtId="3" fontId="49" fillId="0" borderId="13" xfId="206" applyNumberFormat="1" applyFont="1" applyBorder="1" applyAlignment="1">
      <alignment horizontal="right" vertical="center" indent="1"/>
    </xf>
    <xf numFmtId="0" fontId="8" fillId="0" borderId="45" xfId="1" quotePrefix="1" applyFont="1" applyBorder="1" applyAlignment="1">
      <alignment horizontal="centerContinuous" vertical="center"/>
    </xf>
    <xf numFmtId="0" fontId="8" fillId="0" borderId="45" xfId="1" applyFont="1" applyBorder="1" applyAlignment="1">
      <alignment horizontal="centerContinuous" vertical="center"/>
    </xf>
    <xf numFmtId="0" fontId="8" fillId="0" borderId="0" xfId="1" applyFont="1"/>
    <xf numFmtId="0" fontId="8" fillId="0" borderId="49" xfId="1" applyFont="1" applyBorder="1" applyAlignment="1">
      <alignment horizontal="center" vertical="center"/>
    </xf>
    <xf numFmtId="0" fontId="8" fillId="0" borderId="65" xfId="1" applyFont="1" applyBorder="1" applyAlignment="1">
      <alignment horizontal="center" vertical="center"/>
    </xf>
    <xf numFmtId="0" fontId="8" fillId="0" borderId="65" xfId="1" applyFont="1" applyFill="1" applyBorder="1" applyAlignment="1">
      <alignment horizontal="center" vertical="center"/>
    </xf>
    <xf numFmtId="0" fontId="8" fillId="0" borderId="46" xfId="1" applyFont="1" applyFill="1" applyBorder="1" applyAlignment="1">
      <alignment horizontal="center" vertical="center"/>
    </xf>
    <xf numFmtId="0" fontId="8" fillId="0" borderId="0" xfId="106" quotePrefix="1" applyNumberFormat="1" applyFont="1" applyBorder="1" applyAlignment="1" applyProtection="1">
      <alignment horizontal="center" vertical="center"/>
      <protection locked="0"/>
    </xf>
    <xf numFmtId="0" fontId="8" fillId="0" borderId="24" xfId="106" quotePrefix="1" applyNumberFormat="1" applyFont="1" applyBorder="1" applyAlignment="1" applyProtection="1">
      <alignment horizontal="center" vertical="center"/>
      <protection locked="0"/>
    </xf>
    <xf numFmtId="0" fontId="63" fillId="0" borderId="0" xfId="197" applyFont="1" applyAlignment="1">
      <alignment vertical="center"/>
    </xf>
    <xf numFmtId="0" fontId="8" fillId="0" borderId="0" xfId="197" applyFont="1" applyAlignment="1">
      <alignment vertical="center"/>
    </xf>
    <xf numFmtId="0" fontId="49" fillId="0" borderId="24" xfId="197" applyFont="1" applyBorder="1" applyAlignment="1">
      <alignment horizontal="right"/>
    </xf>
    <xf numFmtId="0" fontId="7" fillId="0" borderId="46" xfId="197" applyFont="1" applyBorder="1" applyAlignment="1">
      <alignment horizontal="center" vertical="center"/>
    </xf>
    <xf numFmtId="0" fontId="8" fillId="0" borderId="46" xfId="197" applyFont="1" applyBorder="1" applyAlignment="1">
      <alignment horizontal="center" vertical="center"/>
    </xf>
    <xf numFmtId="0" fontId="8" fillId="0" borderId="18" xfId="197" applyFont="1" applyBorder="1" applyAlignment="1">
      <alignment horizontal="distributed" vertical="center"/>
    </xf>
    <xf numFmtId="41" fontId="49" fillId="0" borderId="16" xfId="197" applyNumberFormat="1" applyFont="1" applyBorder="1" applyAlignment="1">
      <alignment horizontal="right" vertical="center"/>
    </xf>
    <xf numFmtId="0" fontId="8" fillId="0" borderId="15" xfId="197" applyFont="1" applyBorder="1" applyAlignment="1">
      <alignment horizontal="distributed" vertical="center"/>
    </xf>
    <xf numFmtId="41" fontId="49" fillId="0" borderId="13" xfId="197" applyNumberFormat="1" applyFont="1" applyBorder="1" applyAlignment="1">
      <alignment horizontal="right" vertical="center"/>
    </xf>
    <xf numFmtId="0" fontId="82" fillId="0" borderId="0" xfId="197" applyFont="1" applyAlignment="1">
      <alignment vertical="center"/>
    </xf>
    <xf numFmtId="0" fontId="67" fillId="0" borderId="0" xfId="197" applyFont="1"/>
    <xf numFmtId="0" fontId="8" fillId="0" borderId="0" xfId="197" applyFont="1"/>
    <xf numFmtId="0" fontId="154" fillId="0" borderId="0" xfId="197" applyFont="1" applyBorder="1" applyAlignment="1">
      <alignment horizontal="center" vertical="center"/>
    </xf>
    <xf numFmtId="0" fontId="51" fillId="0" borderId="24" xfId="197" applyFont="1" applyBorder="1" applyAlignment="1">
      <alignment horizontal="center" vertical="center"/>
    </xf>
    <xf numFmtId="0" fontId="62" fillId="0" borderId="49" xfId="197" applyFont="1" applyBorder="1" applyAlignment="1">
      <alignment horizontal="center" vertical="center"/>
    </xf>
    <xf numFmtId="0" fontId="62" fillId="0" borderId="65" xfId="197" applyFont="1" applyBorder="1" applyAlignment="1">
      <alignment horizontal="center" vertical="center"/>
    </xf>
    <xf numFmtId="0" fontId="62" fillId="0" borderId="52" xfId="197" applyFont="1" applyBorder="1" applyAlignment="1">
      <alignment horizontal="center" vertical="center"/>
    </xf>
    <xf numFmtId="0" fontId="62" fillId="0" borderId="46" xfId="197" applyFont="1" applyBorder="1" applyAlignment="1">
      <alignment horizontal="center" vertical="center"/>
    </xf>
    <xf numFmtId="0" fontId="51" fillId="0" borderId="18" xfId="197" applyFont="1" applyBorder="1" applyAlignment="1">
      <alignment horizontal="center" vertical="center"/>
    </xf>
    <xf numFmtId="233" fontId="51" fillId="0" borderId="0" xfId="197" applyNumberFormat="1" applyFont="1" applyBorder="1" applyAlignment="1">
      <alignment horizontal="right" vertical="center"/>
    </xf>
    <xf numFmtId="3" fontId="51" fillId="0" borderId="0" xfId="197" applyNumberFormat="1" applyFont="1" applyBorder="1" applyAlignment="1">
      <alignment horizontal="right" vertical="center"/>
    </xf>
    <xf numFmtId="2" fontId="51" fillId="0" borderId="62" xfId="197" applyNumberFormat="1" applyFont="1" applyBorder="1" applyAlignment="1">
      <alignment horizontal="right" vertical="center"/>
    </xf>
    <xf numFmtId="179" fontId="51" fillId="0" borderId="0" xfId="197" applyNumberFormat="1" applyFont="1" applyBorder="1" applyAlignment="1">
      <alignment horizontal="right" vertical="center"/>
    </xf>
    <xf numFmtId="2" fontId="51" fillId="0" borderId="0" xfId="197" applyNumberFormat="1" applyFont="1" applyBorder="1" applyAlignment="1">
      <alignment horizontal="right" vertical="center"/>
    </xf>
    <xf numFmtId="233" fontId="51" fillId="0" borderId="0" xfId="197" applyNumberFormat="1" applyFont="1" applyBorder="1" applyAlignment="1">
      <alignment horizontal="right" vertical="center" indent="1"/>
    </xf>
    <xf numFmtId="3" fontId="51" fillId="0" borderId="0" xfId="197" applyNumberFormat="1" applyFont="1" applyBorder="1" applyAlignment="1">
      <alignment horizontal="right" vertical="center" indent="1"/>
    </xf>
    <xf numFmtId="180" fontId="51" fillId="0" borderId="62" xfId="197" applyNumberFormat="1" applyFont="1" applyBorder="1" applyAlignment="1">
      <alignment horizontal="right" vertical="center" indent="1"/>
    </xf>
    <xf numFmtId="178" fontId="51" fillId="0" borderId="0" xfId="210" applyNumberFormat="1" applyFont="1" applyFill="1" applyBorder="1" applyAlignment="1">
      <alignment horizontal="right" vertical="center" indent="1"/>
    </xf>
    <xf numFmtId="3" fontId="51" fillId="0" borderId="0" xfId="197" applyNumberFormat="1" applyFont="1" applyAlignment="1">
      <alignment horizontal="right" vertical="center" indent="1"/>
    </xf>
    <xf numFmtId="180" fontId="51" fillId="0" borderId="0" xfId="197" applyNumberFormat="1" applyFont="1" applyBorder="1" applyAlignment="1">
      <alignment horizontal="right" vertical="center" indent="1"/>
    </xf>
    <xf numFmtId="233" fontId="51" fillId="0" borderId="0" xfId="197" applyNumberFormat="1" applyFont="1" applyFill="1" applyBorder="1" applyAlignment="1">
      <alignment horizontal="right" vertical="center" indent="1"/>
    </xf>
    <xf numFmtId="3" fontId="51" fillId="0" borderId="0" xfId="197" applyNumberFormat="1" applyFont="1" applyFill="1" applyBorder="1" applyAlignment="1">
      <alignment horizontal="right" vertical="center" indent="1"/>
    </xf>
    <xf numFmtId="0" fontId="155" fillId="0" borderId="0" xfId="197" applyFont="1" applyAlignment="1">
      <alignment vertical="center"/>
    </xf>
    <xf numFmtId="0" fontId="51" fillId="0" borderId="0" xfId="197" applyFont="1" applyBorder="1" applyAlignment="1">
      <alignment horizontal="center" vertical="center"/>
    </xf>
    <xf numFmtId="3" fontId="51" fillId="0" borderId="16" xfId="197" applyNumberFormat="1" applyFont="1" applyBorder="1" applyAlignment="1">
      <alignment horizontal="right" vertical="center" indent="1"/>
    </xf>
    <xf numFmtId="178" fontId="51" fillId="0" borderId="76" xfId="210" applyNumberFormat="1" applyFont="1" applyFill="1" applyBorder="1" applyAlignment="1">
      <alignment horizontal="right" vertical="center" indent="1"/>
    </xf>
    <xf numFmtId="0" fontId="51" fillId="0" borderId="15" xfId="197" applyFont="1" applyBorder="1" applyAlignment="1">
      <alignment horizontal="center" vertical="center"/>
    </xf>
    <xf numFmtId="3" fontId="51" fillId="0" borderId="24" xfId="197" applyNumberFormat="1" applyFont="1" applyBorder="1" applyAlignment="1">
      <alignment horizontal="right" vertical="center" indent="1"/>
    </xf>
    <xf numFmtId="3" fontId="51" fillId="0" borderId="24" xfId="197" applyNumberFormat="1" applyFont="1" applyFill="1" applyBorder="1" applyAlignment="1">
      <alignment horizontal="right" vertical="center" indent="1"/>
    </xf>
    <xf numFmtId="180" fontId="51" fillId="0" borderId="92" xfId="197" applyNumberFormat="1" applyFont="1" applyBorder="1" applyAlignment="1">
      <alignment horizontal="right" vertical="center" indent="1"/>
    </xf>
    <xf numFmtId="178" fontId="51" fillId="0" borderId="24" xfId="210" applyNumberFormat="1" applyFont="1" applyFill="1" applyBorder="1" applyAlignment="1">
      <alignment horizontal="right" vertical="center" indent="1"/>
    </xf>
    <xf numFmtId="180" fontId="51" fillId="0" borderId="24" xfId="197" applyNumberFormat="1" applyFont="1" applyBorder="1" applyAlignment="1">
      <alignment horizontal="right" vertical="center" indent="1"/>
    </xf>
    <xf numFmtId="0" fontId="8" fillId="0" borderId="0" xfId="197" applyFont="1" applyBorder="1" applyAlignment="1">
      <alignment vertical="center"/>
    </xf>
    <xf numFmtId="0" fontId="62" fillId="0" borderId="48" xfId="197" applyFont="1" applyBorder="1" applyAlignment="1">
      <alignment vertical="center"/>
    </xf>
    <xf numFmtId="0" fontId="98" fillId="0" borderId="48" xfId="197" applyFont="1" applyBorder="1" applyAlignment="1">
      <alignment vertical="center"/>
    </xf>
    <xf numFmtId="0" fontId="67" fillId="0" borderId="0" xfId="197" applyFont="1" applyBorder="1" applyAlignment="1">
      <alignment vertical="center"/>
    </xf>
    <xf numFmtId="0" fontId="62" fillId="0" borderId="0" xfId="197" applyFont="1" applyAlignment="1">
      <alignment vertical="center"/>
    </xf>
    <xf numFmtId="0" fontId="7" fillId="0" borderId="0" xfId="197" applyFont="1" applyAlignment="1">
      <alignment vertical="center"/>
    </xf>
    <xf numFmtId="0" fontId="8" fillId="0" borderId="48" xfId="197" applyFont="1" applyBorder="1" applyAlignment="1">
      <alignment horizontal="center" vertical="center"/>
    </xf>
    <xf numFmtId="0" fontId="8" fillId="0" borderId="24" xfId="197" applyFont="1" applyBorder="1" applyAlignment="1">
      <alignment horizontal="center" vertical="center"/>
    </xf>
    <xf numFmtId="0" fontId="67" fillId="0" borderId="49" xfId="197" applyFont="1" applyBorder="1" applyAlignment="1">
      <alignment horizontal="center" vertical="center"/>
    </xf>
    <xf numFmtId="0" fontId="67" fillId="0" borderId="65" xfId="197" applyFont="1" applyBorder="1" applyAlignment="1">
      <alignment horizontal="center" vertical="center"/>
    </xf>
    <xf numFmtId="0" fontId="67" fillId="0" borderId="46" xfId="197" applyFont="1" applyBorder="1" applyAlignment="1">
      <alignment horizontal="center" vertical="center"/>
    </xf>
    <xf numFmtId="186" fontId="8" fillId="0" borderId="50" xfId="197" applyNumberFormat="1" applyFont="1" applyBorder="1" applyAlignment="1">
      <alignment horizontal="right" vertical="center"/>
    </xf>
    <xf numFmtId="180" fontId="8" fillId="0" borderId="47" xfId="197" applyNumberFormat="1" applyFont="1" applyBorder="1" applyAlignment="1">
      <alignment horizontal="right" vertical="center"/>
    </xf>
    <xf numFmtId="186" fontId="8" fillId="0" borderId="50" xfId="197" applyNumberFormat="1" applyFont="1" applyFill="1" applyBorder="1" applyAlignment="1">
      <alignment horizontal="right" vertical="center"/>
    </xf>
    <xf numFmtId="180" fontId="8" fillId="0" borderId="48" xfId="197" applyNumberFormat="1" applyFont="1" applyBorder="1" applyAlignment="1">
      <alignment horizontal="right" vertical="center"/>
    </xf>
    <xf numFmtId="186" fontId="8" fillId="0" borderId="16" xfId="197" applyNumberFormat="1" applyFont="1" applyBorder="1" applyAlignment="1">
      <alignment horizontal="right" vertical="center"/>
    </xf>
    <xf numFmtId="180" fontId="8" fillId="0" borderId="18" xfId="197" applyNumberFormat="1" applyFont="1" applyBorder="1" applyAlignment="1">
      <alignment horizontal="right" vertical="center"/>
    </xf>
    <xf numFmtId="186" fontId="8" fillId="0" borderId="16" xfId="197" applyNumberFormat="1" applyFont="1" applyFill="1" applyBorder="1" applyAlignment="1">
      <alignment horizontal="right"/>
    </xf>
    <xf numFmtId="186" fontId="8" fillId="0" borderId="16" xfId="197" applyNumberFormat="1" applyFont="1" applyFill="1" applyBorder="1" applyAlignment="1">
      <alignment horizontal="right" vertical="center"/>
    </xf>
    <xf numFmtId="180" fontId="8" fillId="0" borderId="0" xfId="197" applyNumberFormat="1" applyFont="1" applyBorder="1" applyAlignment="1">
      <alignment horizontal="right" vertical="center"/>
    </xf>
    <xf numFmtId="186" fontId="8" fillId="0" borderId="16" xfId="197" applyNumberFormat="1" applyFont="1" applyBorder="1" applyAlignment="1">
      <alignment horizontal="right" shrinkToFit="1"/>
    </xf>
    <xf numFmtId="186" fontId="8" fillId="0" borderId="16" xfId="197" applyNumberFormat="1" applyFont="1" applyFill="1" applyBorder="1" applyAlignment="1">
      <alignment horizontal="right" shrinkToFit="1"/>
    </xf>
    <xf numFmtId="186" fontId="8" fillId="0" borderId="16" xfId="197" applyNumberFormat="1" applyFont="1" applyBorder="1" applyAlignment="1">
      <alignment horizontal="right"/>
    </xf>
    <xf numFmtId="0" fontId="8" fillId="0" borderId="0" xfId="197" applyFont="1" applyBorder="1"/>
    <xf numFmtId="186" fontId="8" fillId="0" borderId="0" xfId="197" applyNumberFormat="1" applyFont="1" applyBorder="1" applyAlignment="1">
      <alignment horizontal="right"/>
    </xf>
    <xf numFmtId="186" fontId="8" fillId="0" borderId="0" xfId="197" applyNumberFormat="1" applyFont="1" applyFill="1" applyBorder="1" applyAlignment="1">
      <alignment horizontal="right"/>
    </xf>
    <xf numFmtId="186" fontId="8" fillId="0" borderId="0" xfId="197" applyNumberFormat="1" applyFont="1" applyAlignment="1">
      <alignment horizontal="right"/>
    </xf>
    <xf numFmtId="186" fontId="8" fillId="0" borderId="24" xfId="197" applyNumberFormat="1" applyFont="1" applyBorder="1" applyAlignment="1">
      <alignment horizontal="right"/>
    </xf>
    <xf numFmtId="180" fontId="8" fillId="0" borderId="15" xfId="197" applyNumberFormat="1" applyFont="1" applyBorder="1" applyAlignment="1">
      <alignment horizontal="right" vertical="center"/>
    </xf>
    <xf numFmtId="180" fontId="8" fillId="0" borderId="24" xfId="197" applyNumberFormat="1" applyFont="1" applyBorder="1" applyAlignment="1">
      <alignment horizontal="right" vertical="center"/>
    </xf>
    <xf numFmtId="186" fontId="8" fillId="0" borderId="13" xfId="197" applyNumberFormat="1" applyFont="1" applyBorder="1" applyAlignment="1">
      <alignment horizontal="right"/>
    </xf>
    <xf numFmtId="0" fontId="8" fillId="0" borderId="0" xfId="197" applyFont="1" applyAlignment="1">
      <alignment horizontal="right"/>
    </xf>
    <xf numFmtId="186" fontId="8" fillId="0" borderId="0" xfId="197" applyNumberFormat="1" applyFont="1"/>
    <xf numFmtId="0" fontId="8" fillId="0" borderId="65" xfId="197" applyFont="1" applyBorder="1" applyAlignment="1">
      <alignment horizontal="center" vertical="center"/>
    </xf>
    <xf numFmtId="0" fontId="8" fillId="0" borderId="49" xfId="197" applyFont="1" applyBorder="1" applyAlignment="1">
      <alignment horizontal="center" vertical="center" wrapText="1"/>
    </xf>
    <xf numFmtId="0" fontId="8" fillId="0" borderId="46" xfId="197" applyFont="1" applyBorder="1" applyAlignment="1">
      <alignment horizontal="center" vertical="center" wrapText="1"/>
    </xf>
    <xf numFmtId="38" fontId="8" fillId="0" borderId="65" xfId="197" applyNumberFormat="1" applyFont="1" applyFill="1" applyBorder="1" applyAlignment="1">
      <alignment horizontal="right" vertical="center" indent="1"/>
    </xf>
    <xf numFmtId="38" fontId="8" fillId="0" borderId="46" xfId="197" applyNumberFormat="1" applyFont="1" applyFill="1" applyBorder="1" applyAlignment="1">
      <alignment horizontal="right" vertical="center" indent="1"/>
    </xf>
    <xf numFmtId="38" fontId="8" fillId="0" borderId="65" xfId="197" applyNumberFormat="1" applyFont="1" applyFill="1" applyBorder="1" applyAlignment="1">
      <alignment horizontal="right" indent="1"/>
    </xf>
    <xf numFmtId="38" fontId="8" fillId="0" borderId="46" xfId="197" applyNumberFormat="1" applyFont="1" applyFill="1" applyBorder="1" applyAlignment="1">
      <alignment horizontal="right" indent="1"/>
    </xf>
    <xf numFmtId="38" fontId="8" fillId="0" borderId="54" xfId="197" applyNumberFormat="1" applyFont="1" applyFill="1" applyBorder="1" applyAlignment="1">
      <alignment horizontal="right" vertical="center" indent="1"/>
    </xf>
    <xf numFmtId="38" fontId="8" fillId="0" borderId="50" xfId="197" applyNumberFormat="1" applyFont="1" applyFill="1" applyBorder="1" applyAlignment="1">
      <alignment horizontal="right" vertical="center" indent="1"/>
    </xf>
    <xf numFmtId="38" fontId="8" fillId="0" borderId="73" xfId="197" applyNumberFormat="1" applyFont="1" applyFill="1" applyBorder="1" applyAlignment="1">
      <alignment horizontal="right" vertical="center" indent="1"/>
    </xf>
    <xf numFmtId="38" fontId="8" fillId="0" borderId="69" xfId="197" applyNumberFormat="1" applyFont="1" applyFill="1" applyBorder="1" applyAlignment="1">
      <alignment horizontal="right" vertical="center" indent="1"/>
    </xf>
    <xf numFmtId="0" fontId="8" fillId="0" borderId="65" xfId="197" applyFont="1" applyBorder="1"/>
    <xf numFmtId="0" fontId="8" fillId="0" borderId="65" xfId="197" applyFont="1" applyBorder="1" applyAlignment="1"/>
    <xf numFmtId="38" fontId="8" fillId="0" borderId="0" xfId="197" applyNumberFormat="1" applyFont="1"/>
    <xf numFmtId="0" fontId="67" fillId="0" borderId="48" xfId="197" applyFont="1" applyBorder="1" applyAlignment="1">
      <alignment horizontal="left" vertical="center"/>
    </xf>
    <xf numFmtId="0" fontId="67" fillId="0" borderId="0" xfId="197" applyFont="1" applyBorder="1" applyAlignment="1">
      <alignment horizontal="left" vertical="center"/>
    </xf>
    <xf numFmtId="0" fontId="8" fillId="0" borderId="65" xfId="197" applyFont="1" applyBorder="1" applyAlignment="1">
      <alignment horizontal="center" vertical="center" textRotation="255"/>
    </xf>
    <xf numFmtId="0" fontId="8" fillId="0" borderId="18" xfId="197" applyFont="1" applyBorder="1" applyAlignment="1">
      <alignment horizontal="center" vertical="center"/>
    </xf>
    <xf numFmtId="3" fontId="8" fillId="0" borderId="17" xfId="197" applyNumberFormat="1" applyFont="1" applyBorder="1" applyAlignment="1">
      <alignment horizontal="right" vertical="center" indent="1"/>
    </xf>
    <xf numFmtId="3" fontId="8" fillId="0" borderId="0" xfId="197" applyNumberFormat="1" applyFont="1" applyBorder="1" applyAlignment="1">
      <alignment horizontal="right" vertical="center" indent="1"/>
    </xf>
    <xf numFmtId="1" fontId="8" fillId="0" borderId="17" xfId="197" applyNumberFormat="1" applyFont="1" applyBorder="1" applyAlignment="1">
      <alignment horizontal="right" vertical="center" indent="1"/>
    </xf>
    <xf numFmtId="3" fontId="8" fillId="0" borderId="16" xfId="197" applyNumberFormat="1" applyFont="1" applyBorder="1" applyAlignment="1">
      <alignment horizontal="right" vertical="center" indent="1"/>
    </xf>
    <xf numFmtId="1" fontId="8" fillId="0" borderId="16" xfId="197" applyNumberFormat="1" applyFont="1" applyBorder="1" applyAlignment="1">
      <alignment horizontal="right" vertical="center" indent="1"/>
    </xf>
    <xf numFmtId="0" fontId="8" fillId="0" borderId="0" xfId="197" applyFont="1" applyFill="1" applyAlignment="1">
      <alignment vertical="center"/>
    </xf>
    <xf numFmtId="0" fontId="8" fillId="0" borderId="15" xfId="197" applyFont="1" applyBorder="1" applyAlignment="1">
      <alignment horizontal="center" vertical="center"/>
    </xf>
    <xf numFmtId="3" fontId="8" fillId="0" borderId="14" xfId="197" applyNumberFormat="1" applyFont="1" applyBorder="1" applyAlignment="1">
      <alignment horizontal="right" vertical="center" indent="1"/>
    </xf>
    <xf numFmtId="1" fontId="8" fillId="0" borderId="14" xfId="197" applyNumberFormat="1" applyFont="1" applyBorder="1" applyAlignment="1">
      <alignment horizontal="right" vertical="center" indent="1"/>
    </xf>
    <xf numFmtId="3" fontId="8" fillId="0" borderId="24" xfId="197" applyNumberFormat="1" applyFont="1" applyBorder="1" applyAlignment="1">
      <alignment horizontal="right" vertical="center" indent="1"/>
    </xf>
    <xf numFmtId="3" fontId="8" fillId="0" borderId="13" xfId="197" applyNumberFormat="1" applyFont="1" applyBorder="1" applyAlignment="1">
      <alignment horizontal="right" vertical="center" indent="1"/>
    </xf>
    <xf numFmtId="1" fontId="8" fillId="0" borderId="13" xfId="197" applyNumberFormat="1" applyFont="1" applyBorder="1" applyAlignment="1">
      <alignment horizontal="right" vertical="center" indent="1"/>
    </xf>
    <xf numFmtId="0" fontId="8" fillId="0" borderId="0" xfId="197" applyFont="1" applyFill="1" applyBorder="1" applyAlignment="1">
      <alignment vertical="center"/>
    </xf>
    <xf numFmtId="0" fontId="7" fillId="0" borderId="0" xfId="197"/>
    <xf numFmtId="0" fontId="130" fillId="0" borderId="0" xfId="197" applyFont="1" applyBorder="1" applyAlignment="1">
      <alignment horizontal="center" vertical="center"/>
    </xf>
    <xf numFmtId="0" fontId="8" fillId="0" borderId="0" xfId="197" applyFont="1" applyBorder="1" applyAlignment="1">
      <alignment horizontal="center" vertical="center"/>
    </xf>
    <xf numFmtId="0" fontId="67" fillId="0" borderId="0" xfId="197" applyFont="1" applyFill="1" applyBorder="1" applyAlignment="1">
      <alignment horizontal="right" vertical="center"/>
    </xf>
    <xf numFmtId="3" fontId="8" fillId="0" borderId="95" xfId="197" applyNumberFormat="1" applyFont="1" applyFill="1" applyBorder="1" applyAlignment="1">
      <alignment horizontal="right" vertical="center" indent="1"/>
    </xf>
    <xf numFmtId="3" fontId="8" fillId="0" borderId="72" xfId="197" applyNumberFormat="1" applyFont="1" applyFill="1" applyBorder="1" applyAlignment="1">
      <alignment horizontal="right" vertical="center" indent="1"/>
    </xf>
    <xf numFmtId="3" fontId="8" fillId="0" borderId="16" xfId="197" applyNumberFormat="1" applyFont="1" applyFill="1" applyBorder="1" applyAlignment="1">
      <alignment horizontal="right" vertical="center" indent="1"/>
    </xf>
    <xf numFmtId="3" fontId="8" fillId="0" borderId="96" xfId="197" applyNumberFormat="1" applyFont="1" applyFill="1" applyBorder="1" applyAlignment="1">
      <alignment horizontal="right" vertical="center" indent="1"/>
    </xf>
    <xf numFmtId="3" fontId="8" fillId="0" borderId="69" xfId="197" applyNumberFormat="1" applyFont="1" applyFill="1" applyBorder="1" applyAlignment="1">
      <alignment horizontal="right" vertical="center" indent="1"/>
    </xf>
    <xf numFmtId="0" fontId="8" fillId="0" borderId="0" xfId="197" applyFont="1" applyFill="1" applyBorder="1" applyAlignment="1"/>
    <xf numFmtId="0" fontId="7" fillId="0" borderId="0" xfId="197" applyFill="1"/>
    <xf numFmtId="0" fontId="8" fillId="0" borderId="0" xfId="197" applyFont="1" applyFill="1"/>
    <xf numFmtId="0" fontId="8" fillId="0" borderId="49" xfId="197" applyFont="1" applyFill="1" applyBorder="1" applyAlignment="1">
      <alignment horizontal="center" vertical="center"/>
    </xf>
    <xf numFmtId="0" fontId="8" fillId="0" borderId="65" xfId="197" applyFont="1" applyFill="1" applyBorder="1" applyAlignment="1">
      <alignment horizontal="center" vertical="center"/>
    </xf>
    <xf numFmtId="0" fontId="8" fillId="0" borderId="79" xfId="197" applyFont="1" applyFill="1" applyBorder="1" applyAlignment="1">
      <alignment horizontal="center" vertical="center"/>
    </xf>
    <xf numFmtId="0" fontId="8" fillId="0" borderId="13" xfId="197" applyFont="1" applyFill="1" applyBorder="1" applyAlignment="1">
      <alignment horizontal="center" vertical="center"/>
    </xf>
    <xf numFmtId="0" fontId="8" fillId="0" borderId="47" xfId="197" applyFont="1" applyFill="1" applyBorder="1" applyAlignment="1">
      <alignment horizontal="center" vertical="center"/>
    </xf>
    <xf numFmtId="3" fontId="8" fillId="0" borderId="0" xfId="197" applyNumberFormat="1" applyFont="1" applyFill="1" applyBorder="1" applyAlignment="1">
      <alignment horizontal="right" vertical="center" indent="1"/>
    </xf>
    <xf numFmtId="1" fontId="8" fillId="0" borderId="0" xfId="197" applyNumberFormat="1" applyFont="1" applyFill="1" applyBorder="1" applyAlignment="1">
      <alignment horizontal="right" vertical="center" indent="1"/>
    </xf>
    <xf numFmtId="2" fontId="8" fillId="0" borderId="0" xfId="197" applyNumberFormat="1" applyFont="1" applyFill="1" applyBorder="1" applyAlignment="1">
      <alignment horizontal="right" vertical="center" indent="1"/>
    </xf>
    <xf numFmtId="179" fontId="8" fillId="0" borderId="76" xfId="197" applyNumberFormat="1" applyFont="1" applyFill="1" applyBorder="1" applyAlignment="1">
      <alignment horizontal="right" vertical="center" indent="1"/>
    </xf>
    <xf numFmtId="178" fontId="8" fillId="0" borderId="0" xfId="210" applyNumberFormat="1" applyFont="1" applyFill="1" applyBorder="1" applyAlignment="1">
      <alignment horizontal="right" vertical="center" indent="1"/>
    </xf>
    <xf numFmtId="0" fontId="8" fillId="0" borderId="0" xfId="197" applyFont="1" applyFill="1" applyBorder="1" applyAlignment="1">
      <alignment horizontal="right" vertical="center" indent="1"/>
    </xf>
    <xf numFmtId="0" fontId="8" fillId="0" borderId="0" xfId="197" applyFont="1" applyFill="1" applyAlignment="1">
      <alignment horizontal="center" vertical="center"/>
    </xf>
    <xf numFmtId="0" fontId="8" fillId="0" borderId="0" xfId="197" applyFont="1" applyFill="1" applyBorder="1" applyAlignment="1">
      <alignment horizontal="center" vertical="center"/>
    </xf>
    <xf numFmtId="0" fontId="8" fillId="0" borderId="16" xfId="197" applyFont="1" applyFill="1" applyBorder="1" applyAlignment="1">
      <alignment horizontal="right" vertical="center" indent="1"/>
    </xf>
    <xf numFmtId="2" fontId="8" fillId="0" borderId="18" xfId="197" applyNumberFormat="1" applyFont="1" applyFill="1" applyBorder="1" applyAlignment="1">
      <alignment horizontal="right" vertical="center" indent="1"/>
    </xf>
    <xf numFmtId="0" fontId="155" fillId="0" borderId="0" xfId="197" applyFont="1" applyFill="1" applyAlignment="1">
      <alignment horizontal="center" vertical="center"/>
    </xf>
    <xf numFmtId="3" fontId="8" fillId="0" borderId="0" xfId="197" applyNumberFormat="1" applyFont="1" applyFill="1" applyAlignment="1">
      <alignment horizontal="right" vertical="center" indent="1"/>
    </xf>
    <xf numFmtId="0" fontId="8" fillId="0" borderId="0" xfId="197" applyFont="1" applyFill="1" applyAlignment="1">
      <alignment horizontal="right" vertical="center" indent="1"/>
    </xf>
    <xf numFmtId="2" fontId="8" fillId="0" borderId="15" xfId="197" applyNumberFormat="1" applyFont="1" applyFill="1" applyBorder="1" applyAlignment="1">
      <alignment horizontal="right" vertical="center" indent="1"/>
    </xf>
    <xf numFmtId="3" fontId="8" fillId="0" borderId="24" xfId="197" applyNumberFormat="1" applyFont="1" applyFill="1" applyBorder="1" applyAlignment="1">
      <alignment horizontal="right" vertical="center" indent="1"/>
    </xf>
    <xf numFmtId="2" fontId="8" fillId="0" borderId="24" xfId="197" applyNumberFormat="1" applyFont="1" applyFill="1" applyBorder="1" applyAlignment="1">
      <alignment horizontal="right" vertical="center" indent="1"/>
    </xf>
    <xf numFmtId="178" fontId="8" fillId="0" borderId="24" xfId="210" applyNumberFormat="1" applyFont="1" applyFill="1" applyBorder="1" applyAlignment="1">
      <alignment horizontal="right" vertical="center" indent="1"/>
    </xf>
    <xf numFmtId="0" fontId="8" fillId="0" borderId="24" xfId="197" applyFont="1" applyFill="1" applyBorder="1" applyAlignment="1">
      <alignment horizontal="right" vertical="center" indent="1"/>
    </xf>
    <xf numFmtId="0" fontId="67" fillId="0" borderId="0" xfId="197" applyFont="1" applyFill="1" applyBorder="1" applyAlignment="1">
      <alignment vertical="center"/>
    </xf>
    <xf numFmtId="0" fontId="67" fillId="0" borderId="0" xfId="197" applyFont="1" applyFill="1" applyAlignment="1">
      <alignment vertical="center"/>
    </xf>
    <xf numFmtId="0" fontId="8" fillId="0" borderId="49" xfId="197" applyFont="1" applyBorder="1" applyAlignment="1">
      <alignment horizontal="center" vertical="center"/>
    </xf>
    <xf numFmtId="41" fontId="8" fillId="0" borderId="50" xfId="197" applyNumberFormat="1" applyFont="1" applyBorder="1" applyAlignment="1">
      <alignment horizontal="right" vertical="center" shrinkToFit="1"/>
    </xf>
    <xf numFmtId="43" fontId="8" fillId="0" borderId="47" xfId="197" applyNumberFormat="1" applyFont="1" applyBorder="1" applyAlignment="1">
      <alignment horizontal="right" vertical="center" shrinkToFit="1"/>
    </xf>
    <xf numFmtId="41" fontId="8" fillId="0" borderId="48" xfId="197" applyNumberFormat="1" applyFont="1" applyBorder="1" applyAlignment="1">
      <alignment horizontal="right" vertical="center" shrinkToFit="1"/>
    </xf>
    <xf numFmtId="41" fontId="8" fillId="0" borderId="48" xfId="197" applyNumberFormat="1" applyFont="1" applyFill="1" applyBorder="1" applyAlignment="1">
      <alignment horizontal="right" vertical="center" shrinkToFit="1"/>
    </xf>
    <xf numFmtId="43" fontId="8" fillId="0" borderId="47" xfId="197" applyNumberFormat="1" applyFont="1" applyFill="1" applyBorder="1" applyAlignment="1">
      <alignment horizontal="right" vertical="center" shrinkToFit="1"/>
    </xf>
    <xf numFmtId="43" fontId="8" fillId="0" borderId="48" xfId="197" applyNumberFormat="1" applyFont="1" applyFill="1" applyBorder="1" applyAlignment="1">
      <alignment horizontal="right" vertical="center" shrinkToFit="1"/>
    </xf>
    <xf numFmtId="41" fontId="8" fillId="0" borderId="50" xfId="197" applyNumberFormat="1" applyFont="1" applyFill="1" applyBorder="1" applyAlignment="1">
      <alignment horizontal="right" vertical="center" shrinkToFit="1"/>
    </xf>
    <xf numFmtId="41" fontId="8" fillId="0" borderId="16" xfId="197" applyNumberFormat="1" applyFont="1" applyBorder="1" applyAlignment="1">
      <alignment horizontal="right" vertical="center"/>
    </xf>
    <xf numFmtId="43" fontId="8" fillId="0" borderId="18" xfId="197" applyNumberFormat="1" applyFont="1" applyBorder="1" applyAlignment="1">
      <alignment horizontal="right" vertical="center"/>
    </xf>
    <xf numFmtId="43" fontId="8" fillId="0" borderId="18" xfId="197" applyNumberFormat="1" applyFont="1" applyBorder="1" applyAlignment="1">
      <alignment horizontal="right" vertical="center" shrinkToFit="1"/>
    </xf>
    <xf numFmtId="41" fontId="8" fillId="0" borderId="0" xfId="197" applyNumberFormat="1" applyFont="1" applyBorder="1" applyAlignment="1">
      <alignment horizontal="right" vertical="center"/>
    </xf>
    <xf numFmtId="41" fontId="8" fillId="0" borderId="0" xfId="197" applyNumberFormat="1" applyFont="1" applyFill="1" applyBorder="1" applyAlignment="1">
      <alignment horizontal="right" vertical="center"/>
    </xf>
    <xf numFmtId="43" fontId="8" fillId="0" borderId="18" xfId="197" applyNumberFormat="1" applyFont="1" applyFill="1" applyBorder="1" applyAlignment="1">
      <alignment horizontal="right" vertical="center" shrinkToFit="1"/>
    </xf>
    <xf numFmtId="43" fontId="8" fillId="0" borderId="0" xfId="197" applyNumberFormat="1" applyFont="1" applyFill="1" applyBorder="1" applyAlignment="1">
      <alignment horizontal="right" vertical="center"/>
    </xf>
    <xf numFmtId="41" fontId="8" fillId="0" borderId="16" xfId="197" applyNumberFormat="1" applyFont="1" applyFill="1" applyBorder="1" applyAlignment="1">
      <alignment horizontal="right" vertical="center"/>
    </xf>
    <xf numFmtId="43" fontId="8" fillId="0" borderId="18" xfId="197" applyNumberFormat="1" applyFont="1" applyFill="1" applyBorder="1" applyAlignment="1">
      <alignment horizontal="right" vertical="center"/>
    </xf>
    <xf numFmtId="0" fontId="8" fillId="0" borderId="15" xfId="138" applyFont="1" applyBorder="1" applyAlignment="1">
      <alignment horizontal="distributed" vertical="center" wrapText="1"/>
    </xf>
    <xf numFmtId="41" fontId="8" fillId="0" borderId="24" xfId="197" applyNumberFormat="1" applyFont="1" applyBorder="1" applyAlignment="1">
      <alignment horizontal="right" vertical="center"/>
    </xf>
    <xf numFmtId="43" fontId="8" fillId="0" borderId="15" xfId="197" applyNumberFormat="1" applyFont="1" applyBorder="1" applyAlignment="1">
      <alignment horizontal="right" vertical="center"/>
    </xf>
    <xf numFmtId="43" fontId="8" fillId="0" borderId="15" xfId="197" applyNumberFormat="1" applyFont="1" applyBorder="1" applyAlignment="1">
      <alignment horizontal="right" vertical="center" shrinkToFit="1"/>
    </xf>
    <xf numFmtId="41" fontId="8" fillId="0" borderId="24" xfId="197" applyNumberFormat="1" applyFont="1" applyFill="1" applyBorder="1" applyAlignment="1">
      <alignment horizontal="right" vertical="center"/>
    </xf>
    <xf numFmtId="43" fontId="8" fillId="0" borderId="15" xfId="197" applyNumberFormat="1" applyFont="1" applyFill="1" applyBorder="1" applyAlignment="1">
      <alignment horizontal="right" vertical="center" shrinkToFit="1"/>
    </xf>
    <xf numFmtId="43" fontId="8" fillId="0" borderId="15" xfId="197" applyNumberFormat="1" applyFont="1" applyFill="1" applyBorder="1" applyAlignment="1">
      <alignment horizontal="right" vertical="center"/>
    </xf>
    <xf numFmtId="41" fontId="8" fillId="0" borderId="13" xfId="197" applyNumberFormat="1" applyFont="1" applyFill="1" applyBorder="1" applyAlignment="1">
      <alignment horizontal="right" vertical="center"/>
    </xf>
    <xf numFmtId="43" fontId="8" fillId="0" borderId="24" xfId="197" applyNumberFormat="1" applyFont="1" applyFill="1" applyBorder="1" applyAlignment="1">
      <alignment horizontal="right" vertical="center"/>
    </xf>
    <xf numFmtId="3" fontId="8" fillId="0" borderId="0" xfId="197" applyNumberFormat="1" applyFont="1" applyAlignment="1">
      <alignment vertical="center"/>
    </xf>
    <xf numFmtId="4" fontId="8" fillId="0" borderId="0" xfId="197" applyNumberFormat="1" applyFont="1" applyAlignment="1">
      <alignment vertical="center"/>
    </xf>
    <xf numFmtId="3" fontId="8" fillId="0" borderId="0" xfId="197" applyNumberFormat="1" applyFont="1" applyFill="1" applyAlignment="1">
      <alignment vertical="center"/>
    </xf>
    <xf numFmtId="4" fontId="8" fillId="0" borderId="0" xfId="197" applyNumberFormat="1" applyFont="1" applyFill="1" applyAlignment="1">
      <alignment vertical="center"/>
    </xf>
    <xf numFmtId="3" fontId="67" fillId="0" borderId="0" xfId="197" applyNumberFormat="1" applyFont="1" applyAlignment="1">
      <alignment vertical="center"/>
    </xf>
    <xf numFmtId="3" fontId="67" fillId="0" borderId="0" xfId="197" applyNumberFormat="1" applyFont="1" applyFill="1" applyAlignment="1">
      <alignment vertical="center"/>
    </xf>
    <xf numFmtId="0" fontId="120" fillId="0" borderId="0" xfId="197" applyFont="1" applyAlignment="1">
      <alignment vertical="center"/>
    </xf>
    <xf numFmtId="0" fontId="8" fillId="0" borderId="0" xfId="197" applyFont="1" applyAlignment="1">
      <alignment horizontal="center"/>
    </xf>
    <xf numFmtId="0" fontId="8" fillId="0" borderId="18" xfId="197" applyFont="1" applyBorder="1" applyAlignment="1">
      <alignment vertical="center"/>
    </xf>
    <xf numFmtId="41" fontId="8" fillId="0" borderId="48" xfId="197" applyNumberFormat="1" applyFont="1" applyBorder="1" applyAlignment="1">
      <alignment horizontal="right" vertical="center"/>
    </xf>
    <xf numFmtId="43" fontId="8" fillId="0" borderId="48" xfId="197" applyNumberFormat="1" applyFont="1" applyBorder="1" applyAlignment="1">
      <alignment horizontal="right" vertical="center"/>
    </xf>
    <xf numFmtId="41" fontId="8" fillId="0" borderId="50" xfId="197" applyNumberFormat="1" applyFont="1" applyBorder="1" applyAlignment="1">
      <alignment horizontal="right" vertical="center"/>
    </xf>
    <xf numFmtId="43" fontId="8" fillId="0" borderId="0" xfId="197" applyNumberFormat="1" applyFont="1" applyBorder="1" applyAlignment="1">
      <alignment horizontal="right" vertical="center"/>
    </xf>
    <xf numFmtId="0" fontId="8" fillId="0" borderId="18" xfId="197" applyFont="1" applyBorder="1" applyAlignment="1">
      <alignment horizontal="right" vertical="center"/>
    </xf>
    <xf numFmtId="41" fontId="8" fillId="0" borderId="16" xfId="197" applyNumberFormat="1" applyFont="1" applyFill="1" applyBorder="1" applyAlignment="1">
      <alignment horizontal="right" vertical="center" shrinkToFit="1"/>
    </xf>
    <xf numFmtId="0" fontId="8" fillId="0" borderId="15" xfId="197" applyFont="1" applyBorder="1" applyAlignment="1">
      <alignment horizontal="right" vertical="center"/>
    </xf>
    <xf numFmtId="41" fontId="8" fillId="0" borderId="13" xfId="197" applyNumberFormat="1" applyFont="1" applyBorder="1" applyAlignment="1">
      <alignment horizontal="right" vertical="center"/>
    </xf>
    <xf numFmtId="41" fontId="8" fillId="0" borderId="13" xfId="197" applyNumberFormat="1" applyFont="1" applyFill="1" applyBorder="1" applyAlignment="1">
      <alignment horizontal="right" vertical="center" shrinkToFit="1"/>
    </xf>
    <xf numFmtId="43" fontId="8" fillId="0" borderId="47" xfId="197" applyNumberFormat="1" applyFont="1" applyBorder="1" applyAlignment="1">
      <alignment horizontal="right" vertical="center"/>
    </xf>
    <xf numFmtId="43" fontId="8" fillId="0" borderId="0" xfId="197" applyNumberFormat="1" applyFont="1"/>
    <xf numFmtId="43" fontId="8" fillId="0" borderId="70" xfId="197" applyNumberFormat="1" applyFont="1" applyBorder="1" applyAlignment="1">
      <alignment horizontal="right" vertical="center"/>
    </xf>
    <xf numFmtId="0" fontId="8" fillId="0" borderId="43" xfId="197" applyFont="1" applyBorder="1" applyAlignment="1">
      <alignment horizontal="center" vertical="center"/>
    </xf>
    <xf numFmtId="0" fontId="8" fillId="0" borderId="47" xfId="197" applyFont="1" applyBorder="1" applyAlignment="1">
      <alignment vertical="center"/>
    </xf>
    <xf numFmtId="43" fontId="8" fillId="0" borderId="0" xfId="197" applyNumberFormat="1" applyFont="1" applyAlignment="1">
      <alignment vertical="center"/>
    </xf>
    <xf numFmtId="43" fontId="8" fillId="0" borderId="0" xfId="197" applyNumberFormat="1" applyFont="1" applyFill="1" applyBorder="1" applyAlignment="1">
      <alignment horizontal="right" vertical="center" shrinkToFit="1"/>
    </xf>
    <xf numFmtId="41" fontId="8" fillId="0" borderId="16" xfId="197" applyNumberFormat="1" applyFont="1" applyBorder="1" applyAlignment="1">
      <alignment vertical="center"/>
    </xf>
    <xf numFmtId="41" fontId="8" fillId="0" borderId="13" xfId="197" applyNumberFormat="1" applyFont="1" applyBorder="1" applyAlignment="1">
      <alignment vertical="center"/>
    </xf>
    <xf numFmtId="43" fontId="8" fillId="0" borderId="15" xfId="197" applyNumberFormat="1" applyFont="1" applyBorder="1" applyAlignment="1">
      <alignment vertical="center"/>
    </xf>
    <xf numFmtId="43" fontId="8" fillId="0" borderId="24" xfId="197" applyNumberFormat="1" applyFont="1" applyFill="1" applyBorder="1" applyAlignment="1">
      <alignment horizontal="right" vertical="center" shrinkToFit="1"/>
    </xf>
    <xf numFmtId="4" fontId="8" fillId="0" borderId="0" xfId="197" applyNumberFormat="1" applyFont="1"/>
    <xf numFmtId="2" fontId="8" fillId="0" borderId="0" xfId="197" applyNumberFormat="1" applyFont="1" applyFill="1" applyBorder="1" applyAlignment="1">
      <alignment horizontal="right" vertical="center"/>
    </xf>
    <xf numFmtId="41" fontId="8" fillId="0" borderId="50" xfId="197" applyNumberFormat="1" applyFont="1" applyFill="1" applyBorder="1" applyAlignment="1">
      <alignment horizontal="right" vertical="center"/>
    </xf>
    <xf numFmtId="43" fontId="8" fillId="0" borderId="47" xfId="197" applyNumberFormat="1" applyFont="1" applyFill="1" applyBorder="1" applyAlignment="1">
      <alignment horizontal="right"/>
    </xf>
    <xf numFmtId="41" fontId="8" fillId="0" borderId="48" xfId="197" applyNumberFormat="1" applyFont="1" applyFill="1" applyBorder="1" applyAlignment="1">
      <alignment horizontal="right"/>
    </xf>
    <xf numFmtId="43" fontId="8" fillId="0" borderId="48" xfId="197" applyNumberFormat="1" applyFont="1" applyFill="1" applyBorder="1" applyAlignment="1">
      <alignment horizontal="right"/>
    </xf>
    <xf numFmtId="41" fontId="8" fillId="0" borderId="0" xfId="197" applyNumberFormat="1" applyFont="1" applyBorder="1"/>
    <xf numFmtId="43" fontId="8" fillId="0" borderId="18" xfId="197" applyNumberFormat="1" applyFont="1" applyFill="1" applyBorder="1" applyAlignment="1">
      <alignment horizontal="right"/>
    </xf>
    <xf numFmtId="41" fontId="8" fillId="0" borderId="0" xfId="197" applyNumberFormat="1" applyFont="1" applyFill="1" applyBorder="1" applyAlignment="1">
      <alignment horizontal="right"/>
    </xf>
    <xf numFmtId="43" fontId="8" fillId="0" borderId="0" xfId="197" applyNumberFormat="1" applyFont="1" applyFill="1" applyBorder="1" applyAlignment="1">
      <alignment horizontal="right"/>
    </xf>
    <xf numFmtId="41" fontId="8" fillId="0" borderId="16" xfId="197" applyNumberFormat="1" applyFont="1" applyFill="1" applyBorder="1" applyAlignment="1">
      <alignment horizontal="right"/>
    </xf>
    <xf numFmtId="43" fontId="8" fillId="0" borderId="15" xfId="197" applyNumberFormat="1" applyFont="1" applyFill="1" applyBorder="1" applyAlignment="1">
      <alignment horizontal="right"/>
    </xf>
    <xf numFmtId="41" fontId="8" fillId="0" borderId="24" xfId="197" applyNumberFormat="1" applyFont="1" applyFill="1" applyBorder="1" applyAlignment="1">
      <alignment horizontal="right"/>
    </xf>
    <xf numFmtId="43" fontId="8" fillId="0" borderId="24" xfId="197" applyNumberFormat="1" applyFont="1" applyFill="1" applyBorder="1" applyAlignment="1">
      <alignment horizontal="right"/>
    </xf>
    <xf numFmtId="0" fontId="8" fillId="0" borderId="0" xfId="197" applyFont="1" applyAlignment="1">
      <alignment horizontal="center" vertical="center"/>
    </xf>
    <xf numFmtId="0" fontId="8" fillId="0" borderId="47" xfId="138" applyFont="1" applyBorder="1" applyAlignment="1">
      <alignment horizontal="distributed" vertical="center" wrapText="1"/>
    </xf>
    <xf numFmtId="179" fontId="8" fillId="0" borderId="50" xfId="197" applyNumberFormat="1" applyFont="1" applyBorder="1" applyAlignment="1">
      <alignment horizontal="right" vertical="center"/>
    </xf>
    <xf numFmtId="193" fontId="8" fillId="0" borderId="47" xfId="197" applyNumberFormat="1" applyFont="1" applyBorder="1" applyAlignment="1">
      <alignment horizontal="right" vertical="center"/>
    </xf>
    <xf numFmtId="193" fontId="8" fillId="0" borderId="48" xfId="197" applyNumberFormat="1" applyFont="1" applyBorder="1" applyAlignment="1">
      <alignment horizontal="right" vertical="center"/>
    </xf>
    <xf numFmtId="179" fontId="8" fillId="0" borderId="48" xfId="197" applyNumberFormat="1" applyFont="1" applyBorder="1" applyAlignment="1">
      <alignment horizontal="right" vertical="center"/>
    </xf>
    <xf numFmtId="186" fontId="8" fillId="0" borderId="50" xfId="197" applyNumberFormat="1" applyFont="1" applyFill="1" applyBorder="1" applyAlignment="1">
      <alignment horizontal="right" vertical="center" shrinkToFit="1"/>
    </xf>
    <xf numFmtId="193" fontId="8" fillId="0" borderId="48" xfId="197" applyNumberFormat="1" applyFont="1" applyFill="1" applyBorder="1" applyAlignment="1">
      <alignment horizontal="right" vertical="center"/>
    </xf>
    <xf numFmtId="179" fontId="8" fillId="0" borderId="0" xfId="197" applyNumberFormat="1" applyFont="1" applyBorder="1" applyAlignment="1">
      <alignment horizontal="right" vertical="center"/>
    </xf>
    <xf numFmtId="193" fontId="8" fillId="0" borderId="18" xfId="197" applyNumberFormat="1" applyFont="1" applyBorder="1" applyAlignment="1">
      <alignment horizontal="right" vertical="center"/>
    </xf>
    <xf numFmtId="179" fontId="8" fillId="0" borderId="16" xfId="197" applyNumberFormat="1" applyFont="1" applyBorder="1" applyAlignment="1">
      <alignment horizontal="right" vertical="center"/>
    </xf>
    <xf numFmtId="193" fontId="8" fillId="0" borderId="0" xfId="197" applyNumberFormat="1" applyFont="1" applyBorder="1" applyAlignment="1">
      <alignment horizontal="right" vertical="center"/>
    </xf>
    <xf numFmtId="41" fontId="8" fillId="0" borderId="18" xfId="197" applyNumberFormat="1" applyFont="1" applyBorder="1" applyAlignment="1">
      <alignment horizontal="right" vertical="center"/>
    </xf>
    <xf numFmtId="193" fontId="8" fillId="0" borderId="0" xfId="197" applyNumberFormat="1" applyFont="1" applyFill="1" applyBorder="1" applyAlignment="1">
      <alignment horizontal="right" vertical="center"/>
    </xf>
    <xf numFmtId="0" fontId="8" fillId="0" borderId="43" xfId="197" applyFont="1" applyBorder="1" applyAlignment="1">
      <alignment horizontal="center" vertical="center" shrinkToFit="1"/>
    </xf>
    <xf numFmtId="0" fontId="8" fillId="0" borderId="24" xfId="197" applyFont="1" applyBorder="1" applyAlignment="1">
      <alignment horizontal="center" vertical="center" shrinkToFit="1"/>
    </xf>
    <xf numFmtId="193" fontId="8" fillId="0" borderId="47" xfId="197" applyNumberFormat="1" applyFont="1" applyFill="1" applyBorder="1" applyAlignment="1">
      <alignment horizontal="right" vertical="center"/>
    </xf>
    <xf numFmtId="186" fontId="8" fillId="0" borderId="48" xfId="197" applyNumberFormat="1" applyFont="1" applyFill="1" applyBorder="1" applyAlignment="1">
      <alignment horizontal="right" vertical="center"/>
    </xf>
    <xf numFmtId="197" fontId="8" fillId="0" borderId="48" xfId="197" applyNumberFormat="1" applyFont="1" applyBorder="1" applyAlignment="1">
      <alignment horizontal="right" vertical="center"/>
    </xf>
    <xf numFmtId="193" fontId="8" fillId="0" borderId="18" xfId="197" applyNumberFormat="1" applyFont="1" applyFill="1" applyBorder="1" applyAlignment="1">
      <alignment horizontal="right" vertical="center"/>
    </xf>
    <xf numFmtId="0" fontId="8" fillId="0" borderId="16" xfId="197" applyFont="1" applyBorder="1" applyAlignment="1">
      <alignment horizontal="right" vertical="center"/>
    </xf>
    <xf numFmtId="197" fontId="8" fillId="0" borderId="0" xfId="197" applyNumberFormat="1" applyFont="1" applyAlignment="1">
      <alignment horizontal="right" vertical="center"/>
    </xf>
    <xf numFmtId="3" fontId="8" fillId="0" borderId="16" xfId="197" applyNumberFormat="1" applyFont="1" applyBorder="1" applyAlignment="1">
      <alignment horizontal="right" vertical="center"/>
    </xf>
    <xf numFmtId="41" fontId="8" fillId="0" borderId="15" xfId="197" applyNumberFormat="1" applyFont="1" applyFill="1" applyBorder="1" applyAlignment="1">
      <alignment horizontal="right" vertical="center"/>
    </xf>
    <xf numFmtId="41" fontId="8" fillId="0" borderId="15" xfId="197" applyNumberFormat="1" applyFont="1" applyBorder="1" applyAlignment="1">
      <alignment horizontal="right" vertical="center"/>
    </xf>
    <xf numFmtId="2" fontId="8" fillId="0" borderId="0" xfId="197" applyNumberFormat="1" applyFont="1" applyAlignment="1">
      <alignment vertical="center"/>
    </xf>
    <xf numFmtId="186" fontId="8" fillId="0" borderId="0" xfId="197" applyNumberFormat="1" applyFont="1" applyAlignment="1">
      <alignment vertical="center"/>
    </xf>
    <xf numFmtId="193" fontId="8" fillId="0" borderId="0" xfId="197" applyNumberFormat="1" applyFont="1" applyAlignment="1">
      <alignment vertical="center"/>
    </xf>
    <xf numFmtId="0" fontId="8" fillId="0" borderId="0" xfId="197" applyFont="1" applyAlignment="1"/>
    <xf numFmtId="179" fontId="8" fillId="0" borderId="0" xfId="197" applyNumberFormat="1" applyFont="1" applyFill="1" applyBorder="1" applyAlignment="1">
      <alignment horizontal="right" vertical="center"/>
    </xf>
    <xf numFmtId="180" fontId="8" fillId="0" borderId="0" xfId="197" applyNumberFormat="1" applyFont="1" applyFill="1" applyBorder="1" applyAlignment="1">
      <alignment horizontal="right" vertical="center"/>
    </xf>
    <xf numFmtId="179" fontId="8" fillId="0" borderId="13" xfId="197" applyNumberFormat="1" applyFont="1" applyBorder="1" applyAlignment="1">
      <alignment horizontal="right" vertical="center"/>
    </xf>
    <xf numFmtId="179" fontId="8" fillId="0" borderId="24" xfId="197" applyNumberFormat="1" applyFont="1" applyBorder="1" applyAlignment="1">
      <alignment horizontal="right" vertical="center"/>
    </xf>
    <xf numFmtId="0" fontId="8" fillId="0" borderId="48" xfId="197" applyFont="1" applyBorder="1"/>
    <xf numFmtId="0" fontId="8" fillId="0" borderId="0" xfId="197" applyFont="1" applyBorder="1" applyAlignment="1">
      <alignment horizontal="right" vertical="center"/>
    </xf>
    <xf numFmtId="0" fontId="8" fillId="0" borderId="0" xfId="197" applyFont="1" applyBorder="1" applyAlignment="1">
      <alignment horizontal="center"/>
    </xf>
    <xf numFmtId="186" fontId="8" fillId="0" borderId="16" xfId="197" applyNumberFormat="1" applyFont="1" applyFill="1" applyBorder="1" applyAlignment="1">
      <alignment horizontal="right" vertical="center" shrinkToFit="1"/>
    </xf>
    <xf numFmtId="200" fontId="8" fillId="0" borderId="47" xfId="197" applyNumberFormat="1" applyFont="1" applyFill="1" applyBorder="1" applyAlignment="1">
      <alignment horizontal="right" vertical="center" shrinkToFit="1"/>
    </xf>
    <xf numFmtId="200" fontId="8" fillId="0" borderId="48" xfId="197" applyNumberFormat="1" applyFont="1" applyFill="1" applyBorder="1" applyAlignment="1">
      <alignment horizontal="right" vertical="center" shrinkToFit="1"/>
    </xf>
    <xf numFmtId="3" fontId="8" fillId="0" borderId="0" xfId="197" applyNumberFormat="1" applyFont="1" applyBorder="1" applyAlignment="1">
      <alignment horizontal="right" vertical="center"/>
    </xf>
    <xf numFmtId="0" fontId="8" fillId="0" borderId="0" xfId="197" applyFont="1" applyBorder="1" applyAlignment="1">
      <alignment horizontal="right"/>
    </xf>
    <xf numFmtId="200" fontId="8" fillId="0" borderId="18" xfId="197" applyNumberFormat="1" applyFont="1" applyFill="1" applyBorder="1" applyAlignment="1">
      <alignment horizontal="right" vertical="center" shrinkToFit="1"/>
    </xf>
    <xf numFmtId="200" fontId="8" fillId="0" borderId="0" xfId="197" applyNumberFormat="1" applyFont="1" applyFill="1" applyBorder="1" applyAlignment="1">
      <alignment horizontal="right" vertical="center" shrinkToFit="1"/>
    </xf>
    <xf numFmtId="0" fontId="8" fillId="0" borderId="15" xfId="197" applyFont="1" applyBorder="1" applyAlignment="1">
      <alignment horizontal="right"/>
    </xf>
    <xf numFmtId="186" fontId="8" fillId="0" borderId="13" xfId="197" applyNumberFormat="1" applyFont="1" applyFill="1" applyBorder="1" applyAlignment="1">
      <alignment horizontal="right" vertical="center" shrinkToFit="1"/>
    </xf>
    <xf numFmtId="200" fontId="8" fillId="0" borderId="15" xfId="197" applyNumberFormat="1" applyFont="1" applyFill="1" applyBorder="1" applyAlignment="1">
      <alignment horizontal="right" vertical="center" shrinkToFit="1"/>
    </xf>
    <xf numFmtId="200" fontId="8" fillId="0" borderId="24" xfId="197" applyNumberFormat="1" applyFont="1" applyFill="1" applyBorder="1" applyAlignment="1">
      <alignment horizontal="right" vertical="center" shrinkToFit="1"/>
    </xf>
    <xf numFmtId="200" fontId="8" fillId="0" borderId="42" xfId="197" applyNumberFormat="1" applyFont="1" applyFill="1" applyBorder="1" applyAlignment="1">
      <alignment horizontal="right" vertical="center" shrinkToFit="1"/>
    </xf>
    <xf numFmtId="3" fontId="8" fillId="0" borderId="0" xfId="197" applyNumberFormat="1" applyFont="1" applyBorder="1" applyAlignment="1">
      <alignment vertical="center"/>
    </xf>
    <xf numFmtId="3" fontId="8" fillId="0" borderId="48" xfId="197" applyNumberFormat="1" applyFont="1" applyBorder="1" applyAlignment="1">
      <alignment vertical="center"/>
    </xf>
    <xf numFmtId="43" fontId="8" fillId="0" borderId="24" xfId="197" applyNumberFormat="1" applyFont="1" applyBorder="1" applyAlignment="1">
      <alignment horizontal="right" vertical="center"/>
    </xf>
    <xf numFmtId="0" fontId="67" fillId="0" borderId="0" xfId="197" applyFont="1" applyBorder="1" applyAlignment="1"/>
    <xf numFmtId="0" fontId="8" fillId="0" borderId="0" xfId="197" applyFont="1" applyBorder="1" applyAlignment="1"/>
    <xf numFmtId="3" fontId="8" fillId="0" borderId="0" xfId="197" applyNumberFormat="1" applyFont="1"/>
    <xf numFmtId="0" fontId="82" fillId="0" borderId="0" xfId="197" applyFont="1" applyBorder="1" applyAlignment="1"/>
    <xf numFmtId="2" fontId="8" fillId="0" borderId="0" xfId="197" applyNumberFormat="1" applyFont="1"/>
    <xf numFmtId="0" fontId="63" fillId="0" borderId="0" xfId="197" applyFont="1" applyBorder="1" applyAlignment="1">
      <alignment vertical="center"/>
    </xf>
    <xf numFmtId="43" fontId="8" fillId="0" borderId="48" xfId="197" applyNumberFormat="1" applyFont="1" applyBorder="1" applyAlignment="1">
      <alignment horizontal="right" vertical="center" shrinkToFit="1"/>
    </xf>
    <xf numFmtId="0" fontId="8" fillId="0" borderId="0" xfId="197" applyFont="1" applyAlignment="1">
      <alignment horizontal="right" vertical="center"/>
    </xf>
    <xf numFmtId="2" fontId="145" fillId="0" borderId="0" xfId="197" applyNumberFormat="1" applyFont="1" applyFill="1" applyAlignment="1">
      <alignment vertical="center"/>
    </xf>
    <xf numFmtId="0" fontId="8" fillId="0" borderId="24" xfId="197" applyFont="1" applyBorder="1" applyAlignment="1">
      <alignment horizontal="center"/>
    </xf>
    <xf numFmtId="0" fontId="67" fillId="0" borderId="48" xfId="197" applyFont="1" applyBorder="1" applyAlignment="1">
      <alignment vertical="center"/>
    </xf>
    <xf numFmtId="0" fontId="7" fillId="0" borderId="0" xfId="197" applyFont="1"/>
    <xf numFmtId="3" fontId="8" fillId="0" borderId="0" xfId="197" applyNumberFormat="1" applyFont="1" applyFill="1" applyBorder="1" applyAlignment="1">
      <alignment horizontal="center" vertical="center"/>
    </xf>
    <xf numFmtId="0" fontId="8" fillId="0" borderId="0" xfId="197" applyFont="1" applyFill="1" applyBorder="1" applyAlignment="1">
      <alignment horizontal="center"/>
    </xf>
    <xf numFmtId="0" fontId="8" fillId="0" borderId="0" xfId="197" applyFont="1" applyFill="1" applyAlignment="1">
      <alignment horizontal="center"/>
    </xf>
    <xf numFmtId="0" fontId="8" fillId="0" borderId="47" xfId="197" applyFont="1" applyFill="1" applyBorder="1"/>
    <xf numFmtId="0" fontId="8" fillId="0" borderId="0" xfId="197" applyFont="1" applyFill="1" applyBorder="1"/>
    <xf numFmtId="0" fontId="8" fillId="0" borderId="18" xfId="197" applyFont="1" applyFill="1" applyBorder="1" applyAlignment="1">
      <alignment horizontal="right"/>
    </xf>
    <xf numFmtId="0" fontId="8" fillId="0" borderId="15" xfId="197" applyFont="1" applyFill="1" applyBorder="1" applyAlignment="1">
      <alignment horizontal="right"/>
    </xf>
    <xf numFmtId="3" fontId="8" fillId="0" borderId="0" xfId="197" applyNumberFormat="1" applyFont="1" applyFill="1" applyBorder="1"/>
    <xf numFmtId="0" fontId="56" fillId="0" borderId="0" xfId="197" applyFont="1" applyFill="1" applyBorder="1"/>
    <xf numFmtId="0" fontId="67" fillId="0" borderId="0" xfId="197" applyFont="1" applyFill="1"/>
    <xf numFmtId="0" fontId="67" fillId="0" borderId="0" xfId="197" applyFont="1" applyFill="1" applyBorder="1"/>
    <xf numFmtId="0" fontId="63" fillId="0" borderId="0" xfId="197" applyFont="1" applyFill="1" applyBorder="1" applyAlignment="1">
      <alignment vertical="center"/>
    </xf>
    <xf numFmtId="0" fontId="8" fillId="0" borderId="48" xfId="197" applyFont="1" applyBorder="1" applyAlignment="1">
      <alignment horizontal="center"/>
    </xf>
    <xf numFmtId="197" fontId="8" fillId="0" borderId="18" xfId="197" applyNumberFormat="1" applyFont="1" applyBorder="1" applyAlignment="1">
      <alignment horizontal="right" vertical="center"/>
    </xf>
    <xf numFmtId="197" fontId="8" fillId="0" borderId="0" xfId="197" applyNumberFormat="1" applyFont="1" applyBorder="1" applyAlignment="1">
      <alignment horizontal="right" vertical="center"/>
    </xf>
    <xf numFmtId="0" fontId="8" fillId="0" borderId="43" xfId="197" applyFont="1" applyBorder="1" applyAlignment="1">
      <alignment horizontal="center" shrinkToFit="1"/>
    </xf>
    <xf numFmtId="0" fontId="8" fillId="0" borderId="24" xfId="197" applyFont="1" applyBorder="1" applyAlignment="1">
      <alignment horizontal="center" shrinkToFit="1"/>
    </xf>
    <xf numFmtId="186" fontId="8" fillId="0" borderId="13" xfId="197" applyNumberFormat="1" applyFont="1" applyFill="1" applyBorder="1" applyAlignment="1">
      <alignment horizontal="right" vertical="center"/>
    </xf>
    <xf numFmtId="193" fontId="8" fillId="0" borderId="24" xfId="197" applyNumberFormat="1" applyFont="1" applyFill="1" applyBorder="1" applyAlignment="1">
      <alignment horizontal="right" vertical="center"/>
    </xf>
    <xf numFmtId="0" fontId="8" fillId="0" borderId="13" xfId="197" applyFont="1" applyBorder="1" applyAlignment="1">
      <alignment horizontal="right" vertical="center"/>
    </xf>
    <xf numFmtId="197" fontId="8" fillId="0" borderId="15" xfId="197" applyNumberFormat="1" applyFont="1" applyBorder="1" applyAlignment="1">
      <alignment horizontal="right" vertical="center"/>
    </xf>
    <xf numFmtId="186" fontId="8" fillId="0" borderId="0" xfId="197" applyNumberFormat="1" applyFont="1" applyFill="1"/>
    <xf numFmtId="179" fontId="8" fillId="0" borderId="0" xfId="197" applyNumberFormat="1" applyFont="1"/>
    <xf numFmtId="0" fontId="8" fillId="0" borderId="0" xfId="197" applyFont="1" applyFill="1" applyBorder="1" applyAlignment="1">
      <alignment horizontal="right"/>
    </xf>
    <xf numFmtId="0" fontId="8" fillId="0" borderId="47" xfId="138" applyFont="1" applyFill="1" applyBorder="1" applyAlignment="1">
      <alignment horizontal="distributed" vertical="center" wrapText="1"/>
    </xf>
    <xf numFmtId="0" fontId="8" fillId="0" borderId="43" xfId="197" applyFont="1" applyFill="1" applyBorder="1" applyAlignment="1">
      <alignment horizontal="center" vertical="center"/>
    </xf>
    <xf numFmtId="0" fontId="8" fillId="0" borderId="24" xfId="197" applyFont="1" applyFill="1" applyBorder="1" applyAlignment="1">
      <alignment horizontal="center" vertical="center"/>
    </xf>
    <xf numFmtId="3" fontId="56" fillId="0" borderId="0" xfId="197" applyNumberFormat="1" applyFont="1" applyAlignment="1">
      <alignment vertical="center"/>
    </xf>
    <xf numFmtId="0" fontId="67" fillId="0" borderId="0" xfId="197" applyFont="1" applyAlignment="1"/>
    <xf numFmtId="0" fontId="51" fillId="0" borderId="0" xfId="197" applyFont="1" applyAlignment="1"/>
    <xf numFmtId="0" fontId="51" fillId="0" borderId="0" xfId="197" applyFont="1"/>
    <xf numFmtId="0" fontId="51" fillId="0" borderId="0" xfId="197" applyFont="1" applyAlignment="1">
      <alignment horizontal="center"/>
    </xf>
    <xf numFmtId="0" fontId="51" fillId="0" borderId="49" xfId="197" applyFont="1" applyBorder="1" applyAlignment="1">
      <alignment horizontal="center" vertical="center"/>
    </xf>
    <xf numFmtId="0" fontId="51" fillId="0" borderId="65" xfId="197" applyFont="1" applyBorder="1" applyAlignment="1">
      <alignment horizontal="center" vertical="center"/>
    </xf>
    <xf numFmtId="0" fontId="148" fillId="0" borderId="47" xfId="138" applyFont="1" applyBorder="1" applyAlignment="1">
      <alignment horizontal="distributed" vertical="center" wrapText="1"/>
    </xf>
    <xf numFmtId="180" fontId="51" fillId="0" borderId="18" xfId="197" applyNumberFormat="1" applyFont="1" applyBorder="1" applyAlignment="1">
      <alignment horizontal="right" vertical="center"/>
    </xf>
    <xf numFmtId="179" fontId="51" fillId="0" borderId="50" xfId="197" applyNumberFormat="1" applyFont="1" applyBorder="1" applyAlignment="1">
      <alignment horizontal="right" vertical="center"/>
    </xf>
    <xf numFmtId="179" fontId="51" fillId="0" borderId="48" xfId="197" applyNumberFormat="1" applyFont="1" applyBorder="1" applyAlignment="1">
      <alignment horizontal="right" vertical="center"/>
    </xf>
    <xf numFmtId="180" fontId="51" fillId="0" borderId="48" xfId="197" applyNumberFormat="1" applyFont="1" applyBorder="1" applyAlignment="1">
      <alignment horizontal="right" vertical="center"/>
    </xf>
    <xf numFmtId="0" fontId="148" fillId="0" borderId="18" xfId="138" applyFont="1" applyBorder="1" applyAlignment="1">
      <alignment horizontal="distributed" vertical="center" wrapText="1"/>
    </xf>
    <xf numFmtId="179" fontId="51" fillId="0" borderId="16" xfId="197" applyNumberFormat="1" applyFont="1" applyBorder="1" applyAlignment="1">
      <alignment horizontal="right" vertical="center"/>
    </xf>
    <xf numFmtId="0" fontId="51" fillId="0" borderId="16" xfId="197" applyFont="1" applyBorder="1" applyAlignment="1">
      <alignment horizontal="right" vertical="center"/>
    </xf>
    <xf numFmtId="0" fontId="51" fillId="0" borderId="16" xfId="197" applyFont="1" applyFill="1" applyBorder="1" applyAlignment="1">
      <alignment horizontal="right" vertical="center"/>
    </xf>
    <xf numFmtId="180" fontId="51" fillId="0" borderId="0" xfId="197" applyNumberFormat="1" applyFont="1" applyBorder="1" applyAlignment="1">
      <alignment horizontal="right" vertical="center"/>
    </xf>
    <xf numFmtId="3" fontId="51" fillId="0" borderId="16" xfId="197" applyNumberFormat="1" applyFont="1" applyBorder="1" applyAlignment="1">
      <alignment horizontal="right" vertical="center"/>
    </xf>
    <xf numFmtId="3" fontId="51" fillId="0" borderId="16" xfId="197" applyNumberFormat="1" applyFont="1" applyFill="1" applyBorder="1" applyAlignment="1">
      <alignment horizontal="right" vertical="center"/>
    </xf>
    <xf numFmtId="180" fontId="51" fillId="0" borderId="42" xfId="197" applyNumberFormat="1" applyFont="1" applyBorder="1" applyAlignment="1">
      <alignment horizontal="right" vertical="center"/>
    </xf>
    <xf numFmtId="0" fontId="101" fillId="0" borderId="0" xfId="197" applyFont="1"/>
    <xf numFmtId="180" fontId="51" fillId="0" borderId="47" xfId="197" applyNumberFormat="1" applyFont="1" applyBorder="1" applyAlignment="1">
      <alignment horizontal="right" vertical="center"/>
    </xf>
    <xf numFmtId="179" fontId="51" fillId="0" borderId="13" xfId="197" applyNumberFormat="1" applyFont="1" applyBorder="1" applyAlignment="1">
      <alignment horizontal="right" vertical="center"/>
    </xf>
    <xf numFmtId="179" fontId="51" fillId="0" borderId="24" xfId="197" applyNumberFormat="1" applyFont="1" applyBorder="1" applyAlignment="1">
      <alignment horizontal="right" vertical="center"/>
    </xf>
    <xf numFmtId="180" fontId="51" fillId="0" borderId="15" xfId="197" applyNumberFormat="1" applyFont="1" applyBorder="1" applyAlignment="1">
      <alignment horizontal="right" vertical="center"/>
    </xf>
    <xf numFmtId="180" fontId="51" fillId="0" borderId="24" xfId="197" applyNumberFormat="1" applyFont="1" applyBorder="1" applyAlignment="1">
      <alignment horizontal="right" vertical="center"/>
    </xf>
    <xf numFmtId="0" fontId="51" fillId="0" borderId="0" xfId="197" applyFont="1" applyAlignment="1">
      <alignment vertical="center"/>
    </xf>
    <xf numFmtId="179" fontId="51" fillId="0" borderId="0" xfId="197" applyNumberFormat="1" applyFont="1" applyAlignment="1">
      <alignment vertical="center"/>
    </xf>
    <xf numFmtId="0" fontId="8" fillId="0" borderId="48" xfId="197" applyFont="1" applyBorder="1" applyAlignment="1">
      <alignment horizontal="center" vertical="center" wrapText="1"/>
    </xf>
    <xf numFmtId="41" fontId="8" fillId="0" borderId="0" xfId="197" applyNumberFormat="1" applyFont="1"/>
    <xf numFmtId="0" fontId="8" fillId="0" borderId="43" xfId="197" applyFont="1" applyBorder="1" applyAlignment="1">
      <alignment horizontal="center"/>
    </xf>
    <xf numFmtId="193" fontId="8" fillId="0" borderId="15" xfId="197" applyNumberFormat="1" applyFont="1" applyFill="1" applyBorder="1" applyAlignment="1">
      <alignment horizontal="right" vertical="center"/>
    </xf>
    <xf numFmtId="3" fontId="67" fillId="0" borderId="0" xfId="197" applyNumberFormat="1" applyFont="1" applyBorder="1" applyAlignment="1">
      <alignment vertical="center"/>
    </xf>
    <xf numFmtId="3" fontId="8" fillId="0" borderId="48" xfId="197" applyNumberFormat="1" applyFont="1" applyBorder="1"/>
    <xf numFmtId="179" fontId="8" fillId="0" borderId="100" xfId="197" applyNumberFormat="1" applyFont="1" applyBorder="1" applyAlignment="1">
      <alignment horizontal="right" vertical="center"/>
    </xf>
    <xf numFmtId="186" fontId="8" fillId="0" borderId="0" xfId="197" applyNumberFormat="1" applyFont="1" applyFill="1" applyAlignment="1">
      <alignment vertical="center"/>
    </xf>
    <xf numFmtId="233" fontId="8" fillId="0" borderId="0" xfId="197" applyNumberFormat="1" applyFont="1" applyFill="1" applyAlignment="1">
      <alignment vertical="center"/>
    </xf>
    <xf numFmtId="233" fontId="8" fillId="0" borderId="0" xfId="197" applyNumberFormat="1" applyFont="1" applyBorder="1"/>
    <xf numFmtId="186" fontId="8" fillId="0" borderId="100" xfId="197" applyNumberFormat="1" applyFont="1" applyFill="1" applyBorder="1" applyAlignment="1">
      <alignment horizontal="right" vertical="center" shrinkToFit="1"/>
    </xf>
    <xf numFmtId="193" fontId="8" fillId="0" borderId="70" xfId="197" applyNumberFormat="1" applyFont="1" applyFill="1" applyBorder="1" applyAlignment="1">
      <alignment horizontal="right" vertical="center"/>
    </xf>
    <xf numFmtId="193" fontId="8" fillId="0" borderId="42" xfId="197" applyNumberFormat="1" applyFont="1" applyFill="1" applyBorder="1" applyAlignment="1">
      <alignment horizontal="right" vertical="center"/>
    </xf>
    <xf numFmtId="0" fontId="8" fillId="0" borderId="46" xfId="197" applyFont="1" applyFill="1" applyBorder="1" applyAlignment="1">
      <alignment horizontal="center" vertical="center"/>
    </xf>
    <xf numFmtId="2" fontId="8" fillId="0" borderId="18" xfId="197" applyNumberFormat="1" applyFont="1" applyBorder="1" applyAlignment="1">
      <alignment horizontal="right" vertical="center"/>
    </xf>
    <xf numFmtId="2" fontId="8" fillId="0" borderId="0" xfId="197" applyNumberFormat="1" applyFont="1" applyBorder="1" applyAlignment="1">
      <alignment horizontal="right" vertical="center"/>
    </xf>
    <xf numFmtId="178" fontId="8" fillId="0" borderId="0" xfId="197" applyNumberFormat="1" applyFont="1"/>
    <xf numFmtId="43" fontId="8" fillId="0" borderId="18" xfId="197" applyNumberFormat="1" applyFont="1" applyBorder="1" applyAlignment="1">
      <alignment vertical="center"/>
    </xf>
    <xf numFmtId="41" fontId="8" fillId="0" borderId="0" xfId="197" applyNumberFormat="1" applyFont="1" applyBorder="1" applyAlignment="1">
      <alignment vertical="center"/>
    </xf>
    <xf numFmtId="0" fontId="8" fillId="0" borderId="18" xfId="197" applyFont="1" applyFill="1" applyBorder="1" applyAlignment="1">
      <alignment horizontal="center" vertical="center"/>
    </xf>
    <xf numFmtId="41" fontId="8" fillId="0" borderId="0" xfId="197" applyNumberFormat="1" applyFont="1" applyFill="1" applyBorder="1" applyAlignment="1">
      <alignment vertical="center"/>
    </xf>
    <xf numFmtId="41" fontId="8" fillId="0" borderId="16" xfId="197" applyNumberFormat="1" applyFont="1" applyFill="1" applyBorder="1" applyAlignment="1">
      <alignment vertical="center"/>
    </xf>
    <xf numFmtId="0" fontId="8" fillId="0" borderId="15" xfId="197" applyFont="1" applyFill="1" applyBorder="1" applyAlignment="1">
      <alignment horizontal="center" vertical="center"/>
    </xf>
    <xf numFmtId="41" fontId="8" fillId="0" borderId="24" xfId="197" applyNumberFormat="1" applyFont="1" applyFill="1" applyBorder="1" applyAlignment="1">
      <alignment vertical="center"/>
    </xf>
    <xf numFmtId="178" fontId="8" fillId="0" borderId="0" xfId="197" applyNumberFormat="1" applyFont="1" applyBorder="1"/>
    <xf numFmtId="179" fontId="8" fillId="0" borderId="0" xfId="197" applyNumberFormat="1" applyFont="1" applyAlignment="1">
      <alignment horizontal="center" vertical="center"/>
    </xf>
    <xf numFmtId="179" fontId="8" fillId="0" borderId="0" xfId="197" applyNumberFormat="1" applyFont="1" applyAlignment="1">
      <alignment horizontal="center" vertical="center" wrapText="1"/>
    </xf>
    <xf numFmtId="179" fontId="8" fillId="0" borderId="15" xfId="197" applyNumberFormat="1" applyFont="1" applyBorder="1" applyAlignment="1">
      <alignment horizontal="center" vertical="center" wrapText="1"/>
    </xf>
    <xf numFmtId="179" fontId="8" fillId="0" borderId="14" xfId="197" applyNumberFormat="1" applyFont="1" applyBorder="1" applyAlignment="1">
      <alignment horizontal="center" vertical="center" wrapText="1"/>
    </xf>
    <xf numFmtId="179" fontId="8" fillId="0" borderId="13" xfId="197" applyNumberFormat="1" applyFont="1" applyBorder="1" applyAlignment="1">
      <alignment horizontal="center" vertical="center" wrapText="1"/>
    </xf>
    <xf numFmtId="179" fontId="8" fillId="0" borderId="48" xfId="197" applyNumberFormat="1" applyFont="1" applyBorder="1" applyAlignment="1">
      <alignment horizontal="center" vertical="center" wrapText="1"/>
    </xf>
    <xf numFmtId="179" fontId="8" fillId="0" borderId="50" xfId="197" applyNumberFormat="1" applyFont="1" applyBorder="1" applyAlignment="1">
      <alignment horizontal="center" vertical="center" wrapText="1"/>
    </xf>
    <xf numFmtId="179" fontId="7" fillId="0" borderId="14" xfId="197" applyNumberFormat="1" applyFont="1" applyBorder="1" applyAlignment="1">
      <alignment horizontal="center" vertical="center" wrapText="1"/>
    </xf>
    <xf numFmtId="179" fontId="8" fillId="0" borderId="45" xfId="197" applyNumberFormat="1" applyFont="1" applyBorder="1" applyAlignment="1">
      <alignment horizontal="center" vertical="center" wrapText="1"/>
    </xf>
    <xf numFmtId="179" fontId="8" fillId="0" borderId="49" xfId="197" applyNumberFormat="1" applyFont="1" applyBorder="1" applyAlignment="1">
      <alignment horizontal="center" vertical="center" wrapText="1"/>
    </xf>
    <xf numFmtId="179" fontId="8" fillId="0" borderId="46" xfId="197" applyNumberFormat="1" applyFont="1" applyBorder="1" applyAlignment="1">
      <alignment horizontal="center" vertical="center" wrapText="1"/>
    </xf>
    <xf numFmtId="179" fontId="67" fillId="0" borderId="0" xfId="197" applyNumberFormat="1" applyFont="1" applyBorder="1" applyAlignment="1">
      <alignment vertical="center"/>
    </xf>
    <xf numFmtId="179" fontId="7" fillId="0" borderId="0" xfId="197" applyNumberFormat="1"/>
    <xf numFmtId="179" fontId="7" fillId="0" borderId="0" xfId="197" applyNumberFormat="1" applyFont="1"/>
    <xf numFmtId="0" fontId="63" fillId="0" borderId="0" xfId="211" applyFont="1"/>
    <xf numFmtId="0" fontId="8" fillId="0" borderId="45" xfId="211" applyFont="1" applyBorder="1" applyAlignment="1">
      <alignment horizontal="center" vertical="center"/>
    </xf>
    <xf numFmtId="0" fontId="8" fillId="0" borderId="46" xfId="211" applyFont="1" applyBorder="1" applyAlignment="1">
      <alignment horizontal="center" vertical="center"/>
    </xf>
    <xf numFmtId="0" fontId="8" fillId="0" borderId="0" xfId="211" applyFont="1"/>
    <xf numFmtId="0" fontId="8" fillId="0" borderId="18" xfId="211" applyFont="1" applyBorder="1" applyAlignment="1">
      <alignment horizontal="center" vertical="center" wrapText="1"/>
    </xf>
    <xf numFmtId="186" fontId="8" fillId="0" borderId="17" xfId="211" applyNumberFormat="1" applyFont="1" applyBorder="1" applyAlignment="1">
      <alignment horizontal="right" vertical="center" indent="1"/>
    </xf>
    <xf numFmtId="186" fontId="8" fillId="0" borderId="16" xfId="211" applyNumberFormat="1" applyFont="1" applyBorder="1" applyAlignment="1">
      <alignment horizontal="right" vertical="center" indent="1"/>
    </xf>
    <xf numFmtId="0" fontId="8" fillId="0" borderId="18" xfId="211" applyFont="1" applyBorder="1" applyAlignment="1">
      <alignment horizontal="center" vertical="center"/>
    </xf>
    <xf numFmtId="200" fontId="8" fillId="0" borderId="17" xfId="211" applyNumberFormat="1" applyFont="1" applyBorder="1" applyAlignment="1">
      <alignment horizontal="right" vertical="center" indent="1"/>
    </xf>
    <xf numFmtId="200" fontId="8" fillId="0" borderId="16" xfId="211" applyNumberFormat="1" applyFont="1" applyBorder="1" applyAlignment="1">
      <alignment horizontal="right" vertical="center" indent="1"/>
    </xf>
    <xf numFmtId="193" fontId="8" fillId="0" borderId="16" xfId="211" applyNumberFormat="1" applyFont="1" applyBorder="1" applyAlignment="1">
      <alignment horizontal="right" vertical="center" indent="1"/>
    </xf>
    <xf numFmtId="0" fontId="8" fillId="0" borderId="0" xfId="211" applyFont="1" applyBorder="1" applyAlignment="1">
      <alignment horizontal="left" vertical="center" indent="1"/>
    </xf>
    <xf numFmtId="0" fontId="8" fillId="0" borderId="15" xfId="211" applyFont="1" applyBorder="1" applyAlignment="1">
      <alignment horizontal="center" vertical="center"/>
    </xf>
    <xf numFmtId="193" fontId="8" fillId="0" borderId="13" xfId="211" applyNumberFormat="1" applyFont="1" applyBorder="1" applyAlignment="1">
      <alignment horizontal="right" vertical="center" indent="1"/>
    </xf>
    <xf numFmtId="0" fontId="67" fillId="0" borderId="0" xfId="211" applyFont="1" applyBorder="1"/>
    <xf numFmtId="2" fontId="67" fillId="0" borderId="0" xfId="211" applyNumberFormat="1" applyFont="1" applyBorder="1" applyAlignment="1">
      <alignment horizontal="center" vertical="center"/>
    </xf>
    <xf numFmtId="186" fontId="67" fillId="0" borderId="0" xfId="211" applyNumberFormat="1" applyFont="1" applyBorder="1"/>
    <xf numFmtId="0" fontId="67" fillId="0" borderId="0" xfId="211" applyFont="1"/>
    <xf numFmtId="0" fontId="67" fillId="0" borderId="0" xfId="211" applyFont="1" applyBorder="1" applyAlignment="1">
      <alignment horizontal="center"/>
    </xf>
    <xf numFmtId="2" fontId="8" fillId="0" borderId="0" xfId="211" applyNumberFormat="1" applyFont="1" applyBorder="1" applyAlignment="1">
      <alignment horizontal="center" vertical="center"/>
    </xf>
    <xf numFmtId="234" fontId="8" fillId="0" borderId="0" xfId="211" applyNumberFormat="1" applyFont="1" applyBorder="1"/>
    <xf numFmtId="0" fontId="8" fillId="0" borderId="0" xfId="211" applyFont="1" applyBorder="1" applyAlignment="1">
      <alignment horizontal="center"/>
    </xf>
    <xf numFmtId="0" fontId="8" fillId="0" borderId="24" xfId="211" applyFont="1" applyBorder="1" applyAlignment="1">
      <alignment horizontal="center" vertical="center"/>
    </xf>
    <xf numFmtId="0" fontId="8" fillId="0" borderId="13" xfId="211" applyFont="1" applyBorder="1" applyAlignment="1">
      <alignment horizontal="center" vertical="center"/>
    </xf>
    <xf numFmtId="231" fontId="8" fillId="0" borderId="50" xfId="211" applyNumberFormat="1" applyFont="1" applyBorder="1" applyAlignment="1">
      <alignment horizontal="right" indent="1"/>
    </xf>
    <xf numFmtId="232" fontId="8" fillId="0" borderId="17" xfId="211" applyNumberFormat="1" applyFont="1" applyBorder="1" applyAlignment="1">
      <alignment horizontal="right" indent="1"/>
    </xf>
    <xf numFmtId="232" fontId="8" fillId="0" borderId="16" xfId="211" applyNumberFormat="1" applyFont="1" applyBorder="1" applyAlignment="1">
      <alignment horizontal="right" indent="1"/>
    </xf>
    <xf numFmtId="231" fontId="8" fillId="0" borderId="16" xfId="211" applyNumberFormat="1" applyFont="1" applyBorder="1" applyAlignment="1">
      <alignment horizontal="right" indent="1"/>
    </xf>
    <xf numFmtId="43" fontId="8" fillId="0" borderId="0" xfId="211" applyNumberFormat="1" applyFont="1" applyBorder="1" applyAlignment="1">
      <alignment horizontal="right"/>
    </xf>
    <xf numFmtId="232" fontId="8" fillId="0" borderId="14" xfId="211" applyNumberFormat="1" applyFont="1" applyBorder="1" applyAlignment="1">
      <alignment horizontal="right" indent="1"/>
    </xf>
    <xf numFmtId="232" fontId="8" fillId="0" borderId="13" xfId="211" applyNumberFormat="1" applyFont="1" applyBorder="1" applyAlignment="1">
      <alignment horizontal="right" indent="1"/>
    </xf>
    <xf numFmtId="196" fontId="67" fillId="0" borderId="0" xfId="211" applyNumberFormat="1" applyFont="1"/>
    <xf numFmtId="179" fontId="67" fillId="0" borderId="0" xfId="211" applyNumberFormat="1" applyFont="1"/>
    <xf numFmtId="182" fontId="67" fillId="0" borderId="0" xfId="211" applyNumberFormat="1" applyFont="1"/>
    <xf numFmtId="197" fontId="8" fillId="0" borderId="0" xfId="211" applyNumberFormat="1" applyFont="1"/>
    <xf numFmtId="231" fontId="8" fillId="0" borderId="17" xfId="211" applyNumberFormat="1" applyFont="1" applyBorder="1" applyAlignment="1">
      <alignment horizontal="right" vertical="center" indent="1"/>
    </xf>
    <xf numFmtId="231" fontId="8" fillId="0" borderId="50" xfId="211" applyNumberFormat="1" applyFont="1" applyBorder="1" applyAlignment="1">
      <alignment horizontal="right" vertical="center" indent="1"/>
    </xf>
    <xf numFmtId="232" fontId="8" fillId="0" borderId="17" xfId="211" applyNumberFormat="1" applyFont="1" applyBorder="1" applyAlignment="1">
      <alignment horizontal="right" vertical="center" indent="1"/>
    </xf>
    <xf numFmtId="232" fontId="8" fillId="0" borderId="16" xfId="211" applyNumberFormat="1" applyFont="1" applyBorder="1" applyAlignment="1">
      <alignment horizontal="right" vertical="center" indent="1"/>
    </xf>
    <xf numFmtId="0" fontId="8" fillId="0" borderId="0" xfId="211" applyFont="1" applyBorder="1"/>
    <xf numFmtId="231" fontId="8" fillId="0" borderId="16" xfId="211" applyNumberFormat="1" applyFont="1" applyBorder="1" applyAlignment="1">
      <alignment horizontal="right" vertical="center" indent="1"/>
    </xf>
    <xf numFmtId="232" fontId="8" fillId="0" borderId="14" xfId="211" applyNumberFormat="1" applyFont="1" applyBorder="1" applyAlignment="1">
      <alignment horizontal="right" vertical="center" indent="1"/>
    </xf>
    <xf numFmtId="232" fontId="8" fillId="0" borderId="13" xfId="211" applyNumberFormat="1" applyFont="1" applyBorder="1" applyAlignment="1">
      <alignment horizontal="right" vertical="center" indent="1"/>
    </xf>
    <xf numFmtId="0" fontId="67" fillId="0" borderId="0" xfId="211" applyFont="1" applyBorder="1" applyAlignment="1">
      <alignment horizontal="center" vertical="center"/>
    </xf>
    <xf numFmtId="231" fontId="67" fillId="0" borderId="0" xfId="211" applyNumberFormat="1" applyFont="1"/>
    <xf numFmtId="0" fontId="8" fillId="0" borderId="0" xfId="211" applyFont="1" applyBorder="1" applyAlignment="1">
      <alignment horizontal="center" vertical="center"/>
    </xf>
    <xf numFmtId="196" fontId="8" fillId="0" borderId="0" xfId="211" applyNumberFormat="1" applyFont="1"/>
    <xf numFmtId="231" fontId="8" fillId="0" borderId="17" xfId="211" applyNumberFormat="1" applyFont="1" applyBorder="1" applyAlignment="1">
      <alignment horizontal="right" indent="1"/>
    </xf>
    <xf numFmtId="0" fontId="49" fillId="0" borderId="0" xfId="211" applyFont="1"/>
    <xf numFmtId="186" fontId="8" fillId="0" borderId="0" xfId="211" applyNumberFormat="1" applyFont="1"/>
    <xf numFmtId="231" fontId="8" fillId="0" borderId="0" xfId="211" applyNumberFormat="1" applyFont="1"/>
    <xf numFmtId="231" fontId="67" fillId="0" borderId="0" xfId="211" applyNumberFormat="1" applyFont="1" applyBorder="1" applyAlignment="1">
      <alignment horizontal="right"/>
    </xf>
    <xf numFmtId="0" fontId="67" fillId="0" borderId="0" xfId="211" applyFont="1" applyFill="1" applyBorder="1"/>
    <xf numFmtId="232" fontId="67" fillId="0" borderId="0" xfId="211" applyNumberFormat="1" applyFont="1" applyBorder="1" applyAlignment="1">
      <alignment horizontal="right"/>
    </xf>
    <xf numFmtId="231" fontId="8" fillId="0" borderId="0" xfId="211" applyNumberFormat="1" applyFont="1" applyBorder="1" applyAlignment="1">
      <alignment horizontal="right"/>
    </xf>
    <xf numFmtId="0" fontId="8" fillId="0" borderId="0" xfId="211" applyFont="1" applyBorder="1" applyAlignment="1">
      <alignment horizontal="distributed"/>
    </xf>
    <xf numFmtId="232" fontId="8" fillId="0" borderId="0" xfId="211" applyNumberFormat="1" applyFont="1" applyBorder="1" applyAlignment="1">
      <alignment horizontal="right"/>
    </xf>
    <xf numFmtId="0" fontId="8" fillId="0" borderId="0" xfId="211" applyFont="1" applyBorder="1" applyAlignment="1"/>
    <xf numFmtId="221" fontId="67" fillId="0" borderId="0" xfId="212" applyFont="1" applyBorder="1"/>
    <xf numFmtId="196" fontId="8" fillId="0" borderId="0" xfId="212" applyNumberFormat="1" applyFont="1" applyBorder="1"/>
    <xf numFmtId="221" fontId="8" fillId="0" borderId="0" xfId="212" applyFont="1" applyBorder="1"/>
    <xf numFmtId="222" fontId="8" fillId="0" borderId="0" xfId="212" applyNumberFormat="1" applyFont="1" applyBorder="1"/>
    <xf numFmtId="235" fontId="8" fillId="0" borderId="17" xfId="211" applyNumberFormat="1" applyFont="1" applyBorder="1" applyAlignment="1">
      <alignment horizontal="right" vertical="center"/>
    </xf>
    <xf numFmtId="235" fontId="8" fillId="0" borderId="50" xfId="211" applyNumberFormat="1" applyFont="1" applyBorder="1" applyAlignment="1">
      <alignment horizontal="right" vertical="center"/>
    </xf>
    <xf numFmtId="0" fontId="8" fillId="0" borderId="47" xfId="211" applyFont="1" applyBorder="1" applyAlignment="1">
      <alignment horizontal="distributed"/>
    </xf>
    <xf numFmtId="235" fontId="8" fillId="0" borderId="16" xfId="211" applyNumberFormat="1" applyFont="1" applyBorder="1" applyAlignment="1">
      <alignment horizontal="right" vertical="center"/>
    </xf>
    <xf numFmtId="0" fontId="8" fillId="0" borderId="18" xfId="211" applyFont="1" applyBorder="1" applyAlignment="1">
      <alignment horizontal="distributed" wrapText="1"/>
    </xf>
    <xf numFmtId="0" fontId="8" fillId="0" borderId="18" xfId="211" applyFont="1" applyBorder="1" applyAlignment="1">
      <alignment horizontal="distributed"/>
    </xf>
    <xf numFmtId="41" fontId="8" fillId="0" borderId="17" xfId="211" applyNumberFormat="1" applyFont="1" applyBorder="1" applyAlignment="1">
      <alignment horizontal="right" vertical="center"/>
    </xf>
    <xf numFmtId="41" fontId="8" fillId="0" borderId="16" xfId="211" applyNumberFormat="1" applyFont="1" applyBorder="1" applyAlignment="1">
      <alignment horizontal="right" vertical="center"/>
    </xf>
    <xf numFmtId="235" fontId="8" fillId="0" borderId="14" xfId="211" applyNumberFormat="1" applyFont="1" applyBorder="1" applyAlignment="1">
      <alignment horizontal="right" vertical="center"/>
    </xf>
    <xf numFmtId="235" fontId="8" fillId="0" borderId="13" xfId="211" applyNumberFormat="1" applyFont="1" applyBorder="1" applyAlignment="1">
      <alignment horizontal="right" vertical="center"/>
    </xf>
    <xf numFmtId="0" fontId="82" fillId="0" borderId="0" xfId="211" applyFont="1"/>
    <xf numFmtId="0" fontId="67" fillId="0" borderId="0" xfId="213" applyFont="1" applyAlignment="1">
      <alignment vertical="center"/>
    </xf>
    <xf numFmtId="0" fontId="8" fillId="0" borderId="45" xfId="190" quotePrefix="1" applyNumberFormat="1" applyFont="1" applyBorder="1" applyAlignment="1">
      <alignment horizontal="center" vertical="center"/>
    </xf>
    <xf numFmtId="0" fontId="8" fillId="0" borderId="46" xfId="190" quotePrefix="1" applyNumberFormat="1" applyFont="1" applyBorder="1" applyAlignment="1">
      <alignment horizontal="center" vertical="center"/>
    </xf>
    <xf numFmtId="236" fontId="8" fillId="0" borderId="17" xfId="211" applyNumberFormat="1" applyFont="1" applyBorder="1" applyAlignment="1">
      <alignment horizontal="right" vertical="center" indent="2"/>
    </xf>
    <xf numFmtId="236" fontId="8" fillId="0" borderId="50" xfId="211" applyNumberFormat="1" applyFont="1" applyBorder="1" applyAlignment="1">
      <alignment horizontal="right" vertical="center" indent="2"/>
    </xf>
    <xf numFmtId="232" fontId="8" fillId="0" borderId="16" xfId="211" applyNumberFormat="1" applyFont="1" applyBorder="1" applyAlignment="1">
      <alignment horizontal="right" vertical="center" indent="2"/>
    </xf>
    <xf numFmtId="236" fontId="8" fillId="0" borderId="16" xfId="211" applyNumberFormat="1" applyFont="1" applyBorder="1" applyAlignment="1">
      <alignment horizontal="right" vertical="center" indent="2"/>
    </xf>
    <xf numFmtId="232" fontId="8" fillId="0" borderId="13" xfId="211" applyNumberFormat="1" applyFont="1" applyBorder="1" applyAlignment="1">
      <alignment horizontal="right" vertical="center" indent="2"/>
    </xf>
    <xf numFmtId="0" fontId="8" fillId="0" borderId="0" xfId="214" applyFont="1">
      <alignment vertical="center"/>
    </xf>
    <xf numFmtId="0" fontId="1" fillId="0" borderId="0" xfId="215">
      <alignment vertical="center"/>
    </xf>
    <xf numFmtId="0" fontId="51" fillId="0" borderId="42" xfId="215" applyFont="1" applyBorder="1" applyAlignment="1">
      <alignment horizontal="center" vertical="center"/>
    </xf>
    <xf numFmtId="0" fontId="62" fillId="0" borderId="42" xfId="215" applyFont="1" applyBorder="1" applyAlignment="1">
      <alignment horizontal="right" vertical="center"/>
    </xf>
    <xf numFmtId="0" fontId="51" fillId="0" borderId="43" xfId="215" applyFont="1" applyBorder="1" applyAlignment="1">
      <alignment vertical="center"/>
    </xf>
    <xf numFmtId="0" fontId="51" fillId="0" borderId="44" xfId="215" applyFont="1" applyBorder="1" applyAlignment="1">
      <alignment horizontal="center" vertical="center"/>
    </xf>
    <xf numFmtId="0" fontId="1" fillId="0" borderId="0" xfId="215" applyAlignment="1">
      <alignment horizontal="center" vertical="center"/>
    </xf>
    <xf numFmtId="0" fontId="51" fillId="0" borderId="0" xfId="215" applyFont="1" applyAlignment="1">
      <alignment horizontal="right" vertical="center"/>
    </xf>
    <xf numFmtId="0" fontId="114" fillId="0" borderId="44" xfId="215" applyFont="1" applyBorder="1" applyAlignment="1">
      <alignment horizontal="right" vertical="center"/>
    </xf>
    <xf numFmtId="0" fontId="51" fillId="0" borderId="44" xfId="215" applyFont="1" applyBorder="1" applyAlignment="1">
      <alignment horizontal="right" vertical="center"/>
    </xf>
    <xf numFmtId="0" fontId="51" fillId="0" borderId="43" xfId="215" applyFont="1" applyBorder="1" applyAlignment="1">
      <alignment horizontal="center" vertical="center"/>
    </xf>
    <xf numFmtId="179" fontId="51" fillId="0" borderId="44" xfId="215" applyNumberFormat="1" applyFont="1" applyBorder="1" applyAlignment="1">
      <alignment horizontal="right" vertical="center"/>
    </xf>
    <xf numFmtId="0" fontId="8" fillId="0" borderId="45" xfId="104" applyFont="1" applyFill="1" applyBorder="1" applyAlignment="1">
      <alignment horizontal="center" vertical="center"/>
    </xf>
    <xf numFmtId="0" fontId="7" fillId="0" borderId="14" xfId="104" applyFont="1" applyFill="1" applyBorder="1" applyAlignment="1">
      <alignment horizontal="distributed" vertical="center"/>
    </xf>
    <xf numFmtId="0" fontId="8" fillId="0" borderId="14" xfId="104" applyFont="1" applyFill="1" applyBorder="1" applyAlignment="1">
      <alignment horizontal="distributed" vertical="center"/>
    </xf>
    <xf numFmtId="0" fontId="8" fillId="0" borderId="13" xfId="104" applyFont="1" applyFill="1" applyBorder="1" applyAlignment="1">
      <alignment horizontal="distributed" vertical="center"/>
    </xf>
    <xf numFmtId="0" fontId="8" fillId="0" borderId="79" xfId="104" applyFont="1" applyFill="1" applyBorder="1" applyAlignment="1">
      <alignment horizontal="distributed" vertical="center"/>
    </xf>
    <xf numFmtId="49" fontId="8" fillId="0" borderId="48" xfId="106" quotePrefix="1" applyNumberFormat="1" applyFont="1" applyFill="1" applyBorder="1" applyAlignment="1" applyProtection="1">
      <alignment horizontal="center" vertical="center"/>
      <protection locked="0"/>
    </xf>
    <xf numFmtId="179" fontId="51" fillId="0" borderId="16" xfId="51" applyNumberFormat="1" applyFont="1" applyFill="1" applyBorder="1" applyAlignment="1">
      <alignment horizontal="right"/>
    </xf>
    <xf numFmtId="178" fontId="51" fillId="0" borderId="17" xfId="51" applyNumberFormat="1" applyFont="1" applyFill="1" applyBorder="1" applyAlignment="1"/>
    <xf numFmtId="43" fontId="51" fillId="0" borderId="17" xfId="51" applyNumberFormat="1" applyFont="1" applyFill="1" applyBorder="1" applyAlignment="1">
      <alignment horizontal="center"/>
    </xf>
    <xf numFmtId="197" fontId="8" fillId="0" borderId="16" xfId="104" applyNumberFormat="1" applyFont="1" applyFill="1" applyBorder="1" applyAlignment="1">
      <alignment vertical="center"/>
    </xf>
    <xf numFmtId="41" fontId="8" fillId="0" borderId="55" xfId="104" applyNumberFormat="1" applyFont="1" applyBorder="1" applyAlignment="1">
      <alignment horizontal="right" vertical="center" indent="1"/>
    </xf>
    <xf numFmtId="43" fontId="8" fillId="0" borderId="17" xfId="104" applyNumberFormat="1" applyFont="1" applyBorder="1" applyAlignment="1">
      <alignment vertical="center"/>
    </xf>
    <xf numFmtId="41" fontId="8" fillId="0" borderId="17" xfId="104" applyNumberFormat="1" applyFont="1" applyBorder="1" applyAlignment="1">
      <alignment horizontal="right" vertical="center" indent="1"/>
    </xf>
    <xf numFmtId="43" fontId="8" fillId="0" borderId="16" xfId="104" applyNumberFormat="1" applyFont="1" applyBorder="1" applyAlignment="1">
      <alignment vertical="center"/>
    </xf>
    <xf numFmtId="49" fontId="8" fillId="0" borderId="0" xfId="106" quotePrefix="1" applyNumberFormat="1" applyFont="1" applyFill="1" applyBorder="1" applyAlignment="1" applyProtection="1">
      <alignment horizontal="center" vertical="center"/>
      <protection locked="0"/>
    </xf>
    <xf numFmtId="41" fontId="8" fillId="0" borderId="57" xfId="104" applyNumberFormat="1" applyFont="1" applyBorder="1" applyAlignment="1">
      <alignment horizontal="right" vertical="center" indent="1"/>
    </xf>
    <xf numFmtId="179" fontId="51" fillId="0" borderId="16" xfId="104" applyNumberFormat="1" applyFont="1" applyFill="1" applyBorder="1" applyAlignment="1">
      <alignment horizontal="right" vertical="center"/>
    </xf>
    <xf numFmtId="197" fontId="51" fillId="0" borderId="0" xfId="104" applyNumberFormat="1" applyFont="1" applyFill="1" applyBorder="1" applyAlignment="1">
      <alignment vertical="center"/>
    </xf>
    <xf numFmtId="179" fontId="51" fillId="0" borderId="17" xfId="104" applyNumberFormat="1" applyFont="1" applyFill="1" applyBorder="1" applyAlignment="1">
      <alignment horizontal="right" vertical="center"/>
    </xf>
    <xf numFmtId="43" fontId="51" fillId="0" borderId="17" xfId="216" applyNumberFormat="1" applyFont="1" applyFill="1" applyBorder="1" applyAlignment="1">
      <alignment horizontal="center"/>
    </xf>
    <xf numFmtId="49" fontId="8" fillId="0" borderId="24" xfId="106" quotePrefix="1" applyNumberFormat="1" applyFont="1" applyFill="1" applyBorder="1" applyAlignment="1" applyProtection="1">
      <alignment horizontal="center" vertical="center"/>
      <protection locked="0"/>
    </xf>
    <xf numFmtId="179" fontId="51" fillId="0" borderId="14" xfId="104" applyNumberFormat="1" applyFont="1" applyBorder="1" applyAlignment="1">
      <alignment horizontal="right" vertical="center"/>
    </xf>
    <xf numFmtId="178" fontId="51" fillId="0" borderId="14" xfId="51" applyNumberFormat="1" applyFont="1" applyFill="1" applyBorder="1" applyAlignment="1"/>
    <xf numFmtId="43" fontId="51" fillId="0" borderId="14" xfId="216" applyNumberFormat="1" applyFont="1" applyBorder="1" applyAlignment="1">
      <alignment horizontal="center"/>
    </xf>
    <xf numFmtId="193" fontId="51" fillId="0" borderId="13" xfId="104" applyNumberFormat="1" applyFont="1" applyFill="1" applyBorder="1" applyAlignment="1">
      <alignment vertical="center"/>
    </xf>
    <xf numFmtId="41" fontId="8" fillId="0" borderId="56" xfId="104" applyNumberFormat="1" applyFont="1" applyBorder="1" applyAlignment="1">
      <alignment horizontal="right" vertical="center" indent="1"/>
    </xf>
    <xf numFmtId="43" fontId="8" fillId="0" borderId="14" xfId="104" applyNumberFormat="1" applyFont="1" applyBorder="1" applyAlignment="1">
      <alignment vertical="center"/>
    </xf>
    <xf numFmtId="41" fontId="8" fillId="0" borderId="14" xfId="104" applyNumberFormat="1" applyFont="1" applyBorder="1" applyAlignment="1">
      <alignment horizontal="right" vertical="center" indent="1"/>
    </xf>
    <xf numFmtId="43" fontId="8" fillId="0" borderId="13" xfId="104" applyNumberFormat="1" applyFont="1" applyBorder="1" applyAlignment="1">
      <alignment vertical="center"/>
    </xf>
    <xf numFmtId="0" fontId="67" fillId="0" borderId="0" xfId="104" applyFont="1" applyFill="1" applyAlignment="1">
      <alignment vertical="center"/>
    </xf>
    <xf numFmtId="0" fontId="67" fillId="0" borderId="0" xfId="104" applyFont="1" applyFill="1" applyAlignment="1">
      <alignment horizontal="center" vertical="center"/>
    </xf>
    <xf numFmtId="0" fontId="8" fillId="0" borderId="0" xfId="104" applyFont="1" applyFill="1" applyAlignment="1">
      <alignment vertical="top"/>
    </xf>
    <xf numFmtId="0" fontId="8" fillId="0" borderId="0" xfId="104" applyFont="1" applyFill="1" applyAlignment="1">
      <alignment horizontal="center" vertical="center"/>
    </xf>
    <xf numFmtId="0" fontId="65" fillId="0" borderId="0" xfId="138" applyFont="1" applyAlignment="1">
      <alignment vertical="center"/>
    </xf>
    <xf numFmtId="0" fontId="51" fillId="0" borderId="0" xfId="138" applyFont="1" applyAlignment="1">
      <alignment vertical="center"/>
    </xf>
    <xf numFmtId="0" fontId="51" fillId="0" borderId="15" xfId="138" applyFont="1" applyBorder="1" applyAlignment="1">
      <alignment horizontal="center" vertical="center"/>
    </xf>
    <xf numFmtId="0" fontId="51" fillId="0" borderId="46" xfId="138" applyFont="1" applyBorder="1" applyAlignment="1">
      <alignment horizontal="center" vertical="center"/>
    </xf>
    <xf numFmtId="0" fontId="51" fillId="0" borderId="14" xfId="138" applyFont="1" applyBorder="1" applyAlignment="1">
      <alignment horizontal="center" vertical="center"/>
    </xf>
    <xf numFmtId="0" fontId="51" fillId="0" borderId="54" xfId="138" applyFont="1" applyBorder="1" applyAlignment="1">
      <alignment horizontal="distributed" vertical="center"/>
    </xf>
    <xf numFmtId="192" fontId="51" fillId="0" borderId="54" xfId="213" applyNumberFormat="1" applyFont="1" applyBorder="1" applyAlignment="1">
      <alignment horizontal="right"/>
    </xf>
    <xf numFmtId="43" fontId="51" fillId="0" borderId="54" xfId="51" applyNumberFormat="1" applyFont="1" applyFill="1" applyBorder="1" applyAlignment="1">
      <alignment horizontal="center"/>
    </xf>
    <xf numFmtId="43" fontId="51" fillId="0" borderId="50" xfId="51" applyNumberFormat="1" applyFont="1" applyFill="1" applyBorder="1" applyAlignment="1">
      <alignment horizontal="center"/>
    </xf>
    <xf numFmtId="0" fontId="51" fillId="0" borderId="17" xfId="138" applyFont="1" applyBorder="1" applyAlignment="1">
      <alignment horizontal="distributed" vertical="center" wrapText="1"/>
    </xf>
    <xf numFmtId="192" fontId="51" fillId="0" borderId="17" xfId="213" applyNumberFormat="1" applyFont="1" applyBorder="1" applyAlignment="1">
      <alignment horizontal="right"/>
    </xf>
    <xf numFmtId="43" fontId="51" fillId="0" borderId="16" xfId="51" applyNumberFormat="1" applyFont="1" applyFill="1" applyBorder="1" applyAlignment="1">
      <alignment horizontal="center"/>
    </xf>
    <xf numFmtId="0" fontId="51" fillId="0" borderId="17" xfId="138" applyFont="1" applyBorder="1" applyAlignment="1">
      <alignment horizontal="distributed" vertical="center"/>
    </xf>
    <xf numFmtId="0" fontId="51" fillId="0" borderId="0" xfId="138" applyFont="1" applyFill="1" applyAlignment="1">
      <alignment vertical="center"/>
    </xf>
    <xf numFmtId="0" fontId="81" fillId="0" borderId="17" xfId="138" applyFont="1" applyBorder="1" applyAlignment="1">
      <alignment horizontal="distributed" vertical="center"/>
    </xf>
    <xf numFmtId="0" fontId="51" fillId="0" borderId="17" xfId="138" applyFont="1" applyFill="1" applyBorder="1" applyAlignment="1">
      <alignment horizontal="distributed" vertical="center"/>
    </xf>
    <xf numFmtId="0" fontId="62" fillId="0" borderId="0" xfId="138" applyFont="1" applyAlignment="1">
      <alignment vertical="center"/>
    </xf>
    <xf numFmtId="192" fontId="51" fillId="0" borderId="18" xfId="213" applyNumberFormat="1" applyFont="1" applyBorder="1" applyAlignment="1">
      <alignment horizontal="right"/>
    </xf>
    <xf numFmtId="0" fontId="51" fillId="0" borderId="14" xfId="138" applyFont="1" applyBorder="1" applyAlignment="1">
      <alignment horizontal="distributed" vertical="center"/>
    </xf>
    <xf numFmtId="192" fontId="51" fillId="0" borderId="15" xfId="213" applyNumberFormat="1" applyFont="1" applyBorder="1" applyAlignment="1">
      <alignment horizontal="right"/>
    </xf>
    <xf numFmtId="43" fontId="51" fillId="0" borderId="14" xfId="51" applyNumberFormat="1" applyFont="1" applyFill="1" applyBorder="1" applyAlignment="1">
      <alignment horizontal="center"/>
    </xf>
    <xf numFmtId="192" fontId="51" fillId="0" borderId="14" xfId="213" applyNumberFormat="1" applyFont="1" applyBorder="1" applyAlignment="1">
      <alignment horizontal="right"/>
    </xf>
    <xf numFmtId="192" fontId="51" fillId="0" borderId="13" xfId="213" applyNumberFormat="1" applyFont="1" applyBorder="1" applyAlignment="1">
      <alignment horizontal="right"/>
    </xf>
    <xf numFmtId="0" fontId="62" fillId="0" borderId="0" xfId="138" applyFont="1" applyBorder="1" applyAlignment="1">
      <alignment vertical="center"/>
    </xf>
    <xf numFmtId="0" fontId="98" fillId="0" borderId="0" xfId="104" applyFont="1" applyFill="1" applyAlignment="1">
      <alignment vertical="center"/>
    </xf>
    <xf numFmtId="0" fontId="51" fillId="0" borderId="0" xfId="213" applyFont="1">
      <alignment vertical="center"/>
    </xf>
    <xf numFmtId="0" fontId="8" fillId="0" borderId="15" xfId="138" applyFont="1" applyBorder="1" applyAlignment="1">
      <alignment horizontal="center" vertical="center"/>
    </xf>
    <xf numFmtId="0" fontId="8" fillId="0" borderId="46" xfId="138" applyFont="1" applyBorder="1" applyAlignment="1">
      <alignment horizontal="center" vertical="center"/>
    </xf>
    <xf numFmtId="0" fontId="8" fillId="0" borderId="14" xfId="138" applyFont="1" applyBorder="1" applyAlignment="1">
      <alignment horizontal="center" vertical="center"/>
    </xf>
    <xf numFmtId="43" fontId="8" fillId="0" borderId="46" xfId="138" applyNumberFormat="1" applyFont="1" applyBorder="1" applyAlignment="1">
      <alignment horizontal="center" vertical="center"/>
    </xf>
    <xf numFmtId="0" fontId="8" fillId="0" borderId="47" xfId="138" applyFont="1" applyBorder="1" applyAlignment="1">
      <alignment horizontal="distributed" vertical="center"/>
    </xf>
    <xf numFmtId="178" fontId="51" fillId="0" borderId="47" xfId="51" applyNumberFormat="1" applyFont="1" applyFill="1" applyBorder="1" applyAlignment="1"/>
    <xf numFmtId="43" fontId="51" fillId="0" borderId="54" xfId="51" applyNumberFormat="1" applyFont="1" applyFill="1" applyBorder="1" applyAlignment="1"/>
    <xf numFmtId="192" fontId="51" fillId="0" borderId="54" xfId="213" applyNumberFormat="1" applyFont="1" applyBorder="1" applyAlignment="1"/>
    <xf numFmtId="43" fontId="51" fillId="0" borderId="50" xfId="51" applyNumberFormat="1" applyFont="1" applyFill="1" applyBorder="1" applyAlignment="1"/>
    <xf numFmtId="0" fontId="8" fillId="0" borderId="18" xfId="213" applyFont="1" applyBorder="1" applyAlignment="1">
      <alignment horizontal="distributed" vertical="center"/>
    </xf>
    <xf numFmtId="192" fontId="51" fillId="0" borderId="18" xfId="213" applyNumberFormat="1" applyFont="1" applyBorder="1" applyAlignment="1"/>
    <xf numFmtId="43" fontId="51" fillId="0" borderId="17" xfId="51" applyNumberFormat="1" applyFont="1" applyFill="1" applyBorder="1" applyAlignment="1"/>
    <xf numFmtId="192" fontId="51" fillId="0" borderId="17" xfId="213" applyNumberFormat="1" applyFont="1" applyBorder="1" applyAlignment="1"/>
    <xf numFmtId="43" fontId="51" fillId="0" borderId="16" xfId="51" applyNumberFormat="1" applyFont="1" applyFill="1" applyBorder="1" applyAlignment="1"/>
    <xf numFmtId="0" fontId="51" fillId="0" borderId="0" xfId="213" applyFont="1" applyBorder="1">
      <alignment vertical="center"/>
    </xf>
    <xf numFmtId="43" fontId="51" fillId="0" borderId="17" xfId="213" applyNumberFormat="1" applyFont="1" applyBorder="1" applyAlignment="1"/>
    <xf numFmtId="178" fontId="51" fillId="0" borderId="18" xfId="213" applyNumberFormat="1" applyFont="1" applyBorder="1" applyAlignment="1"/>
    <xf numFmtId="43" fontId="51" fillId="0" borderId="17" xfId="213" applyNumberFormat="1" applyFont="1" applyBorder="1" applyAlignment="1">
      <alignment horizontal="right"/>
    </xf>
    <xf numFmtId="43" fontId="51" fillId="0" borderId="17" xfId="51" applyNumberFormat="1" applyFont="1" applyFill="1" applyBorder="1" applyAlignment="1">
      <alignment horizontal="right"/>
    </xf>
    <xf numFmtId="192" fontId="51" fillId="0" borderId="16" xfId="213" applyNumberFormat="1" applyFont="1" applyBorder="1" applyAlignment="1"/>
    <xf numFmtId="0" fontId="8" fillId="0" borderId="15" xfId="213" applyFont="1" applyBorder="1" applyAlignment="1">
      <alignment horizontal="distributed" vertical="center"/>
    </xf>
    <xf numFmtId="192" fontId="51" fillId="0" borderId="15" xfId="213" applyNumberFormat="1" applyFont="1" applyBorder="1" applyAlignment="1"/>
    <xf numFmtId="43" fontId="51" fillId="0" borderId="14" xfId="51" applyNumberFormat="1" applyFont="1" applyFill="1" applyBorder="1" applyAlignment="1"/>
    <xf numFmtId="192" fontId="51" fillId="0" borderId="14" xfId="213" applyNumberFormat="1" applyFont="1" applyBorder="1" applyAlignment="1"/>
    <xf numFmtId="192" fontId="51" fillId="0" borderId="13" xfId="213" applyNumberFormat="1" applyFont="1" applyBorder="1" applyAlignment="1"/>
    <xf numFmtId="192" fontId="51" fillId="0" borderId="0" xfId="213" applyNumberFormat="1" applyFont="1" applyBorder="1" applyAlignment="1"/>
    <xf numFmtId="43" fontId="51" fillId="0" borderId="0" xfId="213" applyNumberFormat="1" applyFont="1" applyBorder="1" applyAlignment="1"/>
    <xf numFmtId="43" fontId="51" fillId="0" borderId="0" xfId="213" applyNumberFormat="1" applyFont="1">
      <alignment vertical="center"/>
    </xf>
    <xf numFmtId="0" fontId="63" fillId="0" borderId="0" xfId="138" applyFont="1" applyFill="1" applyAlignment="1">
      <alignment vertical="center"/>
    </xf>
    <xf numFmtId="0" fontId="8" fillId="0" borderId="0" xfId="138" applyFont="1" applyFill="1" applyAlignment="1">
      <alignment vertical="center"/>
    </xf>
    <xf numFmtId="0" fontId="67" fillId="0" borderId="24" xfId="138" applyFont="1" applyFill="1" applyBorder="1" applyAlignment="1">
      <alignment horizontal="right" vertical="center"/>
    </xf>
    <xf numFmtId="0" fontId="8" fillId="0" borderId="48" xfId="138" applyFont="1" applyFill="1" applyBorder="1" applyAlignment="1">
      <alignment vertical="center"/>
    </xf>
    <xf numFmtId="0" fontId="8" fillId="0" borderId="47" xfId="138" applyFont="1" applyFill="1" applyBorder="1" applyAlignment="1">
      <alignment vertical="center"/>
    </xf>
    <xf numFmtId="0" fontId="8" fillId="0" borderId="48" xfId="138" applyFont="1" applyFill="1" applyBorder="1" applyAlignment="1">
      <alignment horizontal="center" vertical="center"/>
    </xf>
    <xf numFmtId="0" fontId="8" fillId="0" borderId="47" xfId="138" applyFont="1" applyFill="1" applyBorder="1" applyAlignment="1">
      <alignment horizontal="center" vertical="center"/>
    </xf>
    <xf numFmtId="0" fontId="8" fillId="0" borderId="49" xfId="138" applyFont="1" applyFill="1" applyBorder="1" applyAlignment="1">
      <alignment vertical="center"/>
    </xf>
    <xf numFmtId="0" fontId="8" fillId="0" borderId="45" xfId="138" applyFont="1" applyFill="1" applyBorder="1" applyAlignment="1">
      <alignment vertical="center"/>
    </xf>
    <xf numFmtId="0" fontId="8" fillId="0" borderId="0" xfId="138" applyFont="1" applyFill="1" applyBorder="1" applyAlignment="1">
      <alignment vertical="center"/>
    </xf>
    <xf numFmtId="0" fontId="8" fillId="0" borderId="15" xfId="138" applyFont="1" applyFill="1" applyBorder="1" applyAlignment="1">
      <alignment vertical="center"/>
    </xf>
    <xf numFmtId="0" fontId="49" fillId="0" borderId="13" xfId="138" applyFont="1" applyFill="1" applyBorder="1" applyAlignment="1">
      <alignment horizontal="center" vertical="center" wrapText="1"/>
    </xf>
    <xf numFmtId="0" fontId="8" fillId="0" borderId="14" xfId="138" applyFont="1" applyFill="1" applyBorder="1" applyAlignment="1">
      <alignment vertical="center"/>
    </xf>
    <xf numFmtId="186" fontId="8" fillId="0" borderId="14" xfId="138" applyNumberFormat="1" applyFont="1" applyFill="1" applyBorder="1" applyAlignment="1">
      <alignment vertical="center"/>
    </xf>
    <xf numFmtId="0" fontId="8" fillId="0" borderId="16" xfId="213" applyFont="1" applyBorder="1" applyAlignment="1">
      <alignment horizontal="distributed" vertical="center"/>
    </xf>
    <xf numFmtId="186" fontId="162" fillId="0" borderId="54" xfId="213" applyNumberFormat="1" applyFont="1" applyBorder="1" applyAlignment="1">
      <alignment horizontal="right"/>
    </xf>
    <xf numFmtId="192" fontId="8" fillId="0" borderId="54" xfId="213" applyNumberFormat="1" applyFont="1" applyBorder="1" applyAlignment="1">
      <alignment horizontal="right"/>
    </xf>
    <xf numFmtId="237" fontId="8" fillId="0" borderId="54" xfId="213" applyNumberFormat="1" applyFont="1" applyBorder="1" applyAlignment="1">
      <alignment horizontal="right"/>
    </xf>
    <xf numFmtId="237" fontId="8" fillId="0" borderId="50" xfId="213" applyNumberFormat="1" applyFont="1" applyBorder="1" applyAlignment="1">
      <alignment horizontal="right"/>
    </xf>
    <xf numFmtId="192" fontId="8" fillId="0" borderId="0" xfId="213" applyNumberFormat="1" applyFont="1" applyBorder="1" applyAlignment="1">
      <alignment horizontal="distributed" vertical="center"/>
    </xf>
    <xf numFmtId="43" fontId="51" fillId="0" borderId="0" xfId="51" applyNumberFormat="1" applyFont="1" applyFill="1" applyBorder="1" applyAlignment="1"/>
    <xf numFmtId="186" fontId="162" fillId="0" borderId="17" xfId="213" applyNumberFormat="1" applyFont="1" applyBorder="1" applyAlignment="1">
      <alignment horizontal="right"/>
    </xf>
    <xf numFmtId="192" fontId="8" fillId="0" borderId="17" xfId="213" applyNumberFormat="1" applyFont="1" applyBorder="1" applyAlignment="1">
      <alignment horizontal="right"/>
    </xf>
    <xf numFmtId="237" fontId="8" fillId="0" borderId="17" xfId="213" applyNumberFormat="1" applyFont="1" applyBorder="1" applyAlignment="1">
      <alignment horizontal="right"/>
    </xf>
    <xf numFmtId="237" fontId="8" fillId="0" borderId="16" xfId="213" applyNumberFormat="1" applyFont="1" applyBorder="1" applyAlignment="1">
      <alignment horizontal="right"/>
    </xf>
    <xf numFmtId="0" fontId="8" fillId="0" borderId="0" xfId="138" applyFont="1" applyBorder="1" applyAlignment="1">
      <alignment horizontal="distributed" vertical="center" wrapText="1"/>
    </xf>
    <xf numFmtId="192" fontId="51" fillId="0" borderId="0" xfId="213" applyNumberFormat="1" applyFont="1" applyBorder="1" applyAlignment="1">
      <alignment horizontal="right"/>
    </xf>
    <xf numFmtId="43" fontId="51" fillId="0" borderId="0" xfId="51" applyNumberFormat="1" applyFont="1" applyFill="1" applyBorder="1" applyAlignment="1">
      <alignment horizontal="center"/>
    </xf>
    <xf numFmtId="0" fontId="8" fillId="0" borderId="0" xfId="138" applyFont="1" applyBorder="1" applyAlignment="1">
      <alignment horizontal="distributed" vertical="center"/>
    </xf>
    <xf numFmtId="0" fontId="51" fillId="0" borderId="0" xfId="213" applyFont="1" applyFill="1" applyAlignment="1"/>
    <xf numFmtId="0" fontId="8" fillId="0" borderId="16" xfId="213" applyFont="1" applyFill="1" applyBorder="1" applyAlignment="1">
      <alignment horizontal="distributed" vertical="center"/>
    </xf>
    <xf numFmtId="186" fontId="51" fillId="0" borderId="17" xfId="213" applyNumberFormat="1" applyFont="1" applyBorder="1" applyAlignment="1"/>
    <xf numFmtId="43" fontId="51" fillId="0" borderId="17" xfId="51" applyFont="1" applyFill="1" applyBorder="1" applyAlignment="1"/>
    <xf numFmtId="43" fontId="51" fillId="0" borderId="16" xfId="51" applyFont="1" applyFill="1" applyBorder="1" applyAlignment="1"/>
    <xf numFmtId="0" fontId="8" fillId="0" borderId="17" xfId="213" applyFont="1" applyBorder="1" applyAlignment="1">
      <alignment horizontal="distributed" vertical="center"/>
    </xf>
    <xf numFmtId="0" fontId="7" fillId="0" borderId="14" xfId="213" applyFont="1" applyBorder="1" applyAlignment="1">
      <alignment horizontal="distributed" vertical="center"/>
    </xf>
    <xf numFmtId="186" fontId="162" fillId="0" borderId="14" xfId="213" applyNumberFormat="1" applyFont="1" applyBorder="1" applyAlignment="1">
      <alignment horizontal="right" vertical="center"/>
    </xf>
    <xf numFmtId="200" fontId="162" fillId="0" borderId="14" xfId="213" applyNumberFormat="1" applyFont="1" applyBorder="1" applyAlignment="1">
      <alignment horizontal="right" vertical="center"/>
    </xf>
    <xf numFmtId="200" fontId="162" fillId="0" borderId="13" xfId="213" applyNumberFormat="1" applyFont="1" applyBorder="1" applyAlignment="1">
      <alignment horizontal="right" vertical="center"/>
    </xf>
    <xf numFmtId="186" fontId="8" fillId="0" borderId="0" xfId="138" applyNumberFormat="1" applyFont="1" applyFill="1" applyAlignment="1">
      <alignment vertical="center"/>
    </xf>
    <xf numFmtId="0" fontId="132" fillId="0" borderId="0" xfId="138" applyFont="1" applyFill="1" applyAlignment="1">
      <alignment vertical="center"/>
    </xf>
    <xf numFmtId="0" fontId="8" fillId="0" borderId="15" xfId="138" applyFont="1" applyFill="1" applyBorder="1" applyAlignment="1">
      <alignment horizontal="center" vertical="center"/>
    </xf>
    <xf numFmtId="0" fontId="8" fillId="0" borderId="24" xfId="138" applyFont="1" applyFill="1" applyBorder="1" applyAlignment="1">
      <alignment horizontal="center" vertical="center"/>
    </xf>
    <xf numFmtId="0" fontId="8" fillId="0" borderId="14" xfId="138" applyFont="1" applyFill="1" applyBorder="1" applyAlignment="1">
      <alignment horizontal="center" vertical="center"/>
    </xf>
    <xf numFmtId="0" fontId="8" fillId="0" borderId="63" xfId="138" applyFont="1" applyFill="1" applyBorder="1" applyAlignment="1">
      <alignment horizontal="center" vertical="center"/>
    </xf>
    <xf numFmtId="0" fontId="7" fillId="0" borderId="74" xfId="138" applyFont="1" applyFill="1" applyBorder="1" applyAlignment="1">
      <alignment horizontal="center" vertical="center"/>
    </xf>
    <xf numFmtId="0" fontId="8" fillId="0" borderId="13" xfId="138" applyFont="1" applyFill="1" applyBorder="1" applyAlignment="1">
      <alignment horizontal="center" vertical="center"/>
    </xf>
    <xf numFmtId="49" fontId="8" fillId="0" borderId="18" xfId="106" quotePrefix="1" applyNumberFormat="1" applyFont="1" applyFill="1" applyBorder="1" applyAlignment="1" applyProtection="1">
      <alignment horizontal="center" vertical="center"/>
      <protection locked="0"/>
    </xf>
    <xf numFmtId="3" fontId="8" fillId="0" borderId="54" xfId="104" applyNumberFormat="1" applyFont="1" applyFill="1" applyBorder="1" applyAlignment="1">
      <alignment horizontal="right" vertical="center" indent="1"/>
    </xf>
    <xf numFmtId="43" fontId="8" fillId="0" borderId="16" xfId="104" applyNumberFormat="1" applyFont="1" applyFill="1" applyBorder="1" applyAlignment="1">
      <alignment vertical="center"/>
    </xf>
    <xf numFmtId="3" fontId="8" fillId="0" borderId="55" xfId="104" applyNumberFormat="1" applyFont="1" applyBorder="1" applyAlignment="1">
      <alignment horizontal="right" vertical="center" indent="1"/>
    </xf>
    <xf numFmtId="3" fontId="8" fillId="0" borderId="18" xfId="104" applyNumberFormat="1" applyFont="1" applyBorder="1" applyAlignment="1">
      <alignment horizontal="right" vertical="center" indent="1"/>
    </xf>
    <xf numFmtId="179" fontId="8" fillId="0" borderId="17" xfId="104" applyNumberFormat="1" applyFont="1" applyBorder="1" applyAlignment="1">
      <alignment vertical="center"/>
    </xf>
    <xf numFmtId="43" fontId="8" fillId="0" borderId="77" xfId="104" applyNumberFormat="1" applyFont="1" applyBorder="1" applyAlignment="1">
      <alignment vertical="center"/>
    </xf>
    <xf numFmtId="179" fontId="8" fillId="0" borderId="17" xfId="104" applyNumberFormat="1" applyFont="1" applyFill="1" applyBorder="1" applyAlignment="1">
      <alignment vertical="center"/>
    </xf>
    <xf numFmtId="3" fontId="8" fillId="0" borderId="17" xfId="104" applyNumberFormat="1" applyFont="1" applyFill="1" applyBorder="1" applyAlignment="1">
      <alignment horizontal="right" vertical="center" indent="1"/>
    </xf>
    <xf numFmtId="3" fontId="8" fillId="0" borderId="57" xfId="104" applyNumberFormat="1" applyFont="1" applyBorder="1" applyAlignment="1">
      <alignment horizontal="right" vertical="center" indent="1"/>
    </xf>
    <xf numFmtId="3" fontId="8" fillId="0" borderId="17" xfId="104" applyNumberFormat="1" applyFont="1" applyBorder="1" applyAlignment="1">
      <alignment horizontal="right" vertical="center" indent="1"/>
    </xf>
    <xf numFmtId="3" fontId="8" fillId="0" borderId="14" xfId="104" applyNumberFormat="1" applyFont="1" applyFill="1" applyBorder="1" applyAlignment="1">
      <alignment horizontal="right" vertical="center" indent="1"/>
    </xf>
    <xf numFmtId="3" fontId="8" fillId="0" borderId="56" xfId="104" applyNumberFormat="1" applyFont="1" applyBorder="1" applyAlignment="1">
      <alignment horizontal="right" vertical="center" indent="1"/>
    </xf>
    <xf numFmtId="0" fontId="49" fillId="0" borderId="0" xfId="104" applyFont="1" applyFill="1" applyAlignment="1">
      <alignment vertical="center"/>
    </xf>
    <xf numFmtId="0" fontId="8" fillId="0" borderId="14" xfId="217" applyFont="1" applyFill="1" applyBorder="1" applyAlignment="1">
      <alignment horizontal="center" vertical="center"/>
    </xf>
    <xf numFmtId="0" fontId="8" fillId="0" borderId="15" xfId="217" applyFont="1" applyFill="1" applyBorder="1" applyAlignment="1">
      <alignment horizontal="center" vertical="center"/>
    </xf>
    <xf numFmtId="0" fontId="8" fillId="0" borderId="13" xfId="217" applyFont="1" applyFill="1" applyBorder="1" applyAlignment="1">
      <alignment horizontal="center" vertical="center"/>
    </xf>
    <xf numFmtId="0" fontId="8" fillId="0" borderId="79" xfId="217" applyFont="1" applyFill="1" applyBorder="1" applyAlignment="1">
      <alignment horizontal="center" vertical="center"/>
    </xf>
    <xf numFmtId="0" fontId="8" fillId="0" borderId="24" xfId="217" applyFont="1" applyFill="1" applyBorder="1" applyAlignment="1">
      <alignment horizontal="center" vertical="center"/>
    </xf>
    <xf numFmtId="0" fontId="8" fillId="0" borderId="65" xfId="217" applyFont="1" applyFill="1" applyBorder="1" applyAlignment="1">
      <alignment horizontal="center" vertical="center"/>
    </xf>
    <xf numFmtId="0" fontId="8" fillId="0" borderId="46" xfId="217" applyFont="1" applyFill="1" applyBorder="1" applyAlignment="1">
      <alignment horizontal="center" vertical="center"/>
    </xf>
    <xf numFmtId="41" fontId="8" fillId="0" borderId="17" xfId="213" applyNumberFormat="1" applyFont="1" applyBorder="1">
      <alignment vertical="center"/>
    </xf>
    <xf numFmtId="178" fontId="8" fillId="0" borderId="18" xfId="181" applyNumberFormat="1" applyFont="1" applyBorder="1">
      <alignment vertical="center"/>
    </xf>
    <xf numFmtId="43" fontId="8" fillId="0" borderId="17" xfId="181" applyNumberFormat="1" applyFont="1" applyBorder="1">
      <alignment vertical="center"/>
    </xf>
    <xf numFmtId="193" fontId="8" fillId="0" borderId="0" xfId="104" applyNumberFormat="1" applyFont="1" applyAlignment="1">
      <alignment vertical="center"/>
    </xf>
    <xf numFmtId="178" fontId="8" fillId="0" borderId="57" xfId="181" applyNumberFormat="1" applyFont="1" applyFill="1" applyBorder="1" applyAlignment="1">
      <alignment vertical="center"/>
    </xf>
    <xf numFmtId="178" fontId="8" fillId="0" borderId="18" xfId="181" applyNumberFormat="1" applyFont="1" applyFill="1" applyBorder="1" applyAlignment="1">
      <alignment vertical="center"/>
    </xf>
    <xf numFmtId="43" fontId="8" fillId="0" borderId="50" xfId="104" applyNumberFormat="1" applyFont="1" applyBorder="1" applyAlignment="1">
      <alignment vertical="center"/>
    </xf>
    <xf numFmtId="178" fontId="8" fillId="0" borderId="56" xfId="181" applyNumberFormat="1" applyFont="1" applyFill="1" applyBorder="1" applyAlignment="1">
      <alignment vertical="center"/>
    </xf>
    <xf numFmtId="0" fontId="67" fillId="0" borderId="0" xfId="217" applyFont="1" applyFill="1" applyAlignment="1">
      <alignment vertical="center"/>
    </xf>
    <xf numFmtId="0" fontId="67" fillId="0" borderId="0" xfId="217" applyFont="1" applyFill="1">
      <alignment vertical="center"/>
    </xf>
    <xf numFmtId="0" fontId="51" fillId="0" borderId="0" xfId="180" applyFont="1" applyFill="1">
      <alignment vertical="center"/>
    </xf>
    <xf numFmtId="0" fontId="63" fillId="0" borderId="0" xfId="138" applyFont="1" applyAlignment="1">
      <alignment vertical="center"/>
    </xf>
    <xf numFmtId="0" fontId="8" fillId="0" borderId="0" xfId="138" applyFont="1" applyAlignment="1">
      <alignment vertical="center"/>
    </xf>
    <xf numFmtId="49" fontId="8" fillId="0" borderId="24" xfId="138" quotePrefix="1" applyNumberFormat="1" applyFont="1" applyBorder="1" applyAlignment="1">
      <alignment horizontal="center" vertical="center"/>
    </xf>
    <xf numFmtId="49" fontId="8" fillId="0" borderId="13" xfId="138" quotePrefix="1" applyNumberFormat="1" applyFont="1" applyBorder="1" applyAlignment="1">
      <alignment horizontal="center" vertical="center"/>
    </xf>
    <xf numFmtId="0" fontId="8" fillId="0" borderId="18" xfId="138" applyFont="1" applyBorder="1" applyAlignment="1">
      <alignment horizontal="distributed" vertical="center"/>
    </xf>
    <xf numFmtId="238" fontId="8" fillId="0" borderId="16" xfId="213" applyNumberFormat="1" applyFont="1" applyBorder="1">
      <alignment vertical="center"/>
    </xf>
    <xf numFmtId="43" fontId="8" fillId="0" borderId="16" xfId="213" applyNumberFormat="1" applyFont="1" applyBorder="1">
      <alignment vertical="center"/>
    </xf>
    <xf numFmtId="0" fontId="8" fillId="0" borderId="18" xfId="213" applyFont="1" applyBorder="1" applyAlignment="1">
      <alignment horizontal="distributed" vertical="center" wrapText="1"/>
    </xf>
    <xf numFmtId="238" fontId="8" fillId="0" borderId="14" xfId="213" applyNumberFormat="1" applyFont="1" applyBorder="1">
      <alignment vertical="center"/>
    </xf>
    <xf numFmtId="43" fontId="8" fillId="0" borderId="14" xfId="213" applyNumberFormat="1" applyFont="1" applyBorder="1">
      <alignment vertical="center"/>
    </xf>
    <xf numFmtId="238" fontId="8" fillId="0" borderId="24" xfId="213" applyNumberFormat="1" applyFont="1" applyBorder="1">
      <alignment vertical="center"/>
    </xf>
    <xf numFmtId="43" fontId="8" fillId="0" borderId="13" xfId="213" applyNumberFormat="1" applyFont="1" applyBorder="1">
      <alignment vertical="center"/>
    </xf>
    <xf numFmtId="0" fontId="67" fillId="0" borderId="0" xfId="138" quotePrefix="1" applyFont="1" applyAlignment="1">
      <alignment horizontal="left" vertical="center"/>
    </xf>
    <xf numFmtId="0" fontId="67" fillId="0" borderId="0" xfId="138" applyFont="1" applyAlignment="1">
      <alignment vertical="center"/>
    </xf>
    <xf numFmtId="0" fontId="8" fillId="0" borderId="24" xfId="167" applyFont="1" applyBorder="1" applyAlignment="1">
      <alignment horizontal="center" vertical="center"/>
    </xf>
    <xf numFmtId="0" fontId="8" fillId="0" borderId="13" xfId="167" applyFont="1" applyBorder="1" applyAlignment="1">
      <alignment horizontal="center" vertical="center"/>
    </xf>
    <xf numFmtId="0" fontId="8" fillId="0" borderId="18" xfId="167" applyFont="1" applyBorder="1" applyAlignment="1">
      <alignment horizontal="distributed" vertical="center"/>
    </xf>
    <xf numFmtId="238" fontId="8" fillId="0" borderId="16" xfId="167" applyNumberFormat="1" applyFont="1" applyBorder="1" applyAlignment="1">
      <alignment vertical="center"/>
    </xf>
    <xf numFmtId="43" fontId="8" fillId="0" borderId="16" xfId="167" applyNumberFormat="1" applyFont="1" applyBorder="1" applyAlignment="1">
      <alignment vertical="center"/>
    </xf>
    <xf numFmtId="0" fontId="8" fillId="0" borderId="15" xfId="167" applyFont="1" applyBorder="1" applyAlignment="1">
      <alignment horizontal="distributed" vertical="center"/>
    </xf>
    <xf numFmtId="238" fontId="8" fillId="0" borderId="13" xfId="167" applyNumberFormat="1" applyFont="1" applyBorder="1" applyAlignment="1">
      <alignment vertical="center"/>
    </xf>
    <xf numFmtId="43" fontId="8" fillId="0" borderId="13" xfId="167" applyNumberFormat="1" applyFont="1" applyBorder="1" applyAlignment="1">
      <alignment vertical="center"/>
    </xf>
    <xf numFmtId="0" fontId="67" fillId="0" borderId="0" xfId="167" applyFont="1" applyAlignment="1">
      <alignment vertical="center"/>
    </xf>
    <xf numFmtId="0" fontId="8" fillId="0" borderId="56" xfId="138" applyFont="1" applyFill="1" applyBorder="1" applyAlignment="1">
      <alignment horizontal="center" vertical="center"/>
    </xf>
    <xf numFmtId="0" fontId="7" fillId="0" borderId="24" xfId="138" applyFont="1" applyFill="1" applyBorder="1" applyAlignment="1">
      <alignment horizontal="center" vertical="center"/>
    </xf>
    <xf numFmtId="43" fontId="8" fillId="0" borderId="17" xfId="104" applyNumberFormat="1" applyFont="1" applyBorder="1" applyAlignment="1">
      <alignment horizontal="right" vertical="center"/>
    </xf>
    <xf numFmtId="41" fontId="8" fillId="0" borderId="18" xfId="104" applyNumberFormat="1" applyFont="1" applyBorder="1" applyAlignment="1">
      <alignment horizontal="right" vertical="center" indent="1"/>
    </xf>
    <xf numFmtId="41" fontId="8" fillId="0" borderId="18" xfId="104" applyNumberFormat="1" applyFont="1" applyBorder="1" applyAlignment="1">
      <alignment vertical="center"/>
    </xf>
    <xf numFmtId="49" fontId="8" fillId="0" borderId="15" xfId="106" quotePrefix="1" applyNumberFormat="1" applyFont="1" applyFill="1" applyBorder="1" applyAlignment="1" applyProtection="1">
      <alignment horizontal="center" vertical="center"/>
      <protection locked="0"/>
    </xf>
    <xf numFmtId="3" fontId="8" fillId="0" borderId="14" xfId="104" applyNumberFormat="1" applyFont="1" applyBorder="1" applyAlignment="1">
      <alignment horizontal="right" vertical="center" indent="1"/>
    </xf>
    <xf numFmtId="43" fontId="8" fillId="0" borderId="14" xfId="104" applyNumberFormat="1" applyFont="1" applyBorder="1" applyAlignment="1">
      <alignment horizontal="right" vertical="center"/>
    </xf>
    <xf numFmtId="43" fontId="8" fillId="0" borderId="63" xfId="104" applyNumberFormat="1" applyFont="1" applyBorder="1" applyAlignment="1">
      <alignment vertical="center"/>
    </xf>
    <xf numFmtId="41" fontId="8" fillId="0" borderId="15" xfId="104" applyNumberFormat="1" applyFont="1" applyBorder="1" applyAlignment="1">
      <alignment vertical="center"/>
    </xf>
    <xf numFmtId="0" fontId="67" fillId="0" borderId="0" xfId="138" quotePrefix="1" applyFont="1" applyFill="1" applyAlignment="1">
      <alignment horizontal="left" vertical="center"/>
    </xf>
    <xf numFmtId="239" fontId="8" fillId="0" borderId="0" xfId="138" applyNumberFormat="1" applyFont="1" applyFill="1" applyAlignment="1">
      <alignment vertical="center"/>
    </xf>
    <xf numFmtId="0" fontId="8" fillId="0" borderId="0" xfId="138" applyFont="1" applyFill="1">
      <alignment vertical="center"/>
    </xf>
    <xf numFmtId="0" fontId="8" fillId="0" borderId="0" xfId="180" applyFont="1" applyFill="1" applyAlignment="1">
      <alignment vertical="center"/>
    </xf>
    <xf numFmtId="190" fontId="8" fillId="0" borderId="0" xfId="104" applyNumberFormat="1" applyFont="1" applyFill="1" applyAlignment="1">
      <alignment vertical="center"/>
    </xf>
    <xf numFmtId="0" fontId="8" fillId="0" borderId="14" xfId="104" applyFont="1" applyBorder="1" applyAlignment="1">
      <alignment horizontal="distributed" vertical="center"/>
    </xf>
    <xf numFmtId="178" fontId="8" fillId="0" borderId="18" xfId="218" quotePrefix="1" applyNumberFormat="1" applyFont="1" applyFill="1" applyBorder="1" applyAlignment="1">
      <alignment horizontal="right" vertical="center"/>
    </xf>
    <xf numFmtId="179" fontId="8" fillId="0" borderId="17" xfId="181" applyNumberFormat="1" applyFont="1" applyBorder="1" applyAlignment="1">
      <alignment horizontal="right" vertical="center"/>
    </xf>
    <xf numFmtId="193" fontId="8" fillId="0" borderId="17" xfId="181" applyNumberFormat="1" applyFont="1" applyBorder="1" applyAlignment="1">
      <alignment horizontal="right" vertical="center"/>
    </xf>
    <xf numFmtId="41" fontId="8" fillId="0" borderId="17" xfId="104" applyNumberFormat="1" applyFont="1" applyBorder="1" applyAlignment="1">
      <alignment vertical="center"/>
    </xf>
    <xf numFmtId="193" fontId="8" fillId="0" borderId="18" xfId="181" applyNumberFormat="1" applyFont="1" applyBorder="1" applyAlignment="1">
      <alignment horizontal="right" vertical="center"/>
    </xf>
    <xf numFmtId="178" fontId="8" fillId="0" borderId="17" xfId="218" quotePrefix="1" applyNumberFormat="1" applyFont="1" applyFill="1" applyBorder="1" applyAlignment="1">
      <alignment horizontal="right" vertical="center"/>
    </xf>
    <xf numFmtId="193" fontId="8" fillId="0" borderId="0" xfId="181" applyNumberFormat="1" applyFont="1" applyAlignment="1">
      <alignment horizontal="right" vertical="center"/>
    </xf>
    <xf numFmtId="178" fontId="8" fillId="0" borderId="14" xfId="218" quotePrefix="1" applyNumberFormat="1" applyFont="1" applyFill="1" applyBorder="1" applyAlignment="1">
      <alignment horizontal="right" vertical="center"/>
    </xf>
    <xf numFmtId="179" fontId="8" fillId="0" borderId="14" xfId="181" applyNumberFormat="1" applyFont="1" applyBorder="1" applyAlignment="1">
      <alignment horizontal="right" vertical="center"/>
    </xf>
    <xf numFmtId="193" fontId="8" fillId="0" borderId="14" xfId="181" applyNumberFormat="1" applyFont="1" applyBorder="1" applyAlignment="1">
      <alignment horizontal="right" vertical="center"/>
    </xf>
    <xf numFmtId="41" fontId="8" fillId="0" borderId="14" xfId="104" applyNumberFormat="1" applyFont="1" applyBorder="1" applyAlignment="1">
      <alignment vertical="center"/>
    </xf>
    <xf numFmtId="186" fontId="67" fillId="0" borderId="0" xfId="104" applyNumberFormat="1" applyFont="1" applyAlignment="1">
      <alignment vertical="center"/>
    </xf>
    <xf numFmtId="186" fontId="8" fillId="0" borderId="0" xfId="104" applyNumberFormat="1" applyFont="1" applyAlignment="1">
      <alignment vertical="top"/>
    </xf>
    <xf numFmtId="186" fontId="8" fillId="0" borderId="0" xfId="104" applyNumberFormat="1" applyFont="1" applyAlignment="1">
      <alignment vertical="center"/>
    </xf>
    <xf numFmtId="0" fontId="52" fillId="0" borderId="15" xfId="219" applyFont="1" applyBorder="1" applyAlignment="1">
      <alignment horizontal="center" vertical="center"/>
    </xf>
    <xf numFmtId="0" fontId="8" fillId="0" borderId="65" xfId="219" applyFont="1" applyBorder="1" applyAlignment="1">
      <alignment horizontal="center" vertical="center"/>
    </xf>
    <xf numFmtId="0" fontId="8" fillId="0" borderId="46" xfId="219" applyFont="1" applyBorder="1" applyAlignment="1">
      <alignment horizontal="center" vertical="center"/>
    </xf>
    <xf numFmtId="41" fontId="8" fillId="0" borderId="54" xfId="107" applyNumberFormat="1" applyFont="1" applyBorder="1" applyAlignment="1">
      <alignment horizontal="center" vertical="center"/>
    </xf>
    <xf numFmtId="41" fontId="8" fillId="0" borderId="18" xfId="107" applyNumberFormat="1" applyFont="1" applyBorder="1" applyAlignment="1">
      <alignment horizontal="center" vertical="center"/>
    </xf>
    <xf numFmtId="43" fontId="8" fillId="0" borderId="54" xfId="104" applyNumberFormat="1" applyFont="1" applyBorder="1" applyAlignment="1">
      <alignment vertical="center"/>
    </xf>
    <xf numFmtId="41" fontId="8" fillId="0" borderId="18" xfId="107" applyNumberFormat="1" applyFont="1" applyFill="1" applyBorder="1" applyAlignment="1">
      <alignment horizontal="center" vertical="center"/>
    </xf>
    <xf numFmtId="43" fontId="8" fillId="0" borderId="17" xfId="104" applyNumberFormat="1" applyFont="1" applyFill="1" applyBorder="1" applyAlignment="1">
      <alignment vertical="center"/>
    </xf>
    <xf numFmtId="3" fontId="8" fillId="0" borderId="0" xfId="104" applyNumberFormat="1" applyFont="1" applyBorder="1" applyAlignment="1">
      <alignment horizontal="center" vertical="center"/>
    </xf>
    <xf numFmtId="41" fontId="8" fillId="0" borderId="17" xfId="107" applyNumberFormat="1" applyFont="1" applyBorder="1" applyAlignment="1">
      <alignment horizontal="center" vertical="center"/>
    </xf>
    <xf numFmtId="41" fontId="8" fillId="0" borderId="17" xfId="107" applyNumberFormat="1" applyFont="1" applyFill="1" applyBorder="1" applyAlignment="1">
      <alignment horizontal="center" vertical="center"/>
    </xf>
    <xf numFmtId="41" fontId="8" fillId="0" borderId="14" xfId="107" applyNumberFormat="1" applyFont="1" applyBorder="1" applyAlignment="1">
      <alignment horizontal="center" vertical="center"/>
    </xf>
    <xf numFmtId="41" fontId="8" fillId="0" borderId="15" xfId="107" applyNumberFormat="1" applyFont="1" applyBorder="1" applyAlignment="1">
      <alignment horizontal="center" vertical="center"/>
    </xf>
    <xf numFmtId="41" fontId="8" fillId="0" borderId="14" xfId="107" applyNumberFormat="1" applyFont="1" applyFill="1" applyBorder="1" applyAlignment="1">
      <alignment horizontal="center" vertical="center"/>
    </xf>
    <xf numFmtId="43" fontId="8" fillId="0" borderId="14" xfId="104" applyNumberFormat="1" applyFont="1" applyFill="1" applyBorder="1" applyAlignment="1">
      <alignment horizontal="right" vertical="center"/>
    </xf>
    <xf numFmtId="41" fontId="8" fillId="0" borderId="15" xfId="107" applyNumberFormat="1" applyFont="1" applyFill="1" applyBorder="1" applyAlignment="1">
      <alignment horizontal="right" vertical="center"/>
    </xf>
    <xf numFmtId="43" fontId="8" fillId="0" borderId="13" xfId="104" applyNumberFormat="1" applyFont="1" applyFill="1" applyBorder="1" applyAlignment="1">
      <alignment horizontal="right" vertical="center"/>
    </xf>
    <xf numFmtId="0" fontId="67" fillId="0" borderId="0" xfId="217" quotePrefix="1" applyFont="1" applyAlignment="1">
      <alignment horizontal="left" vertical="center"/>
    </xf>
    <xf numFmtId="0" fontId="8" fillId="0" borderId="47" xfId="138" applyFont="1" applyBorder="1" applyAlignment="1">
      <alignment horizontal="center" vertical="center"/>
    </xf>
    <xf numFmtId="0" fontId="8" fillId="0" borderId="55" xfId="138" applyFont="1" applyBorder="1" applyAlignment="1">
      <alignment horizontal="center" vertical="center"/>
    </xf>
    <xf numFmtId="0" fontId="8" fillId="0" borderId="49" xfId="138" applyFont="1" applyBorder="1" applyAlignment="1">
      <alignment horizontal="center" vertical="center"/>
    </xf>
    <xf numFmtId="0" fontId="8" fillId="0" borderId="65" xfId="138" applyFont="1" applyBorder="1" applyAlignment="1">
      <alignment horizontal="center" vertical="center"/>
    </xf>
    <xf numFmtId="0" fontId="8" fillId="0" borderId="79" xfId="138" applyFont="1" applyBorder="1" applyAlignment="1">
      <alignment horizontal="center" vertical="center"/>
    </xf>
    <xf numFmtId="43" fontId="8" fillId="0" borderId="54" xfId="104" applyNumberFormat="1" applyFont="1" applyBorder="1" applyAlignment="1">
      <alignment horizontal="right" vertical="center" indent="1"/>
    </xf>
    <xf numFmtId="43" fontId="8" fillId="0" borderId="50" xfId="104" applyNumberFormat="1" applyFont="1" applyBorder="1" applyAlignment="1">
      <alignment horizontal="right" vertical="center" indent="1"/>
    </xf>
    <xf numFmtId="43" fontId="8" fillId="0" borderId="17" xfId="104" applyNumberFormat="1" applyFont="1" applyBorder="1" applyAlignment="1">
      <alignment horizontal="right" vertical="center" indent="1"/>
    </xf>
    <xf numFmtId="43" fontId="8" fillId="0" borderId="16" xfId="104" applyNumberFormat="1" applyFont="1" applyBorder="1" applyAlignment="1">
      <alignment horizontal="right" vertical="center" indent="1"/>
    </xf>
    <xf numFmtId="43" fontId="8" fillId="0" borderId="14" xfId="104" applyNumberFormat="1" applyFont="1" applyBorder="1" applyAlignment="1">
      <alignment horizontal="right" vertical="center" indent="1"/>
    </xf>
    <xf numFmtId="43" fontId="8" fillId="0" borderId="13" xfId="104" applyNumberFormat="1" applyFont="1" applyBorder="1" applyAlignment="1">
      <alignment horizontal="right" vertical="center" indent="1"/>
    </xf>
    <xf numFmtId="0" fontId="8" fillId="0" borderId="0" xfId="104" applyFont="1" applyAlignment="1">
      <alignment horizontal="center" vertical="top"/>
    </xf>
    <xf numFmtId="0" fontId="8" fillId="0" borderId="0" xfId="138" applyFont="1">
      <alignment vertical="center"/>
    </xf>
    <xf numFmtId="0" fontId="8" fillId="0" borderId="65" xfId="138" applyFont="1" applyFill="1" applyBorder="1" applyAlignment="1">
      <alignment horizontal="center" vertical="center"/>
    </xf>
    <xf numFmtId="179" fontId="8" fillId="0" borderId="18" xfId="104" applyNumberFormat="1" applyFont="1" applyBorder="1" applyAlignment="1">
      <alignment vertical="center"/>
    </xf>
    <xf numFmtId="3" fontId="8" fillId="0" borderId="0" xfId="104" applyNumberFormat="1" applyFont="1" applyFill="1" applyBorder="1" applyAlignment="1">
      <alignment horizontal="center" vertical="center"/>
    </xf>
    <xf numFmtId="0" fontId="8" fillId="0" borderId="0" xfId="104" applyFont="1" applyFill="1" applyAlignment="1">
      <alignment horizontal="center" vertical="top"/>
    </xf>
    <xf numFmtId="0" fontId="51" fillId="0" borderId="0" xfId="138" applyFont="1">
      <alignment vertical="center"/>
    </xf>
    <xf numFmtId="0" fontId="51" fillId="0" borderId="49" xfId="219" applyFont="1" applyBorder="1" applyAlignment="1">
      <alignment horizontal="center" vertical="center"/>
    </xf>
    <xf numFmtId="38" fontId="51" fillId="0" borderId="49" xfId="219" applyNumberFormat="1" applyFont="1" applyBorder="1" applyAlignment="1">
      <alignment horizontal="center" vertical="center"/>
    </xf>
    <xf numFmtId="0" fontId="51" fillId="0" borderId="14" xfId="219" applyFont="1" applyBorder="1" applyAlignment="1">
      <alignment horizontal="center" vertical="center"/>
    </xf>
    <xf numFmtId="0" fontId="51" fillId="0" borderId="13" xfId="219" applyFont="1" applyBorder="1" applyAlignment="1">
      <alignment horizontal="center" vertical="center"/>
    </xf>
    <xf numFmtId="49" fontId="51" fillId="0" borderId="18" xfId="219" quotePrefix="1" applyNumberFormat="1" applyFont="1" applyBorder="1" applyAlignment="1">
      <alignment horizontal="center" vertical="center"/>
    </xf>
    <xf numFmtId="179" fontId="51" fillId="0" borderId="18" xfId="219" applyNumberFormat="1" applyFont="1" applyBorder="1" applyAlignment="1">
      <alignment horizontal="right" vertical="center"/>
    </xf>
    <xf numFmtId="179" fontId="51" fillId="0" borderId="17" xfId="219" applyNumberFormat="1" applyFont="1" applyBorder="1" applyAlignment="1">
      <alignment horizontal="right" vertical="center"/>
    </xf>
    <xf numFmtId="193" fontId="51" fillId="0" borderId="16" xfId="219" applyNumberFormat="1" applyFont="1" applyBorder="1" applyAlignment="1">
      <alignment horizontal="right" vertical="center"/>
    </xf>
    <xf numFmtId="49" fontId="51" fillId="0" borderId="0" xfId="106" quotePrefix="1" applyNumberFormat="1" applyFont="1" applyBorder="1" applyAlignment="1" applyProtection="1">
      <alignment horizontal="center" vertical="center"/>
      <protection locked="0"/>
    </xf>
    <xf numFmtId="240" fontId="51" fillId="0" borderId="17" xfId="219" applyNumberFormat="1" applyFont="1" applyBorder="1" applyAlignment="1">
      <alignment horizontal="right" vertical="center"/>
    </xf>
    <xf numFmtId="179" fontId="51" fillId="0" borderId="16" xfId="219" applyNumberFormat="1" applyFont="1" applyBorder="1" applyAlignment="1">
      <alignment horizontal="right" vertical="center"/>
    </xf>
    <xf numFmtId="179" fontId="51" fillId="0" borderId="0" xfId="219" applyNumberFormat="1" applyFont="1" applyAlignment="1">
      <alignment horizontal="right" vertical="center"/>
    </xf>
    <xf numFmtId="193" fontId="51" fillId="0" borderId="0" xfId="219" applyNumberFormat="1" applyFont="1" applyAlignment="1">
      <alignment horizontal="right" vertical="center"/>
    </xf>
    <xf numFmtId="49" fontId="51" fillId="0" borderId="15" xfId="106" quotePrefix="1" applyNumberFormat="1" applyFont="1" applyBorder="1" applyAlignment="1" applyProtection="1">
      <alignment horizontal="center" vertical="center"/>
      <protection locked="0"/>
    </xf>
    <xf numFmtId="179" fontId="51" fillId="0" borderId="14" xfId="219" applyNumberFormat="1" applyFont="1" applyBorder="1" applyAlignment="1">
      <alignment horizontal="right" vertical="center"/>
    </xf>
    <xf numFmtId="240" fontId="51" fillId="0" borderId="14" xfId="219" applyNumberFormat="1" applyFont="1" applyBorder="1" applyAlignment="1">
      <alignment horizontal="right" vertical="center"/>
    </xf>
    <xf numFmtId="193" fontId="51" fillId="0" borderId="13" xfId="219" applyNumberFormat="1" applyFont="1" applyBorder="1" applyAlignment="1">
      <alignment horizontal="right" vertical="center"/>
    </xf>
    <xf numFmtId="0" fontId="51" fillId="0" borderId="0" xfId="219" applyFont="1">
      <alignment vertical="center"/>
    </xf>
    <xf numFmtId="0" fontId="63" fillId="0" borderId="0" xfId="138" applyFont="1" applyAlignment="1">
      <alignment horizontal="center" vertical="center"/>
    </xf>
    <xf numFmtId="194" fontId="8" fillId="0" borderId="17" xfId="213" applyNumberFormat="1" applyFont="1" applyBorder="1" applyAlignment="1">
      <alignment horizontal="right" vertical="center"/>
    </xf>
    <xf numFmtId="195" fontId="8" fillId="0" borderId="16" xfId="213" applyNumberFormat="1" applyFont="1" applyBorder="1">
      <alignment vertical="center"/>
    </xf>
    <xf numFmtId="194" fontId="8" fillId="0" borderId="14" xfId="213" applyNumberFormat="1" applyFont="1" applyBorder="1" applyAlignment="1">
      <alignment horizontal="right" vertical="center"/>
    </xf>
    <xf numFmtId="195" fontId="8" fillId="0" borderId="13" xfId="213" applyNumberFormat="1" applyFont="1" applyBorder="1">
      <alignment vertical="center"/>
    </xf>
    <xf numFmtId="0" fontId="63" fillId="0" borderId="0" xfId="138" quotePrefix="1" applyFont="1" applyAlignment="1">
      <alignment horizontal="center" vertical="center"/>
    </xf>
    <xf numFmtId="0" fontId="8" fillId="0" borderId="0" xfId="138" applyFont="1" applyBorder="1" applyAlignment="1">
      <alignment vertical="center"/>
    </xf>
    <xf numFmtId="49" fontId="8" fillId="0" borderId="14" xfId="138" quotePrefix="1" applyNumberFormat="1" applyFont="1" applyBorder="1" applyAlignment="1">
      <alignment horizontal="center" vertical="center"/>
    </xf>
    <xf numFmtId="238" fontId="8" fillId="0" borderId="16" xfId="213" applyNumberFormat="1" applyFont="1" applyBorder="1" applyAlignment="1">
      <alignment horizontal="right" vertical="center" indent="1"/>
    </xf>
    <xf numFmtId="241" fontId="8" fillId="0" borderId="16" xfId="213" applyNumberFormat="1" applyFont="1" applyBorder="1" applyAlignment="1">
      <alignment horizontal="right" vertical="center" indent="1"/>
    </xf>
    <xf numFmtId="238" fontId="8" fillId="0" borderId="17" xfId="213" applyNumberFormat="1" applyFont="1" applyBorder="1" applyAlignment="1">
      <alignment horizontal="right" vertical="center" indent="1"/>
    </xf>
    <xf numFmtId="238" fontId="8" fillId="0" borderId="14" xfId="213" applyNumberFormat="1" applyFont="1" applyBorder="1" applyAlignment="1">
      <alignment horizontal="right" vertical="center" indent="1"/>
    </xf>
    <xf numFmtId="241" fontId="8" fillId="0" borderId="13" xfId="213" applyNumberFormat="1" applyFont="1" applyBorder="1" applyAlignment="1">
      <alignment horizontal="right" vertical="center" indent="1"/>
    </xf>
    <xf numFmtId="241" fontId="8" fillId="0" borderId="0" xfId="138" applyNumberFormat="1" applyFont="1" applyAlignment="1">
      <alignment vertical="center"/>
    </xf>
    <xf numFmtId="0" fontId="8" fillId="0" borderId="46" xfId="167" applyFont="1" applyBorder="1" applyAlignment="1">
      <alignment horizontal="center" vertical="center"/>
    </xf>
    <xf numFmtId="41" fontId="8" fillId="0" borderId="16" xfId="167" applyNumberFormat="1" applyFont="1" applyBorder="1" applyAlignment="1">
      <alignment horizontal="right" vertical="center"/>
    </xf>
    <xf numFmtId="43" fontId="8" fillId="0" borderId="16" xfId="167" applyNumberFormat="1" applyFont="1" applyBorder="1" applyAlignment="1">
      <alignment horizontal="right" vertical="center" indent="2"/>
    </xf>
    <xf numFmtId="43" fontId="8" fillId="0" borderId="16" xfId="167" applyNumberFormat="1" applyFont="1" applyFill="1" applyBorder="1" applyAlignment="1">
      <alignment horizontal="right" vertical="center" indent="2"/>
    </xf>
    <xf numFmtId="41" fontId="8" fillId="0" borderId="16" xfId="167" applyNumberFormat="1" applyFont="1" applyFill="1" applyBorder="1" applyAlignment="1">
      <alignment horizontal="right" vertical="center"/>
    </xf>
    <xf numFmtId="41" fontId="8" fillId="0" borderId="16" xfId="167" applyNumberFormat="1" applyFont="1" applyBorder="1" applyAlignment="1">
      <alignment horizontal="right" vertical="center" indent="2"/>
    </xf>
    <xf numFmtId="41" fontId="8" fillId="0" borderId="16" xfId="167" applyNumberFormat="1" applyFont="1" applyFill="1" applyBorder="1" applyAlignment="1">
      <alignment horizontal="right" vertical="center" indent="2"/>
    </xf>
    <xf numFmtId="41" fontId="8" fillId="0" borderId="13" xfId="167" applyNumberFormat="1" applyFont="1" applyBorder="1" applyAlignment="1">
      <alignment horizontal="right" vertical="center"/>
    </xf>
    <xf numFmtId="43" fontId="8" fillId="0" borderId="13" xfId="167" applyNumberFormat="1" applyFont="1" applyBorder="1" applyAlignment="1">
      <alignment horizontal="right" vertical="center" indent="2"/>
    </xf>
    <xf numFmtId="43" fontId="8" fillId="0" borderId="13" xfId="167" applyNumberFormat="1" applyFont="1" applyFill="1" applyBorder="1" applyAlignment="1">
      <alignment horizontal="right" vertical="center" indent="2"/>
    </xf>
    <xf numFmtId="41" fontId="8" fillId="0" borderId="13" xfId="167" applyNumberFormat="1" applyFont="1" applyFill="1" applyBorder="1" applyAlignment="1">
      <alignment horizontal="right" vertical="center"/>
    </xf>
    <xf numFmtId="0" fontId="67" fillId="0" borderId="0" xfId="167" quotePrefix="1" applyFont="1" applyAlignment="1">
      <alignment horizontal="left" vertical="center"/>
    </xf>
    <xf numFmtId="238" fontId="67" fillId="0" borderId="0" xfId="167" applyNumberFormat="1" applyFont="1" applyAlignment="1">
      <alignment vertical="center"/>
    </xf>
    <xf numFmtId="0" fontId="154" fillId="0" borderId="24" xfId="213" applyFont="1" applyBorder="1" applyAlignment="1">
      <alignment horizontal="left" vertical="center"/>
    </xf>
    <xf numFmtId="3" fontId="154" fillId="0" borderId="24" xfId="213" applyNumberFormat="1" applyFont="1" applyBorder="1" applyAlignment="1">
      <alignment horizontal="right" vertical="center"/>
    </xf>
    <xf numFmtId="0" fontId="154" fillId="0" borderId="24" xfId="213" applyFont="1" applyBorder="1" applyAlignment="1">
      <alignment horizontal="right" vertical="center"/>
    </xf>
    <xf numFmtId="3" fontId="51" fillId="0" borderId="0" xfId="213" applyNumberFormat="1" applyFont="1" applyAlignment="1">
      <alignment horizontal="right" vertical="center"/>
    </xf>
    <xf numFmtId="0" fontId="51" fillId="0" borderId="0" xfId="213" applyFont="1" applyAlignment="1">
      <alignment horizontal="right" vertical="center"/>
    </xf>
    <xf numFmtId="186" fontId="51" fillId="0" borderId="0" xfId="213" applyNumberFormat="1" applyFont="1" applyAlignment="1">
      <alignment horizontal="right" vertical="center"/>
    </xf>
    <xf numFmtId="3" fontId="51" fillId="0" borderId="0" xfId="213" applyNumberFormat="1" applyFont="1" applyFill="1" applyAlignment="1">
      <alignment horizontal="right" vertical="center"/>
    </xf>
    <xf numFmtId="3" fontId="8" fillId="0" borderId="54" xfId="213" applyNumberFormat="1" applyFont="1" applyBorder="1" applyAlignment="1">
      <alignment horizontal="right" vertical="center" indent="1"/>
    </xf>
    <xf numFmtId="200" fontId="8" fillId="0" borderId="54" xfId="213" applyNumberFormat="1" applyFont="1" applyBorder="1" applyAlignment="1">
      <alignment horizontal="right" vertical="center" indent="1"/>
    </xf>
    <xf numFmtId="3" fontId="8" fillId="0" borderId="54" xfId="213" applyNumberFormat="1" applyFont="1" applyFill="1" applyBorder="1" applyAlignment="1">
      <alignment horizontal="right" vertical="center" indent="1"/>
    </xf>
    <xf numFmtId="3" fontId="8" fillId="0" borderId="48" xfId="213" applyNumberFormat="1" applyFont="1" applyBorder="1" applyAlignment="1">
      <alignment horizontal="right" vertical="center" indent="1"/>
    </xf>
    <xf numFmtId="193" fontId="8" fillId="0" borderId="50" xfId="213" applyNumberFormat="1" applyFont="1" applyBorder="1" applyAlignment="1">
      <alignment horizontal="right" vertical="center" indent="1"/>
    </xf>
    <xf numFmtId="3" fontId="51" fillId="0" borderId="17" xfId="213" applyNumberFormat="1" applyFont="1" applyFill="1" applyBorder="1" applyAlignment="1">
      <alignment horizontal="right" vertical="center" indent="1"/>
    </xf>
    <xf numFmtId="200" fontId="51" fillId="0" borderId="17" xfId="213" applyNumberFormat="1" applyFont="1" applyFill="1" applyBorder="1" applyAlignment="1">
      <alignment horizontal="right" vertical="center" indent="1"/>
    </xf>
    <xf numFmtId="3" fontId="51" fillId="0" borderId="0" xfId="218" applyNumberFormat="1" applyFont="1" applyBorder="1" applyAlignment="1">
      <alignment horizontal="right" vertical="center" indent="1"/>
    </xf>
    <xf numFmtId="193" fontId="51" fillId="0" borderId="16" xfId="213" applyNumberFormat="1" applyFont="1" applyBorder="1" applyAlignment="1">
      <alignment horizontal="right" vertical="center" indent="1"/>
    </xf>
    <xf numFmtId="0" fontId="51" fillId="0" borderId="0" xfId="213" applyFont="1" applyFill="1">
      <alignment vertical="center"/>
    </xf>
    <xf numFmtId="3" fontId="51" fillId="0" borderId="17" xfId="218" applyNumberFormat="1" applyFont="1" applyFill="1" applyBorder="1" applyAlignment="1">
      <alignment horizontal="right" vertical="center" indent="1"/>
    </xf>
    <xf numFmtId="3" fontId="51" fillId="0" borderId="17" xfId="213" applyNumberFormat="1" applyFont="1" applyBorder="1" applyAlignment="1">
      <alignment horizontal="right" vertical="center" indent="1"/>
    </xf>
    <xf numFmtId="200" fontId="51" fillId="0" borderId="17" xfId="213" applyNumberFormat="1" applyFont="1" applyBorder="1" applyAlignment="1">
      <alignment horizontal="right" vertical="center" indent="1"/>
    </xf>
    <xf numFmtId="3" fontId="51" fillId="0" borderId="17" xfId="218" applyNumberFormat="1" applyFont="1" applyBorder="1" applyAlignment="1">
      <alignment horizontal="right" vertical="center" indent="1"/>
    </xf>
    <xf numFmtId="186" fontId="51" fillId="0" borderId="0" xfId="213" applyNumberFormat="1" applyFont="1">
      <alignment vertical="center"/>
    </xf>
    <xf numFmtId="0" fontId="62" fillId="0" borderId="0" xfId="213" applyFont="1">
      <alignment vertical="center"/>
    </xf>
    <xf numFmtId="3" fontId="56" fillId="0" borderId="17" xfId="213" applyNumberFormat="1" applyFont="1" applyFill="1" applyBorder="1" applyAlignment="1">
      <alignment horizontal="right" vertical="center" indent="1"/>
    </xf>
    <xf numFmtId="3" fontId="51" fillId="0" borderId="14" xfId="213" applyNumberFormat="1" applyFont="1" applyBorder="1" applyAlignment="1">
      <alignment horizontal="right" vertical="center" indent="1"/>
    </xf>
    <xf numFmtId="200" fontId="51" fillId="0" borderId="14" xfId="213" applyNumberFormat="1" applyFont="1" applyBorder="1" applyAlignment="1">
      <alignment horizontal="right" vertical="center" indent="1"/>
    </xf>
    <xf numFmtId="3" fontId="51" fillId="0" borderId="14" xfId="213" applyNumberFormat="1" applyFont="1" applyFill="1" applyBorder="1" applyAlignment="1">
      <alignment horizontal="right" vertical="center" indent="1"/>
    </xf>
    <xf numFmtId="3" fontId="51" fillId="0" borderId="24" xfId="218" applyNumberFormat="1" applyFont="1" applyBorder="1" applyAlignment="1">
      <alignment horizontal="right" vertical="center" indent="1"/>
    </xf>
    <xf numFmtId="193" fontId="51" fillId="0" borderId="13" xfId="213" applyNumberFormat="1" applyFont="1" applyBorder="1" applyAlignment="1">
      <alignment horizontal="right" vertical="center" indent="1"/>
    </xf>
    <xf numFmtId="3" fontId="62" fillId="0" borderId="0" xfId="213" applyNumberFormat="1" applyFont="1" applyAlignment="1">
      <alignment horizontal="right" vertical="center"/>
    </xf>
    <xf numFmtId="0" fontId="62" fillId="0" borderId="0" xfId="213" applyFont="1" applyAlignment="1">
      <alignment horizontal="right" vertical="center"/>
    </xf>
    <xf numFmtId="3" fontId="62" fillId="0" borderId="0" xfId="213" applyNumberFormat="1" applyFont="1" applyFill="1" applyAlignment="1">
      <alignment horizontal="right" vertical="center"/>
    </xf>
    <xf numFmtId="0" fontId="51" fillId="0" borderId="0" xfId="213" applyFont="1" applyAlignment="1">
      <alignment horizontal="left" vertical="center"/>
    </xf>
    <xf numFmtId="186" fontId="8" fillId="0" borderId="0" xfId="213" applyNumberFormat="1" applyFont="1" applyBorder="1" applyAlignment="1">
      <alignment horizontal="center" vertical="center"/>
    </xf>
    <xf numFmtId="3" fontId="8" fillId="0" borderId="24" xfId="213" applyNumberFormat="1" applyFont="1" applyBorder="1" applyAlignment="1">
      <alignment horizontal="right" vertical="center"/>
    </xf>
    <xf numFmtId="186" fontId="8" fillId="0" borderId="24" xfId="213" applyNumberFormat="1" applyFont="1" applyBorder="1" applyAlignment="1">
      <alignment horizontal="right" vertical="center"/>
    </xf>
    <xf numFmtId="186" fontId="51" fillId="0" borderId="0" xfId="213" applyNumberFormat="1" applyFont="1" applyBorder="1">
      <alignment vertical="center"/>
    </xf>
    <xf numFmtId="186" fontId="8" fillId="0" borderId="47" xfId="213" applyNumberFormat="1" applyFont="1" applyFill="1" applyBorder="1" applyAlignment="1">
      <alignment horizontal="right" vertical="center" indent="1"/>
    </xf>
    <xf numFmtId="3" fontId="8" fillId="0" borderId="47" xfId="213" applyNumberFormat="1" applyFont="1" applyFill="1" applyBorder="1" applyAlignment="1">
      <alignment horizontal="right" vertical="center" indent="1"/>
    </xf>
    <xf numFmtId="200" fontId="8" fillId="0" borderId="54" xfId="213" applyNumberFormat="1" applyFont="1" applyFill="1" applyBorder="1" applyAlignment="1">
      <alignment horizontal="right" vertical="center" indent="1"/>
    </xf>
    <xf numFmtId="193" fontId="8" fillId="0" borderId="54" xfId="213" applyNumberFormat="1" applyFont="1" applyFill="1" applyBorder="1" applyAlignment="1">
      <alignment horizontal="right" vertical="center" indent="1"/>
    </xf>
    <xf numFmtId="193" fontId="8" fillId="0" borderId="50" xfId="213" applyNumberFormat="1" applyFont="1" applyFill="1" applyBorder="1" applyAlignment="1">
      <alignment horizontal="right" vertical="center" indent="1"/>
    </xf>
    <xf numFmtId="186" fontId="51" fillId="0" borderId="0" xfId="213" applyNumberFormat="1" applyFont="1" applyFill="1">
      <alignment vertical="center"/>
    </xf>
    <xf numFmtId="0" fontId="165" fillId="0" borderId="18" xfId="213" applyFont="1" applyFill="1" applyBorder="1" applyAlignment="1">
      <alignment horizontal="right" vertical="center" indent="1"/>
    </xf>
    <xf numFmtId="3" fontId="8" fillId="0" borderId="18" xfId="218" applyNumberFormat="1" applyFont="1" applyBorder="1" applyAlignment="1">
      <alignment horizontal="right" vertical="center" indent="1"/>
    </xf>
    <xf numFmtId="200" fontId="8" fillId="0" borderId="16" xfId="213" applyNumberFormat="1" applyFont="1" applyBorder="1" applyAlignment="1">
      <alignment horizontal="right" vertical="center" indent="1"/>
    </xf>
    <xf numFmtId="3" fontId="8" fillId="0" borderId="17" xfId="105" applyNumberFormat="1" applyFont="1" applyBorder="1" applyAlignment="1">
      <alignment horizontal="right" vertical="center" indent="1"/>
    </xf>
    <xf numFmtId="200" fontId="8" fillId="0" borderId="18" xfId="213" applyNumberFormat="1" applyFont="1" applyFill="1" applyBorder="1" applyAlignment="1">
      <alignment horizontal="right" vertical="center" indent="1"/>
    </xf>
    <xf numFmtId="3" fontId="8" fillId="0" borderId="17" xfId="213" applyNumberFormat="1" applyFont="1" applyFill="1" applyBorder="1" applyAlignment="1">
      <alignment horizontal="right" vertical="center" indent="1"/>
    </xf>
    <xf numFmtId="200" fontId="8" fillId="0" borderId="17" xfId="213" applyNumberFormat="1" applyFont="1" applyFill="1" applyBorder="1" applyAlignment="1">
      <alignment horizontal="right" vertical="center" indent="1"/>
    </xf>
    <xf numFmtId="3" fontId="8" fillId="0" borderId="0" xfId="213" applyNumberFormat="1" applyFont="1" applyAlignment="1">
      <alignment horizontal="right" vertical="center" indent="1"/>
    </xf>
    <xf numFmtId="200" fontId="8" fillId="0" borderId="17" xfId="213" applyNumberFormat="1" applyFont="1" applyBorder="1" applyAlignment="1">
      <alignment horizontal="right" vertical="center" indent="1"/>
    </xf>
    <xf numFmtId="3" fontId="8" fillId="0" borderId="17" xfId="213" applyNumberFormat="1" applyFont="1" applyBorder="1" applyAlignment="1">
      <alignment horizontal="right" vertical="center" indent="1"/>
    </xf>
    <xf numFmtId="3" fontId="8" fillId="0" borderId="17" xfId="218" applyNumberFormat="1" applyFont="1" applyFill="1" applyBorder="1" applyAlignment="1">
      <alignment horizontal="right" vertical="center" indent="1"/>
    </xf>
    <xf numFmtId="3" fontId="8" fillId="0" borderId="17" xfId="218" applyNumberFormat="1" applyFont="1" applyBorder="1" applyAlignment="1">
      <alignment horizontal="right" vertical="center" indent="1"/>
    </xf>
    <xf numFmtId="3" fontId="8" fillId="26" borderId="17" xfId="105" applyNumberFormat="1" applyFont="1" applyFill="1" applyBorder="1" applyAlignment="1">
      <alignment horizontal="right" vertical="center" indent="1"/>
    </xf>
    <xf numFmtId="3" fontId="8" fillId="0" borderId="0" xfId="213" applyNumberFormat="1" applyFont="1" applyBorder="1" applyAlignment="1">
      <alignment horizontal="right" vertical="center" indent="1"/>
    </xf>
    <xf numFmtId="0" fontId="165" fillId="0" borderId="15" xfId="213" applyFont="1" applyFill="1" applyBorder="1" applyAlignment="1">
      <alignment horizontal="right" vertical="center" indent="1"/>
    </xf>
    <xf numFmtId="3" fontId="8" fillId="0" borderId="15" xfId="218" applyNumberFormat="1" applyFont="1" applyBorder="1" applyAlignment="1">
      <alignment horizontal="right" vertical="center" indent="1"/>
    </xf>
    <xf numFmtId="200" fontId="8" fillId="0" borderId="13" xfId="213" applyNumberFormat="1" applyFont="1" applyBorder="1" applyAlignment="1">
      <alignment horizontal="right" vertical="center" indent="1"/>
    </xf>
    <xf numFmtId="3" fontId="8" fillId="0" borderId="14" xfId="105" applyNumberFormat="1" applyFont="1" applyBorder="1" applyAlignment="1">
      <alignment horizontal="right" vertical="center" indent="1"/>
    </xf>
    <xf numFmtId="200" fontId="8" fillId="0" borderId="15" xfId="213" applyNumberFormat="1" applyFont="1" applyFill="1" applyBorder="1" applyAlignment="1">
      <alignment horizontal="right" vertical="center" indent="1"/>
    </xf>
    <xf numFmtId="3" fontId="8" fillId="0" borderId="24" xfId="213" applyNumberFormat="1" applyFont="1" applyBorder="1" applyAlignment="1">
      <alignment horizontal="right" vertical="center" indent="1"/>
    </xf>
    <xf numFmtId="200" fontId="8" fillId="0" borderId="14" xfId="213" applyNumberFormat="1" applyFont="1" applyFill="1" applyBorder="1" applyAlignment="1">
      <alignment horizontal="right" vertical="center" indent="1"/>
    </xf>
    <xf numFmtId="200" fontId="8" fillId="0" borderId="14" xfId="213" applyNumberFormat="1" applyFont="1" applyBorder="1" applyAlignment="1">
      <alignment horizontal="right" vertical="center" indent="1"/>
    </xf>
    <xf numFmtId="186" fontId="8" fillId="0" borderId="0" xfId="213" applyNumberFormat="1" applyFont="1" applyAlignment="1">
      <alignment horizontal="right" vertical="center"/>
    </xf>
    <xf numFmtId="3" fontId="8" fillId="0" borderId="0" xfId="213" applyNumberFormat="1" applyFont="1" applyAlignment="1">
      <alignment horizontal="right" vertical="center"/>
    </xf>
    <xf numFmtId="186" fontId="51" fillId="0" borderId="0" xfId="213" applyNumberFormat="1" applyFont="1" applyAlignment="1">
      <alignment vertical="center" wrapText="1"/>
    </xf>
    <xf numFmtId="186" fontId="51" fillId="0" borderId="0" xfId="213" applyNumberFormat="1" applyFont="1" applyAlignment="1">
      <alignment horizontal="right" vertical="center" wrapText="1"/>
    </xf>
    <xf numFmtId="186" fontId="51" fillId="0" borderId="0" xfId="213" applyNumberFormat="1" applyFont="1" applyAlignment="1">
      <alignment vertical="center"/>
    </xf>
    <xf numFmtId="186" fontId="51" fillId="0" borderId="0" xfId="213" applyNumberFormat="1" applyFont="1" applyAlignment="1">
      <alignment horizontal="center" vertical="center"/>
    </xf>
    <xf numFmtId="186" fontId="8" fillId="0" borderId="24" xfId="213" applyNumberFormat="1" applyFont="1" applyBorder="1" applyAlignment="1">
      <alignment horizontal="center" vertical="center"/>
    </xf>
    <xf numFmtId="186" fontId="8" fillId="0" borderId="48" xfId="213" applyNumberFormat="1" applyFont="1" applyFill="1" applyBorder="1" applyAlignment="1">
      <alignment horizontal="right" vertical="center" indent="1"/>
    </xf>
    <xf numFmtId="186" fontId="8" fillId="0" borderId="54" xfId="213" applyNumberFormat="1" applyFont="1" applyFill="1" applyBorder="1" applyAlignment="1">
      <alignment horizontal="right" vertical="center" indent="1"/>
    </xf>
    <xf numFmtId="186" fontId="51" fillId="0" borderId="0" xfId="213" applyNumberFormat="1" applyFont="1" applyFill="1" applyAlignment="1">
      <alignment horizontal="right" vertical="center"/>
    </xf>
    <xf numFmtId="0" fontId="165" fillId="0" borderId="0" xfId="213" applyFont="1" applyFill="1" applyBorder="1" applyAlignment="1">
      <alignment horizontal="right" vertical="center" indent="1"/>
    </xf>
    <xf numFmtId="186" fontId="8" fillId="0" borderId="17" xfId="213" applyNumberFormat="1" applyFont="1" applyBorder="1" applyAlignment="1">
      <alignment horizontal="right" vertical="center" indent="1"/>
    </xf>
    <xf numFmtId="196" fontId="8" fillId="0" borderId="17" xfId="105" applyNumberFormat="1" applyFont="1" applyBorder="1" applyAlignment="1">
      <alignment horizontal="right" vertical="center" indent="1"/>
    </xf>
    <xf numFmtId="0" fontId="8" fillId="0" borderId="17" xfId="213" applyFont="1" applyBorder="1" applyAlignment="1">
      <alignment horizontal="right" vertical="center" indent="1"/>
    </xf>
    <xf numFmtId="186" fontId="8" fillId="0" borderId="17" xfId="218" applyNumberFormat="1" applyFont="1" applyBorder="1" applyAlignment="1">
      <alignment horizontal="right" vertical="center" indent="1"/>
    </xf>
    <xf numFmtId="41" fontId="8" fillId="0" borderId="17" xfId="218" applyNumberFormat="1" applyFont="1" applyBorder="1" applyAlignment="1">
      <alignment horizontal="right" vertical="center" indent="1"/>
    </xf>
    <xf numFmtId="196" fontId="8" fillId="26" borderId="17" xfId="105" applyNumberFormat="1" applyFont="1" applyFill="1" applyBorder="1" applyAlignment="1">
      <alignment horizontal="right" vertical="center" indent="1"/>
    </xf>
    <xf numFmtId="0" fontId="67" fillId="0" borderId="17" xfId="138" applyFont="1" applyFill="1" applyBorder="1" applyAlignment="1">
      <alignment horizontal="right" vertical="center" indent="1"/>
    </xf>
    <xf numFmtId="0" fontId="165" fillId="0" borderId="24" xfId="213" applyFont="1" applyFill="1" applyBorder="1" applyAlignment="1">
      <alignment horizontal="right" vertical="center" indent="1"/>
    </xf>
    <xf numFmtId="186" fontId="8" fillId="0" borderId="14" xfId="213" applyNumberFormat="1" applyFont="1" applyBorder="1" applyAlignment="1">
      <alignment horizontal="right" vertical="center" indent="1"/>
    </xf>
    <xf numFmtId="196" fontId="8" fillId="0" borderId="14" xfId="105" applyNumberFormat="1" applyFont="1" applyBorder="1" applyAlignment="1">
      <alignment horizontal="right" vertical="center" indent="1"/>
    </xf>
    <xf numFmtId="186" fontId="8" fillId="0" borderId="0" xfId="213" applyNumberFormat="1" applyFont="1">
      <alignment vertical="center"/>
    </xf>
    <xf numFmtId="0" fontId="8" fillId="0" borderId="0" xfId="160" applyFont="1">
      <alignment vertical="center"/>
    </xf>
    <xf numFmtId="0" fontId="49" fillId="0" borderId="0" xfId="220" applyFont="1">
      <alignment vertical="center"/>
    </xf>
    <xf numFmtId="0" fontId="105" fillId="0" borderId="49" xfId="160" applyFont="1" applyBorder="1" applyAlignment="1">
      <alignment horizontal="center" vertical="center"/>
    </xf>
    <xf numFmtId="0" fontId="49" fillId="0" borderId="49" xfId="220" applyFont="1" applyBorder="1" applyAlignment="1">
      <alignment horizontal="center" vertical="center" wrapText="1"/>
    </xf>
    <xf numFmtId="0" fontId="49" fillId="0" borderId="65" xfId="220" applyFont="1" applyBorder="1" applyAlignment="1">
      <alignment horizontal="center" vertical="center" wrapText="1"/>
    </xf>
    <xf numFmtId="0" fontId="105" fillId="0" borderId="65" xfId="220" applyFont="1" applyBorder="1" applyAlignment="1">
      <alignment horizontal="center" vertical="center" wrapText="1"/>
    </xf>
    <xf numFmtId="0" fontId="49" fillId="0" borderId="46" xfId="220" applyFont="1" applyBorder="1" applyAlignment="1">
      <alignment horizontal="center" vertical="center" wrapText="1"/>
    </xf>
    <xf numFmtId="0" fontId="49" fillId="0" borderId="18" xfId="220" applyFont="1" applyBorder="1" applyAlignment="1">
      <alignment horizontal="center" vertical="center" wrapText="1"/>
    </xf>
    <xf numFmtId="41" fontId="49" fillId="0" borderId="16" xfId="220" applyNumberFormat="1" applyFont="1" applyBorder="1" applyAlignment="1">
      <alignment horizontal="right" vertical="center"/>
    </xf>
    <xf numFmtId="41" fontId="49" fillId="0" borderId="17" xfId="220" applyNumberFormat="1" applyFont="1" applyBorder="1" applyAlignment="1">
      <alignment horizontal="right" vertical="center"/>
    </xf>
    <xf numFmtId="41" fontId="49" fillId="0" borderId="17" xfId="160" applyNumberFormat="1" applyFont="1" applyFill="1" applyBorder="1" applyAlignment="1">
      <alignment horizontal="right" vertical="center"/>
    </xf>
    <xf numFmtId="41" fontId="49" fillId="0" borderId="0" xfId="160" applyNumberFormat="1" applyFont="1" applyFill="1" applyBorder="1" applyAlignment="1">
      <alignment horizontal="right" vertical="center"/>
    </xf>
    <xf numFmtId="41" fontId="49" fillId="0" borderId="17" xfId="160" applyNumberFormat="1" applyFont="1" applyBorder="1" applyAlignment="1">
      <alignment horizontal="right" vertical="center"/>
    </xf>
    <xf numFmtId="41" fontId="49" fillId="0" borderId="16" xfId="160" applyNumberFormat="1" applyFont="1" applyBorder="1" applyAlignment="1">
      <alignment horizontal="right" vertical="center"/>
    </xf>
    <xf numFmtId="0" fontId="49" fillId="0" borderId="0" xfId="220" applyFont="1" applyBorder="1" applyAlignment="1">
      <alignment horizontal="center" vertical="center" wrapText="1"/>
    </xf>
    <xf numFmtId="242" fontId="8" fillId="0" borderId="0" xfId="160" applyNumberFormat="1" applyFont="1" applyAlignment="1">
      <alignment vertical="top"/>
    </xf>
    <xf numFmtId="0" fontId="8" fillId="0" borderId="0" xfId="160" applyFont="1" applyAlignment="1">
      <alignment vertical="top"/>
    </xf>
    <xf numFmtId="0" fontId="49" fillId="0" borderId="15" xfId="220" applyFont="1" applyBorder="1" applyAlignment="1">
      <alignment horizontal="center" vertical="center" wrapText="1"/>
    </xf>
    <xf numFmtId="41" fontId="49" fillId="0" borderId="14" xfId="220" applyNumberFormat="1" applyFont="1" applyBorder="1" applyAlignment="1">
      <alignment horizontal="right" vertical="center"/>
    </xf>
    <xf numFmtId="41" fontId="49" fillId="0" borderId="14" xfId="160" applyNumberFormat="1" applyFont="1" applyFill="1" applyBorder="1" applyAlignment="1">
      <alignment horizontal="right" vertical="center"/>
    </xf>
    <xf numFmtId="41" fontId="49" fillId="0" borderId="14" xfId="160" applyNumberFormat="1" applyFont="1" applyBorder="1" applyAlignment="1">
      <alignment horizontal="right" vertical="center"/>
    </xf>
    <xf numFmtId="41" fontId="49" fillId="0" borderId="13" xfId="160" applyNumberFormat="1" applyFont="1" applyBorder="1" applyAlignment="1">
      <alignment horizontal="right" vertical="center"/>
    </xf>
    <xf numFmtId="0" fontId="49" fillId="0" borderId="0" xfId="220" applyFont="1" applyAlignment="1">
      <alignment horizontal="left" vertical="center"/>
    </xf>
    <xf numFmtId="38" fontId="8" fillId="0" borderId="49" xfId="138" applyNumberFormat="1" applyFont="1" applyFill="1" applyBorder="1" applyAlignment="1">
      <alignment horizontal="center" vertical="center" wrapText="1"/>
    </xf>
    <xf numFmtId="38" fontId="8" fillId="0" borderId="65" xfId="138" applyNumberFormat="1" applyFont="1" applyFill="1" applyBorder="1" applyAlignment="1">
      <alignment horizontal="center" vertical="center" wrapText="1"/>
    </xf>
    <xf numFmtId="38" fontId="8" fillId="0" borderId="46" xfId="138" applyNumberFormat="1" applyFont="1" applyFill="1" applyBorder="1" applyAlignment="1">
      <alignment horizontal="center" vertical="center" wrapText="1"/>
    </xf>
    <xf numFmtId="38" fontId="8" fillId="0" borderId="18" xfId="138" applyNumberFormat="1" applyFont="1" applyFill="1" applyBorder="1" applyAlignment="1">
      <alignment vertical="center" wrapText="1"/>
    </xf>
    <xf numFmtId="41" fontId="51" fillId="0" borderId="50" xfId="138" applyNumberFormat="1" applyFont="1" applyFill="1" applyBorder="1" applyAlignment="1">
      <alignment horizontal="right" vertical="center"/>
    </xf>
    <xf numFmtId="41" fontId="51" fillId="0" borderId="16" xfId="138" applyNumberFormat="1" applyFont="1" applyBorder="1" applyAlignment="1">
      <alignment horizontal="right" vertical="center"/>
    </xf>
    <xf numFmtId="41" fontId="51" fillId="0" borderId="18" xfId="138" applyNumberFormat="1" applyFont="1" applyFill="1" applyBorder="1" applyAlignment="1">
      <alignment horizontal="right" vertical="center"/>
    </xf>
    <xf numFmtId="41" fontId="51" fillId="0" borderId="16" xfId="138" applyNumberFormat="1" applyFont="1" applyFill="1" applyBorder="1" applyAlignment="1">
      <alignment horizontal="right" vertical="center"/>
    </xf>
    <xf numFmtId="38" fontId="8" fillId="0" borderId="0" xfId="138" applyNumberFormat="1" applyFont="1" applyFill="1" applyBorder="1" applyAlignment="1">
      <alignment horizontal="right" vertical="center" wrapText="1"/>
    </xf>
    <xf numFmtId="38" fontId="8" fillId="0" borderId="18" xfId="138" applyNumberFormat="1" applyFont="1" applyFill="1" applyBorder="1" applyAlignment="1">
      <alignment horizontal="right" vertical="center" wrapText="1"/>
    </xf>
    <xf numFmtId="41" fontId="8" fillId="0" borderId="16" xfId="138" applyNumberFormat="1" applyFont="1" applyFill="1" applyBorder="1" applyAlignment="1">
      <alignment horizontal="right" vertical="center" wrapText="1"/>
    </xf>
    <xf numFmtId="41" fontId="51" fillId="0" borderId="13" xfId="138" applyNumberFormat="1" applyFont="1" applyFill="1" applyBorder="1" applyAlignment="1">
      <alignment horizontal="right" vertical="center"/>
    </xf>
    <xf numFmtId="41" fontId="51" fillId="0" borderId="13" xfId="138" applyNumberFormat="1" applyFont="1" applyBorder="1" applyAlignment="1">
      <alignment horizontal="right" vertical="center"/>
    </xf>
    <xf numFmtId="0" fontId="51" fillId="0" borderId="0" xfId="138" applyFont="1" applyFill="1">
      <alignment vertical="center"/>
    </xf>
    <xf numFmtId="0" fontId="63" fillId="0" borderId="0" xfId="222" applyFont="1"/>
    <xf numFmtId="0" fontId="8" fillId="0" borderId="24" xfId="222" applyFont="1" applyBorder="1"/>
    <xf numFmtId="0" fontId="8" fillId="0" borderId="24" xfId="222" applyFont="1" applyBorder="1" applyAlignment="1">
      <alignment horizontal="right"/>
    </xf>
    <xf numFmtId="0" fontId="8" fillId="0" borderId="0" xfId="222" applyFont="1"/>
    <xf numFmtId="0" fontId="8" fillId="0" borderId="47" xfId="222" applyFont="1" applyBorder="1"/>
    <xf numFmtId="0" fontId="8" fillId="0" borderId="50" xfId="222" applyFont="1" applyBorder="1" applyAlignment="1">
      <alignment horizontal="center" vertical="center"/>
    </xf>
    <xf numFmtId="0" fontId="8" fillId="0" borderId="18" xfId="222" applyFont="1" applyBorder="1" applyAlignment="1">
      <alignment horizontal="left" vertical="center"/>
    </xf>
    <xf numFmtId="41" fontId="8" fillId="0" borderId="16" xfId="222" applyNumberFormat="1" applyFont="1" applyBorder="1" applyAlignment="1">
      <alignment horizontal="right" vertical="center"/>
    </xf>
    <xf numFmtId="41" fontId="8" fillId="0" borderId="16" xfId="222" quotePrefix="1" applyNumberFormat="1" applyFont="1" applyBorder="1" applyAlignment="1">
      <alignment horizontal="right" vertical="center"/>
    </xf>
    <xf numFmtId="0" fontId="8" fillId="0" borderId="18" xfId="222" applyFont="1" applyBorder="1" applyAlignment="1">
      <alignment horizontal="left" vertical="center" wrapText="1"/>
    </xf>
    <xf numFmtId="0" fontId="8" fillId="0" borderId="0" xfId="222" applyFont="1" applyBorder="1"/>
    <xf numFmtId="0" fontId="8" fillId="0" borderId="15" xfId="222" applyFont="1" applyBorder="1" applyAlignment="1">
      <alignment horizontal="left" vertical="center"/>
    </xf>
    <xf numFmtId="41" fontId="8" fillId="0" borderId="14" xfId="222" applyNumberFormat="1" applyFont="1" applyBorder="1" applyAlignment="1">
      <alignment horizontal="right" vertical="center"/>
    </xf>
    <xf numFmtId="41" fontId="8" fillId="0" borderId="13" xfId="222" applyNumberFormat="1" applyFont="1" applyBorder="1" applyAlignment="1">
      <alignment horizontal="right" vertical="center"/>
    </xf>
    <xf numFmtId="0" fontId="67" fillId="0" borderId="0" xfId="222" applyFont="1"/>
    <xf numFmtId="0" fontId="67" fillId="0" borderId="0" xfId="222" applyFont="1" applyBorder="1"/>
    <xf numFmtId="0" fontId="8" fillId="0" borderId="18" xfId="222" applyFont="1" applyBorder="1"/>
    <xf numFmtId="0" fontId="8" fillId="0" borderId="16" xfId="222" applyFont="1" applyBorder="1" applyAlignment="1">
      <alignment horizontal="center" vertical="center"/>
    </xf>
    <xf numFmtId="207" fontId="130" fillId="0" borderId="16" xfId="222" applyNumberFormat="1" applyFont="1" applyBorder="1" applyAlignment="1">
      <alignment horizontal="left" vertical="center"/>
    </xf>
    <xf numFmtId="0" fontId="130" fillId="0" borderId="0" xfId="222" applyFont="1" applyAlignment="1">
      <alignment horizontal="left"/>
    </xf>
    <xf numFmtId="0" fontId="8" fillId="0" borderId="18" xfId="222" applyFont="1" applyBorder="1" applyAlignment="1">
      <alignment horizontal="center" vertical="center"/>
    </xf>
    <xf numFmtId="211" fontId="49" fillId="0" borderId="0" xfId="222" applyNumberFormat="1" applyFont="1" applyBorder="1" applyAlignment="1">
      <alignment horizontal="right"/>
    </xf>
    <xf numFmtId="0" fontId="8" fillId="0" borderId="18" xfId="222" applyFont="1" applyBorder="1" applyAlignment="1">
      <alignment horizontal="right" vertical="center" indent="1"/>
    </xf>
    <xf numFmtId="207" fontId="8" fillId="0" borderId="16" xfId="222" quotePrefix="1" applyNumberFormat="1" applyFont="1" applyBorder="1" applyAlignment="1">
      <alignment horizontal="right" vertical="center"/>
    </xf>
    <xf numFmtId="207" fontId="51" fillId="0" borderId="16" xfId="222" quotePrefix="1" applyNumberFormat="1" applyFont="1" applyBorder="1" applyAlignment="1">
      <alignment horizontal="right" vertical="center"/>
    </xf>
    <xf numFmtId="203" fontId="67" fillId="0" borderId="17" xfId="213" applyNumberFormat="1" applyFont="1" applyBorder="1" applyAlignment="1">
      <alignment horizontal="right" vertical="center"/>
    </xf>
    <xf numFmtId="203" fontId="67" fillId="0" borderId="0" xfId="213" applyNumberFormat="1" applyFont="1" applyAlignment="1">
      <alignment horizontal="right" vertical="center"/>
    </xf>
    <xf numFmtId="0" fontId="8" fillId="0" borderId="15" xfId="222" applyFont="1" applyBorder="1" applyAlignment="1">
      <alignment horizontal="left" vertical="center" indent="3"/>
    </xf>
    <xf numFmtId="207" fontId="8" fillId="0" borderId="14" xfId="222" quotePrefix="1" applyNumberFormat="1" applyFont="1" applyBorder="1" applyAlignment="1">
      <alignment horizontal="right" vertical="center"/>
    </xf>
    <xf numFmtId="207" fontId="8" fillId="0" borderId="13" xfId="222" quotePrefix="1" applyNumberFormat="1" applyFont="1" applyBorder="1" applyAlignment="1">
      <alignment horizontal="right" vertical="center"/>
    </xf>
    <xf numFmtId="0" fontId="8" fillId="0" borderId="45" xfId="222" applyFont="1" applyBorder="1" applyAlignment="1">
      <alignment horizontal="centerContinuous" vertical="center"/>
    </xf>
    <xf numFmtId="0" fontId="8" fillId="0" borderId="49" xfId="222" applyFont="1" applyBorder="1" applyAlignment="1">
      <alignment horizontal="centerContinuous" vertical="center"/>
    </xf>
    <xf numFmtId="0" fontId="8" fillId="0" borderId="45" xfId="222" quotePrefix="1" applyFont="1" applyBorder="1" applyAlignment="1">
      <alignment horizontal="centerContinuous" vertical="center"/>
    </xf>
    <xf numFmtId="0" fontId="8" fillId="0" borderId="49" xfId="222" applyFont="1" applyBorder="1" applyAlignment="1">
      <alignment horizontal="center" vertical="center"/>
    </xf>
    <xf numFmtId="0" fontId="8" fillId="0" borderId="45" xfId="222" applyFont="1" applyBorder="1" applyAlignment="1">
      <alignment horizontal="center" vertical="center"/>
    </xf>
    <xf numFmtId="0" fontId="8" fillId="0" borderId="47" xfId="222" applyFont="1" applyBorder="1" applyAlignment="1">
      <alignment horizontal="center" vertical="center"/>
    </xf>
    <xf numFmtId="0" fontId="8" fillId="0" borderId="0" xfId="222" applyFont="1" applyBorder="1" applyAlignment="1">
      <alignment horizontal="center" vertical="center"/>
    </xf>
    <xf numFmtId="0" fontId="8" fillId="0" borderId="18" xfId="222" quotePrefix="1" applyFont="1" applyBorder="1" applyAlignment="1">
      <alignment horizontal="right" vertical="center"/>
    </xf>
    <xf numFmtId="194" fontId="8" fillId="0" borderId="18" xfId="222" applyNumberFormat="1" applyFont="1" applyBorder="1" applyAlignment="1">
      <alignment vertical="center"/>
    </xf>
    <xf numFmtId="195" fontId="8" fillId="0" borderId="17" xfId="222" applyNumberFormat="1" applyFont="1" applyBorder="1" applyAlignment="1">
      <alignment vertical="center"/>
    </xf>
    <xf numFmtId="194" fontId="8" fillId="0" borderId="17" xfId="222" applyNumberFormat="1" applyFont="1" applyBorder="1" applyAlignment="1">
      <alignment vertical="center"/>
    </xf>
    <xf numFmtId="195" fontId="8" fillId="0" borderId="18" xfId="222" applyNumberFormat="1" applyFont="1" applyBorder="1" applyAlignment="1">
      <alignment vertical="center"/>
    </xf>
    <xf numFmtId="195" fontId="8" fillId="0" borderId="16" xfId="222" applyNumberFormat="1" applyFont="1" applyBorder="1" applyAlignment="1">
      <alignment vertical="center"/>
    </xf>
    <xf numFmtId="194" fontId="166" fillId="0" borderId="0" xfId="222" applyNumberFormat="1" applyFont="1" applyFill="1" applyBorder="1" applyAlignment="1">
      <alignment vertical="center"/>
    </xf>
    <xf numFmtId="0" fontId="8" fillId="0" borderId="18" xfId="222" quotePrefix="1" applyFont="1" applyBorder="1" applyAlignment="1">
      <alignment horizontal="center" vertical="center"/>
    </xf>
    <xf numFmtId="0" fontId="8" fillId="0" borderId="15" xfId="222" quotePrefix="1" applyFont="1" applyBorder="1" applyAlignment="1">
      <alignment horizontal="center" vertical="center"/>
    </xf>
    <xf numFmtId="194" fontId="8" fillId="0" borderId="15" xfId="222" applyNumberFormat="1" applyFont="1" applyBorder="1" applyAlignment="1">
      <alignment vertical="center"/>
    </xf>
    <xf numFmtId="195" fontId="8" fillId="0" borderId="14" xfId="222" applyNumberFormat="1" applyFont="1" applyBorder="1" applyAlignment="1">
      <alignment vertical="center"/>
    </xf>
    <xf numFmtId="194" fontId="8" fillId="0" borderId="14" xfId="222" applyNumberFormat="1" applyFont="1" applyBorder="1" applyAlignment="1">
      <alignment vertical="center"/>
    </xf>
    <xf numFmtId="195" fontId="8" fillId="0" borderId="13" xfId="222" applyNumberFormat="1" applyFont="1" applyBorder="1" applyAlignment="1">
      <alignment vertical="center"/>
    </xf>
    <xf numFmtId="0" fontId="67" fillId="0" borderId="0" xfId="222" quotePrefix="1" applyFont="1" applyAlignment="1">
      <alignment horizontal="left"/>
    </xf>
    <xf numFmtId="0" fontId="8" fillId="0" borderId="49" xfId="222" applyFont="1" applyBorder="1" applyAlignment="1">
      <alignment horizontal="centerContinuous" vertical="center" wrapText="1"/>
    </xf>
    <xf numFmtId="0" fontId="8" fillId="0" borderId="65" xfId="222" applyFont="1" applyBorder="1" applyAlignment="1">
      <alignment horizontal="centerContinuous" vertical="center" wrapText="1"/>
    </xf>
    <xf numFmtId="0" fontId="8" fillId="0" borderId="45" xfId="222" applyFont="1" applyBorder="1" applyAlignment="1">
      <alignment horizontal="centerContinuous" vertical="center" wrapText="1"/>
    </xf>
    <xf numFmtId="0" fontId="8" fillId="0" borderId="47" xfId="222" applyFont="1" applyBorder="1" applyAlignment="1">
      <alignment horizontal="center" vertical="top"/>
    </xf>
    <xf numFmtId="3" fontId="8" fillId="0" borderId="18" xfId="222" applyNumberFormat="1" applyFont="1" applyBorder="1" applyAlignment="1">
      <alignment horizontal="right" vertical="center"/>
    </xf>
    <xf numFmtId="4" fontId="8" fillId="0" borderId="17" xfId="222" applyNumberFormat="1" applyFont="1" applyBorder="1" applyAlignment="1">
      <alignment horizontal="right" vertical="center"/>
    </xf>
    <xf numFmtId="2" fontId="8" fillId="0" borderId="18" xfId="222" applyNumberFormat="1" applyFont="1" applyBorder="1" applyAlignment="1">
      <alignment horizontal="right" vertical="center"/>
    </xf>
    <xf numFmtId="2" fontId="8" fillId="0" borderId="16" xfId="222" applyNumberFormat="1" applyFont="1" applyBorder="1" applyAlignment="1">
      <alignment horizontal="right" vertical="center"/>
    </xf>
    <xf numFmtId="3" fontId="8" fillId="0" borderId="18" xfId="222" applyNumberFormat="1" applyFont="1" applyBorder="1" applyAlignment="1">
      <alignment horizontal="right" vertical="center" indent="1"/>
    </xf>
    <xf numFmtId="193" fontId="8" fillId="0" borderId="17" xfId="222" applyNumberFormat="1" applyFont="1" applyBorder="1" applyAlignment="1">
      <alignment horizontal="right" vertical="center"/>
    </xf>
    <xf numFmtId="2" fontId="8" fillId="0" borderId="18" xfId="222" applyNumberFormat="1" applyFont="1" applyBorder="1" applyAlignment="1">
      <alignment horizontal="right" vertical="center" indent="1"/>
    </xf>
    <xf numFmtId="2" fontId="8" fillId="0" borderId="16" xfId="222" applyNumberFormat="1" applyFont="1" applyBorder="1" applyAlignment="1">
      <alignment horizontal="right" vertical="center" indent="1"/>
    </xf>
    <xf numFmtId="3" fontId="8" fillId="0" borderId="15" xfId="222" applyNumberFormat="1" applyFont="1" applyBorder="1" applyAlignment="1">
      <alignment horizontal="right" vertical="center"/>
    </xf>
    <xf numFmtId="4" fontId="8" fillId="0" borderId="14" xfId="222" applyNumberFormat="1" applyFont="1" applyBorder="1" applyAlignment="1">
      <alignment horizontal="right" vertical="center"/>
    </xf>
    <xf numFmtId="3" fontId="8" fillId="0" borderId="14" xfId="222" applyNumberFormat="1" applyFont="1" applyBorder="1" applyAlignment="1">
      <alignment horizontal="right" vertical="center"/>
    </xf>
    <xf numFmtId="2" fontId="8" fillId="0" borderId="14" xfId="222" applyNumberFormat="1" applyFont="1" applyBorder="1" applyAlignment="1">
      <alignment horizontal="right" vertical="center"/>
    </xf>
    <xf numFmtId="2" fontId="8" fillId="0" borderId="13" xfId="222" applyNumberFormat="1" applyFont="1" applyBorder="1" applyAlignment="1">
      <alignment horizontal="right" vertical="center"/>
    </xf>
    <xf numFmtId="0" fontId="67" fillId="0" borderId="0" xfId="222" applyFont="1" applyBorder="1" applyAlignment="1">
      <alignment vertical="center"/>
    </xf>
    <xf numFmtId="0" fontId="49" fillId="0" borderId="24" xfId="222" applyFont="1" applyBorder="1"/>
    <xf numFmtId="0" fontId="49" fillId="0" borderId="24" xfId="222" applyFont="1" applyBorder="1" applyAlignment="1">
      <alignment horizontal="right"/>
    </xf>
    <xf numFmtId="0" fontId="49" fillId="0" borderId="24" xfId="222" applyFont="1" applyBorder="1" applyAlignment="1">
      <alignment horizontal="center"/>
    </xf>
    <xf numFmtId="0" fontId="49" fillId="0" borderId="0" xfId="222" applyFont="1"/>
    <xf numFmtId="0" fontId="8" fillId="0" borderId="18" xfId="222" applyFont="1" applyBorder="1" applyAlignment="1">
      <alignment horizontal="distributed" vertical="center" indent="1"/>
    </xf>
    <xf numFmtId="0" fontId="8" fillId="0" borderId="15" xfId="222" applyFont="1" applyBorder="1" applyAlignment="1">
      <alignment horizontal="distributed" vertical="center" indent="1"/>
    </xf>
    <xf numFmtId="41" fontId="8" fillId="0" borderId="14" xfId="222" applyNumberFormat="1" applyFont="1" applyBorder="1" applyAlignment="1">
      <alignment vertical="center"/>
    </xf>
    <xf numFmtId="41" fontId="8" fillId="0" borderId="13" xfId="222" applyNumberFormat="1" applyFont="1" applyBorder="1" applyAlignment="1">
      <alignment vertical="center"/>
    </xf>
    <xf numFmtId="0" fontId="49" fillId="0" borderId="24" xfId="222" applyFont="1" applyBorder="1" applyAlignment="1">
      <alignment horizontal="center" vertical="center"/>
    </xf>
    <xf numFmtId="0" fontId="8" fillId="0" borderId="18" xfId="222" applyFont="1" applyBorder="1" applyAlignment="1">
      <alignment horizontal="distributed" vertical="center" wrapText="1" indent="1"/>
    </xf>
    <xf numFmtId="0" fontId="67" fillId="0" borderId="0" xfId="222" applyFont="1" applyAlignment="1">
      <alignment vertical="center"/>
    </xf>
    <xf numFmtId="0" fontId="8" fillId="0" borderId="45" xfId="222" applyFont="1" applyBorder="1"/>
    <xf numFmtId="0" fontId="8" fillId="0" borderId="65" xfId="222" applyFont="1" applyBorder="1" applyAlignment="1">
      <alignment horizontal="center" vertical="center" wrapText="1"/>
    </xf>
    <xf numFmtId="0" fontId="8" fillId="0" borderId="49" xfId="222" applyFont="1" applyBorder="1" applyAlignment="1">
      <alignment horizontal="center" vertical="center" wrapText="1"/>
    </xf>
    <xf numFmtId="0" fontId="8" fillId="0" borderId="49" xfId="222" applyFont="1" applyFill="1" applyBorder="1" applyAlignment="1">
      <alignment horizontal="center" vertical="center" wrapText="1"/>
    </xf>
    <xf numFmtId="0" fontId="8" fillId="0" borderId="46" xfId="222" applyFont="1" applyFill="1" applyBorder="1" applyAlignment="1">
      <alignment horizontal="center" vertical="center" wrapText="1"/>
    </xf>
    <xf numFmtId="0" fontId="49" fillId="0" borderId="46" xfId="222" applyFont="1" applyBorder="1" applyAlignment="1">
      <alignment horizontal="distributed" vertical="center" wrapText="1"/>
    </xf>
    <xf numFmtId="0" fontId="8" fillId="0" borderId="46" xfId="222" applyFont="1" applyBorder="1" applyAlignment="1">
      <alignment horizontal="center" vertical="center" wrapText="1"/>
    </xf>
    <xf numFmtId="0" fontId="120" fillId="0" borderId="0" xfId="222" quotePrefix="1" applyFont="1" applyBorder="1" applyAlignment="1">
      <alignment horizontal="center" vertical="center"/>
    </xf>
    <xf numFmtId="207" fontId="8" fillId="0" borderId="16" xfId="222" quotePrefix="1" applyNumberFormat="1" applyFont="1" applyBorder="1" applyAlignment="1">
      <alignment horizontal="right" vertical="center" indent="1"/>
    </xf>
    <xf numFmtId="0" fontId="120" fillId="0" borderId="24" xfId="222" quotePrefix="1" applyFont="1" applyBorder="1" applyAlignment="1">
      <alignment horizontal="center" vertical="center"/>
    </xf>
    <xf numFmtId="207" fontId="51" fillId="0" borderId="13" xfId="222" quotePrefix="1" applyNumberFormat="1" applyFont="1" applyBorder="1" applyAlignment="1">
      <alignment horizontal="right" vertical="center"/>
    </xf>
    <xf numFmtId="207" fontId="8" fillId="0" borderId="13" xfId="222" quotePrefix="1" applyNumberFormat="1" applyFont="1" applyBorder="1" applyAlignment="1">
      <alignment horizontal="right" vertical="center" indent="1"/>
    </xf>
    <xf numFmtId="0" fontId="67" fillId="0" borderId="0" xfId="222" quotePrefix="1" applyFont="1" applyAlignment="1">
      <alignment horizontal="left" vertical="center"/>
    </xf>
    <xf numFmtId="0" fontId="8" fillId="0" borderId="0" xfId="222" applyFont="1" applyFill="1"/>
    <xf numFmtId="0" fontId="8" fillId="0" borderId="15" xfId="138" applyFont="1" applyBorder="1" applyAlignment="1">
      <alignment horizontal="center" vertical="center" wrapText="1"/>
    </xf>
    <xf numFmtId="0" fontId="8" fillId="0" borderId="13" xfId="138" applyFont="1" applyBorder="1" applyAlignment="1">
      <alignment horizontal="center" vertical="center" wrapText="1"/>
    </xf>
    <xf numFmtId="0" fontId="8" fillId="0" borderId="54" xfId="222" applyFont="1" applyBorder="1" applyAlignment="1">
      <alignment horizontal="center" vertical="center"/>
    </xf>
    <xf numFmtId="0" fontId="8" fillId="0" borderId="54" xfId="222" applyFont="1" applyBorder="1"/>
    <xf numFmtId="207" fontId="8" fillId="0" borderId="0" xfId="222" quotePrefix="1" applyNumberFormat="1" applyFont="1" applyBorder="1" applyAlignment="1">
      <alignment horizontal="right" vertical="center"/>
    </xf>
    <xf numFmtId="208" fontId="8" fillId="0" borderId="16" xfId="222" quotePrefix="1" applyNumberFormat="1" applyFont="1" applyBorder="1" applyAlignment="1">
      <alignment horizontal="right" vertical="center"/>
    </xf>
    <xf numFmtId="194" fontId="8" fillId="0" borderId="13" xfId="222" applyNumberFormat="1" applyFont="1" applyBorder="1" applyAlignment="1">
      <alignment vertical="center"/>
    </xf>
    <xf numFmtId="194" fontId="8" fillId="0" borderId="24" xfId="222" applyNumberFormat="1" applyFont="1" applyBorder="1" applyAlignment="1">
      <alignment vertical="center"/>
    </xf>
    <xf numFmtId="41" fontId="7" fillId="0" borderId="18" xfId="163" applyNumberFormat="1" applyFont="1" applyFill="1" applyBorder="1" applyAlignment="1" applyProtection="1">
      <alignment horizontal="right" vertical="center"/>
      <protection locked="0"/>
    </xf>
    <xf numFmtId="41" fontId="49" fillId="0" borderId="18" xfId="163" applyNumberFormat="1" applyFont="1" applyFill="1" applyBorder="1" applyAlignment="1" applyProtection="1">
      <alignment horizontal="right" vertical="center"/>
      <protection locked="0"/>
    </xf>
    <xf numFmtId="0" fontId="49" fillId="0" borderId="1" xfId="38" applyFont="1" applyFill="1" applyBorder="1" applyAlignment="1">
      <alignment horizontal="center" vertical="center"/>
    </xf>
    <xf numFmtId="0" fontId="49" fillId="0" borderId="22" xfId="38" applyFont="1" applyFill="1" applyBorder="1" applyAlignment="1">
      <alignment horizontal="center" vertical="center"/>
    </xf>
    <xf numFmtId="0" fontId="49" fillId="0" borderId="3" xfId="38" applyFont="1" applyFill="1" applyBorder="1" applyAlignment="1">
      <alignment horizontal="center" vertical="center"/>
    </xf>
    <xf numFmtId="0" fontId="50" fillId="0" borderId="0" xfId="39" applyFont="1" applyFill="1" applyAlignment="1">
      <alignment horizontal="left" vertical="center"/>
    </xf>
    <xf numFmtId="0" fontId="49" fillId="0" borderId="0" xfId="39" applyFont="1" applyFill="1" applyAlignment="1">
      <alignment horizontal="left" vertical="center"/>
    </xf>
    <xf numFmtId="0" fontId="49" fillId="0" borderId="34" xfId="38" applyFont="1" applyFill="1" applyBorder="1" applyAlignment="1">
      <alignment horizontal="center" vertical="center"/>
    </xf>
    <xf numFmtId="0" fontId="46" fillId="0" borderId="24" xfId="39" applyFont="1" applyBorder="1" applyAlignment="1">
      <alignment horizontal="right" vertical="center"/>
    </xf>
    <xf numFmtId="0" fontId="46" fillId="0" borderId="15" xfId="39" applyFont="1" applyBorder="1" applyAlignment="1">
      <alignment horizontal="right" vertical="center"/>
    </xf>
    <xf numFmtId="180" fontId="46" fillId="0" borderId="13" xfId="39" applyNumberFormat="1" applyFont="1" applyBorder="1" applyAlignment="1">
      <alignment horizontal="right" vertical="center"/>
    </xf>
    <xf numFmtId="180" fontId="46" fillId="0" borderId="24" xfId="39" applyNumberFormat="1" applyFont="1" applyBorder="1" applyAlignment="1">
      <alignment horizontal="right" vertical="center"/>
    </xf>
    <xf numFmtId="180" fontId="46" fillId="0" borderId="15" xfId="39" applyNumberFormat="1" applyFont="1" applyBorder="1" applyAlignment="1">
      <alignment horizontal="right" vertical="center"/>
    </xf>
    <xf numFmtId="41" fontId="51" fillId="0" borderId="13" xfId="39" quotePrefix="1" applyNumberFormat="1" applyFont="1" applyBorder="1" applyAlignment="1">
      <alignment horizontal="right" vertical="center"/>
    </xf>
    <xf numFmtId="41" fontId="51" fillId="0" borderId="24" xfId="39" applyNumberFormat="1" applyFont="1" applyBorder="1" applyAlignment="1">
      <alignment horizontal="right" vertical="center"/>
    </xf>
    <xf numFmtId="41" fontId="51" fillId="0" borderId="15" xfId="39" applyNumberFormat="1" applyFont="1" applyBorder="1" applyAlignment="1">
      <alignment horizontal="right" vertical="center"/>
    </xf>
    <xf numFmtId="10" fontId="46" fillId="0" borderId="13" xfId="39" quotePrefix="1" applyNumberFormat="1" applyFont="1" applyBorder="1" applyAlignment="1">
      <alignment horizontal="right" vertical="center"/>
    </xf>
    <xf numFmtId="10" fontId="46" fillId="0" borderId="24" xfId="39" quotePrefix="1" applyNumberFormat="1" applyFont="1" applyBorder="1" applyAlignment="1">
      <alignment horizontal="right" vertical="center"/>
    </xf>
    <xf numFmtId="0" fontId="63" fillId="0" borderId="0" xfId="39" applyFont="1" applyFill="1" applyBorder="1" applyAlignment="1">
      <alignment horizontal="center" vertical="center"/>
    </xf>
    <xf numFmtId="0" fontId="46" fillId="0" borderId="0" xfId="39" applyFont="1" applyBorder="1" applyAlignment="1">
      <alignment horizontal="right" vertical="center"/>
    </xf>
    <xf numFmtId="0" fontId="46" fillId="0" borderId="18" xfId="39" applyFont="1" applyBorder="1" applyAlignment="1">
      <alignment horizontal="right" vertical="center"/>
    </xf>
    <xf numFmtId="179" fontId="46" fillId="0" borderId="16" xfId="39" applyNumberFormat="1" applyFont="1" applyBorder="1" applyAlignment="1">
      <alignment horizontal="right" vertical="center"/>
    </xf>
    <xf numFmtId="179" fontId="46" fillId="0" borderId="0" xfId="39" applyNumberFormat="1" applyFont="1" applyBorder="1" applyAlignment="1">
      <alignment horizontal="right" vertical="center"/>
    </xf>
    <xf numFmtId="179" fontId="46" fillId="0" borderId="18" xfId="39" applyNumberFormat="1" applyFont="1" applyBorder="1" applyAlignment="1">
      <alignment horizontal="right" vertical="center"/>
    </xf>
    <xf numFmtId="41" fontId="51" fillId="0" borderId="16" xfId="39" quotePrefix="1" applyNumberFormat="1" applyFont="1" applyBorder="1" applyAlignment="1">
      <alignment horizontal="right" vertical="center"/>
    </xf>
    <xf numFmtId="41" fontId="51" fillId="0" borderId="0" xfId="39" applyNumberFormat="1" applyFont="1" applyBorder="1" applyAlignment="1">
      <alignment horizontal="right" vertical="center"/>
    </xf>
    <xf numFmtId="41" fontId="51" fillId="0" borderId="18" xfId="39" applyNumberFormat="1" applyFont="1" applyBorder="1" applyAlignment="1">
      <alignment horizontal="right" vertical="center"/>
    </xf>
    <xf numFmtId="10" fontId="46" fillId="0" borderId="16" xfId="39" quotePrefix="1" applyNumberFormat="1" applyFont="1" applyBorder="1" applyAlignment="1">
      <alignment horizontal="right" vertical="center"/>
    </xf>
    <xf numFmtId="10" fontId="46" fillId="0" borderId="0" xfId="39" applyNumberFormat="1" applyFont="1" applyBorder="1" applyAlignment="1">
      <alignment horizontal="right" vertical="center"/>
    </xf>
    <xf numFmtId="10" fontId="46" fillId="0" borderId="16" xfId="39" applyNumberFormat="1" applyFont="1" applyBorder="1" applyAlignment="1">
      <alignment horizontal="right" vertical="center"/>
    </xf>
    <xf numFmtId="0" fontId="46" fillId="0" borderId="23" xfId="39" applyFont="1" applyBorder="1" applyAlignment="1">
      <alignment horizontal="right" vertical="distributed"/>
    </xf>
    <xf numFmtId="0" fontId="46" fillId="0" borderId="21" xfId="39" applyFont="1" applyBorder="1" applyAlignment="1">
      <alignment horizontal="right" vertical="distributed"/>
    </xf>
    <xf numFmtId="179" fontId="46" fillId="0" borderId="28" xfId="39" applyNumberFormat="1" applyFont="1" applyBorder="1" applyAlignment="1">
      <alignment horizontal="right" vertical="center"/>
    </xf>
    <xf numFmtId="179" fontId="46" fillId="0" borderId="23" xfId="39" applyNumberFormat="1" applyFont="1" applyBorder="1" applyAlignment="1">
      <alignment horizontal="right" vertical="center"/>
    </xf>
    <xf numFmtId="179" fontId="46" fillId="0" borderId="21" xfId="39" applyNumberFormat="1" applyFont="1" applyBorder="1" applyAlignment="1">
      <alignment horizontal="right" vertical="center"/>
    </xf>
    <xf numFmtId="41" fontId="51" fillId="0" borderId="28" xfId="39" quotePrefix="1" applyNumberFormat="1" applyFont="1" applyBorder="1" applyAlignment="1">
      <alignment horizontal="right" vertical="center"/>
    </xf>
    <xf numFmtId="41" fontId="51" fillId="0" borderId="23" xfId="39" applyNumberFormat="1" applyFont="1" applyBorder="1" applyAlignment="1">
      <alignment horizontal="right" vertical="center"/>
    </xf>
    <xf numFmtId="41" fontId="51" fillId="0" borderId="21" xfId="39" applyNumberFormat="1" applyFont="1" applyBorder="1" applyAlignment="1">
      <alignment horizontal="right" vertical="center"/>
    </xf>
    <xf numFmtId="10" fontId="46" fillId="0" borderId="28" xfId="39" quotePrefix="1" applyNumberFormat="1" applyFont="1" applyBorder="1" applyAlignment="1">
      <alignment horizontal="right" vertical="center"/>
    </xf>
    <xf numFmtId="10" fontId="46" fillId="0" borderId="23" xfId="39" applyNumberFormat="1" applyFont="1" applyBorder="1" applyAlignment="1">
      <alignment horizontal="right" vertical="center"/>
    </xf>
    <xf numFmtId="0" fontId="63" fillId="0" borderId="24" xfId="39" applyFont="1" applyBorder="1" applyAlignment="1">
      <alignment horizontal="center" vertical="center"/>
    </xf>
    <xf numFmtId="0" fontId="51" fillId="0" borderId="22" xfId="39" applyFont="1" applyBorder="1" applyAlignment="1">
      <alignment horizontal="center" vertical="center"/>
    </xf>
    <xf numFmtId="0" fontId="46" fillId="0" borderId="22" xfId="39" applyFont="1" applyBorder="1" applyAlignment="1">
      <alignment horizontal="center" vertical="center"/>
    </xf>
    <xf numFmtId="0" fontId="46" fillId="0" borderId="3" xfId="39" applyFont="1" applyBorder="1" applyAlignment="1">
      <alignment horizontal="center" vertical="center"/>
    </xf>
    <xf numFmtId="0" fontId="46" fillId="0" borderId="35" xfId="39" applyFont="1" applyBorder="1" applyAlignment="1">
      <alignment horizontal="center" vertical="center"/>
    </xf>
    <xf numFmtId="0" fontId="46" fillId="0" borderId="1" xfId="39" applyFont="1" applyBorder="1" applyAlignment="1">
      <alignment horizontal="center" vertical="center"/>
    </xf>
    <xf numFmtId="0" fontId="46" fillId="0" borderId="27" xfId="39" applyFont="1" applyBorder="1" applyAlignment="1">
      <alignment horizontal="center" vertical="center"/>
    </xf>
    <xf numFmtId="0" fontId="46" fillId="0" borderId="17" xfId="39" applyFont="1" applyBorder="1" applyAlignment="1">
      <alignment horizontal="center" vertical="center"/>
    </xf>
    <xf numFmtId="0" fontId="46" fillId="0" borderId="14" xfId="39" applyFont="1" applyBorder="1" applyAlignment="1">
      <alignment horizontal="center" vertical="center"/>
    </xf>
    <xf numFmtId="0" fontId="63" fillId="0" borderId="0" xfId="39" applyFont="1" applyBorder="1" applyAlignment="1">
      <alignment horizontal="center" vertical="center"/>
    </xf>
    <xf numFmtId="0" fontId="46" fillId="0" borderId="0" xfId="39" applyFont="1" applyBorder="1" applyAlignment="1">
      <alignment horizontal="center" vertical="center"/>
    </xf>
    <xf numFmtId="0" fontId="49" fillId="0" borderId="23" xfId="1" applyFont="1" applyFill="1" applyBorder="1" applyAlignment="1">
      <alignment horizontal="center" vertical="center"/>
    </xf>
    <xf numFmtId="0" fontId="49" fillId="0" borderId="0" xfId="1" quotePrefix="1" applyFont="1" applyFill="1" applyBorder="1" applyAlignment="1">
      <alignment horizontal="center" vertical="center"/>
    </xf>
    <xf numFmtId="0" fontId="49" fillId="0" borderId="24" xfId="1" quotePrefix="1" applyFont="1" applyFill="1" applyBorder="1" applyAlignment="1">
      <alignment horizontal="center" vertical="center"/>
    </xf>
    <xf numFmtId="49" fontId="49" fillId="0" borderId="1" xfId="1" applyNumberFormat="1" applyFont="1" applyBorder="1" applyAlignment="1">
      <alignment horizontal="center" vertical="center"/>
    </xf>
    <xf numFmtId="49" fontId="49" fillId="0" borderId="22" xfId="1" applyNumberFormat="1" applyFont="1" applyBorder="1" applyAlignment="1">
      <alignment horizontal="center" vertical="center"/>
    </xf>
    <xf numFmtId="0" fontId="49" fillId="0" borderId="2" xfId="1" applyFont="1" applyBorder="1" applyAlignment="1">
      <alignment horizontal="center" vertical="center"/>
    </xf>
    <xf numFmtId="49" fontId="49" fillId="0" borderId="20" xfId="1" applyNumberFormat="1" applyFont="1" applyBorder="1" applyAlignment="1">
      <alignment horizontal="center" vertical="center"/>
    </xf>
    <xf numFmtId="49" fontId="49" fillId="0" borderId="14" xfId="1" applyNumberFormat="1" applyFont="1" applyBorder="1" applyAlignment="1">
      <alignment horizontal="center" vertical="center"/>
    </xf>
    <xf numFmtId="0" fontId="49" fillId="0" borderId="19" xfId="1" applyFont="1" applyBorder="1" applyAlignment="1">
      <alignment horizontal="center" vertical="center"/>
    </xf>
    <xf numFmtId="0" fontId="49" fillId="0" borderId="21" xfId="1" applyFont="1" applyBorder="1" applyAlignment="1">
      <alignment horizontal="center" vertical="center"/>
    </xf>
    <xf numFmtId="0" fontId="49" fillId="0" borderId="23" xfId="1" applyFont="1" applyBorder="1" applyAlignment="1">
      <alignment horizontal="center" vertical="center"/>
    </xf>
    <xf numFmtId="0" fontId="49" fillId="0" borderId="24" xfId="1" applyFont="1" applyBorder="1" applyAlignment="1">
      <alignment horizontal="right"/>
    </xf>
    <xf numFmtId="49" fontId="49" fillId="0" borderId="21" xfId="1" applyNumberFormat="1" applyFont="1" applyBorder="1" applyAlignment="1">
      <alignment horizontal="center" vertical="center"/>
    </xf>
    <xf numFmtId="49" fontId="49" fillId="0" borderId="15" xfId="1" applyNumberFormat="1" applyFont="1" applyBorder="1" applyAlignment="1">
      <alignment horizontal="center" vertical="center"/>
    </xf>
    <xf numFmtId="0" fontId="51" fillId="0" borderId="1" xfId="39" applyFont="1" applyBorder="1" applyAlignment="1">
      <alignment horizontal="center" vertical="center"/>
    </xf>
    <xf numFmtId="0" fontId="49" fillId="0" borderId="0" xfId="42" applyFont="1" applyAlignment="1">
      <alignment horizontal="left" vertical="center" wrapText="1"/>
    </xf>
    <xf numFmtId="0" fontId="51" fillId="0" borderId="24" xfId="39" applyFont="1" applyBorder="1" applyAlignment="1">
      <alignment horizontal="center" vertical="center"/>
    </xf>
    <xf numFmtId="0" fontId="80" fillId="0" borderId="0" xfId="39" applyFont="1" applyAlignment="1">
      <alignment horizontal="left" vertical="center" wrapText="1"/>
    </xf>
    <xf numFmtId="0" fontId="50" fillId="0" borderId="0" xfId="39" applyFont="1" applyAlignment="1">
      <alignment horizontal="left" vertical="center" wrapText="1"/>
    </xf>
    <xf numFmtId="0" fontId="50" fillId="0" borderId="26" xfId="39" applyFont="1" applyBorder="1" applyAlignment="1">
      <alignment horizontal="center" vertical="center"/>
    </xf>
    <xf numFmtId="0" fontId="50" fillId="0" borderId="1" xfId="39" applyFont="1" applyBorder="1" applyAlignment="1">
      <alignment horizontal="center" vertical="center"/>
    </xf>
    <xf numFmtId="0" fontId="50" fillId="0" borderId="3" xfId="39" applyFont="1" applyBorder="1" applyAlignment="1">
      <alignment horizontal="center" vertical="center"/>
    </xf>
    <xf numFmtId="0" fontId="50" fillId="0" borderId="22" xfId="39" applyFont="1" applyBorder="1" applyAlignment="1">
      <alignment horizontal="center" vertical="center"/>
    </xf>
    <xf numFmtId="0" fontId="51" fillId="0" borderId="1" xfId="39" applyFont="1" applyFill="1" applyBorder="1" applyAlignment="1">
      <alignment horizontal="center" vertical="center"/>
    </xf>
    <xf numFmtId="0" fontId="51" fillId="0" borderId="22" xfId="39" applyFont="1" applyFill="1" applyBorder="1" applyAlignment="1">
      <alignment horizontal="center" vertical="center"/>
    </xf>
    <xf numFmtId="0" fontId="49" fillId="0" borderId="23" xfId="1" applyFont="1" applyBorder="1" applyAlignment="1">
      <alignment horizontal="left"/>
    </xf>
    <xf numFmtId="0" fontId="49" fillId="0" borderId="0" xfId="1" applyFont="1" applyBorder="1" applyAlignment="1">
      <alignment horizontal="left"/>
    </xf>
    <xf numFmtId="0" fontId="63" fillId="0" borderId="0" xfId="39" applyFont="1" applyAlignment="1">
      <alignment horizontal="center" vertical="center"/>
    </xf>
    <xf numFmtId="0" fontId="73" fillId="0" borderId="23" xfId="39" applyFont="1" applyBorder="1" applyAlignment="1">
      <alignment horizontal="center" vertical="center"/>
    </xf>
    <xf numFmtId="0" fontId="73" fillId="0" borderId="24" xfId="39" applyFont="1" applyBorder="1" applyAlignment="1">
      <alignment horizontal="center" vertical="center"/>
    </xf>
    <xf numFmtId="0" fontId="73" fillId="0" borderId="3" xfId="39" applyFont="1" applyBorder="1" applyAlignment="1">
      <alignment horizontal="center" vertical="center"/>
    </xf>
    <xf numFmtId="0" fontId="73" fillId="0" borderId="28" xfId="39" applyFont="1" applyBorder="1" applyAlignment="1">
      <alignment horizontal="center" vertical="center"/>
    </xf>
    <xf numFmtId="0" fontId="73" fillId="0" borderId="22" xfId="39" applyFont="1" applyBorder="1" applyAlignment="1">
      <alignment horizontal="center" vertical="center"/>
    </xf>
    <xf numFmtId="0" fontId="75" fillId="0" borderId="0" xfId="39" applyFont="1" applyBorder="1" applyAlignment="1">
      <alignment horizontal="center" vertical="center"/>
    </xf>
    <xf numFmtId="0" fontId="74" fillId="0" borderId="24" xfId="39" applyFont="1" applyBorder="1" applyAlignment="1">
      <alignment horizontal="right" vertical="center"/>
    </xf>
    <xf numFmtId="0" fontId="74" fillId="0" borderId="1" xfId="39" applyFont="1" applyBorder="1" applyAlignment="1">
      <alignment horizontal="center" vertical="center"/>
    </xf>
    <xf numFmtId="0" fontId="74" fillId="0" borderId="22" xfId="39" applyFont="1" applyBorder="1" applyAlignment="1">
      <alignment horizontal="center" vertical="center"/>
    </xf>
    <xf numFmtId="0" fontId="84" fillId="0" borderId="0" xfId="1" quotePrefix="1" applyFont="1" applyBorder="1" applyAlignment="1">
      <alignment horizontal="left"/>
    </xf>
    <xf numFmtId="0" fontId="74" fillId="0" borderId="3" xfId="39" applyFont="1" applyBorder="1" applyAlignment="1">
      <alignment horizontal="center" vertical="center"/>
    </xf>
    <xf numFmtId="0" fontId="74" fillId="0" borderId="23" xfId="39" applyFont="1" applyBorder="1" applyAlignment="1">
      <alignment horizontal="center" vertical="center"/>
    </xf>
    <xf numFmtId="0" fontId="74" fillId="0" borderId="24" xfId="39" applyFont="1" applyBorder="1" applyAlignment="1">
      <alignment horizontal="center" vertical="center"/>
    </xf>
    <xf numFmtId="0" fontId="74" fillId="0" borderId="1" xfId="39" applyFont="1" applyFill="1" applyBorder="1" applyAlignment="1">
      <alignment horizontal="center" vertical="center"/>
    </xf>
    <xf numFmtId="0" fontId="74" fillId="0" borderId="22" xfId="39" applyFont="1" applyFill="1" applyBorder="1" applyAlignment="1">
      <alignment horizontal="center" vertical="center"/>
    </xf>
    <xf numFmtId="0" fontId="51" fillId="0" borderId="21" xfId="39" applyFont="1" applyBorder="1" applyAlignment="1">
      <alignment horizontal="center" vertical="center" textRotation="255"/>
    </xf>
    <xf numFmtId="0" fontId="51" fillId="0" borderId="18" xfId="39" applyFont="1" applyBorder="1" applyAlignment="1">
      <alignment vertical="center"/>
    </xf>
    <xf numFmtId="0" fontId="51" fillId="0" borderId="28" xfId="39" applyFont="1" applyBorder="1" applyAlignment="1">
      <alignment horizontal="center" vertical="center"/>
    </xf>
    <xf numFmtId="0" fontId="51" fillId="0" borderId="21" xfId="39" applyFont="1" applyBorder="1" applyAlignment="1">
      <alignment vertical="center"/>
    </xf>
    <xf numFmtId="0" fontId="51" fillId="0" borderId="17" xfId="39" applyFont="1" applyBorder="1" applyAlignment="1">
      <alignment horizontal="center" vertical="center" textRotation="255"/>
    </xf>
    <xf numFmtId="0" fontId="51" fillId="0" borderId="17" xfId="39" applyFont="1" applyBorder="1" applyAlignment="1">
      <alignment vertical="center"/>
    </xf>
    <xf numFmtId="41" fontId="51" fillId="0" borderId="16" xfId="39" applyNumberFormat="1" applyFont="1" applyBorder="1" applyAlignment="1">
      <alignment horizontal="right" vertical="center"/>
    </xf>
    <xf numFmtId="0" fontId="81" fillId="0" borderId="28" xfId="39" applyFont="1" applyBorder="1" applyAlignment="1">
      <alignment horizontal="center" vertical="center"/>
    </xf>
    <xf numFmtId="0" fontId="51" fillId="0" borderId="0" xfId="39" applyFont="1" applyBorder="1" applyAlignment="1">
      <alignment horizontal="right" vertical="center"/>
    </xf>
    <xf numFmtId="0" fontId="51" fillId="0" borderId="18" xfId="39" applyFont="1" applyBorder="1" applyAlignment="1">
      <alignment horizontal="right" vertical="center"/>
    </xf>
    <xf numFmtId="0" fontId="51" fillId="0" borderId="23" xfId="39" applyFont="1" applyBorder="1" applyAlignment="1">
      <alignment horizontal="center" vertical="center"/>
    </xf>
    <xf numFmtId="0" fontId="51" fillId="0" borderId="23" xfId="39" applyFont="1" applyBorder="1" applyAlignment="1">
      <alignment vertical="center"/>
    </xf>
    <xf numFmtId="0" fontId="51" fillId="0" borderId="21" xfId="39" applyFont="1" applyBorder="1" applyAlignment="1">
      <alignment horizontal="center" vertical="center" wrapText="1"/>
    </xf>
    <xf numFmtId="0" fontId="51" fillId="0" borderId="3" xfId="39" applyFont="1" applyBorder="1" applyAlignment="1">
      <alignment horizontal="center" vertical="center"/>
    </xf>
    <xf numFmtId="0" fontId="76" fillId="0" borderId="0" xfId="39" applyFont="1" applyAlignment="1">
      <alignment horizontal="left" vertical="top" wrapText="1"/>
    </xf>
    <xf numFmtId="0" fontId="50" fillId="0" borderId="21" xfId="39" applyFont="1" applyBorder="1" applyAlignment="1">
      <alignment horizontal="center" vertical="center" textRotation="255"/>
    </xf>
    <xf numFmtId="0" fontId="50" fillId="0" borderId="18" xfId="39" applyFont="1" applyBorder="1">
      <alignment vertical="center"/>
    </xf>
    <xf numFmtId="0" fontId="50" fillId="0" borderId="28" xfId="39" applyFont="1" applyBorder="1" applyAlignment="1">
      <alignment horizontal="center" vertical="center"/>
    </xf>
    <xf numFmtId="0" fontId="50" fillId="0" borderId="21" xfId="39" applyFont="1" applyBorder="1">
      <alignment vertical="center"/>
    </xf>
    <xf numFmtId="41" fontId="50" fillId="0" borderId="16" xfId="39" applyNumberFormat="1" applyFont="1" applyBorder="1" applyAlignment="1">
      <alignment horizontal="right" vertical="center"/>
    </xf>
    <xf numFmtId="41" fontId="50" fillId="0" borderId="18" xfId="39" applyNumberFormat="1" applyFont="1" applyBorder="1" applyAlignment="1">
      <alignment horizontal="right" vertical="center"/>
    </xf>
    <xf numFmtId="0" fontId="67" fillId="0" borderId="0" xfId="1" applyFont="1" applyBorder="1" applyAlignment="1">
      <alignment horizontal="left" vertical="center"/>
    </xf>
    <xf numFmtId="0" fontId="82" fillId="0" borderId="0" xfId="1" applyFont="1" applyBorder="1" applyAlignment="1">
      <alignment horizontal="left" vertical="center" wrapText="1"/>
    </xf>
    <xf numFmtId="0" fontId="98" fillId="0" borderId="23" xfId="1" applyFont="1" applyBorder="1" applyAlignment="1">
      <alignment horizontal="left"/>
    </xf>
    <xf numFmtId="0" fontId="62" fillId="0" borderId="23" xfId="1" applyFont="1" applyBorder="1" applyAlignment="1">
      <alignment horizontal="left"/>
    </xf>
    <xf numFmtId="0" fontId="8" fillId="0" borderId="0" xfId="0" applyFont="1" applyFill="1" applyAlignment="1">
      <alignment horizontal="center" vertical="center"/>
    </xf>
    <xf numFmtId="0" fontId="100" fillId="0" borderId="0" xfId="39" applyFont="1" applyAlignment="1">
      <alignment horizontal="center" vertical="center"/>
    </xf>
    <xf numFmtId="0" fontId="0" fillId="0" borderId="0" xfId="0" applyAlignment="1">
      <alignment horizontal="center" vertical="center"/>
    </xf>
    <xf numFmtId="0" fontId="49" fillId="0" borderId="30" xfId="38" applyFont="1" applyFill="1" applyBorder="1" applyAlignment="1">
      <alignment horizontal="center" vertical="center"/>
    </xf>
    <xf numFmtId="0" fontId="49" fillId="0" borderId="29" xfId="38" applyFont="1" applyFill="1" applyBorder="1" applyAlignment="1">
      <alignment horizontal="center" vertical="center"/>
    </xf>
    <xf numFmtId="0" fontId="49" fillId="0" borderId="0" xfId="39" applyFont="1" applyFill="1" applyAlignment="1">
      <alignment horizontal="left" vertical="center" wrapText="1"/>
    </xf>
    <xf numFmtId="0" fontId="65" fillId="0" borderId="0" xfId="39" applyFont="1" applyFill="1" applyBorder="1" applyAlignment="1">
      <alignment horizontal="center" vertical="center"/>
    </xf>
    <xf numFmtId="0" fontId="49" fillId="0" borderId="2" xfId="38" applyFont="1" applyFill="1" applyBorder="1" applyAlignment="1">
      <alignment horizontal="center" vertical="center"/>
    </xf>
    <xf numFmtId="0" fontId="49" fillId="0" borderId="31" xfId="38" applyFont="1" applyFill="1" applyBorder="1" applyAlignment="1">
      <alignment horizontal="center" vertical="center"/>
    </xf>
    <xf numFmtId="0" fontId="49" fillId="0" borderId="32" xfId="38" applyFont="1" applyFill="1" applyBorder="1" applyAlignment="1">
      <alignment horizontal="center" vertical="center"/>
    </xf>
    <xf numFmtId="0" fontId="49" fillId="0" borderId="19" xfId="38" applyFont="1" applyFill="1" applyBorder="1" applyAlignment="1">
      <alignment horizontal="center" vertical="center"/>
    </xf>
    <xf numFmtId="0" fontId="49" fillId="0" borderId="23" xfId="38" applyFont="1" applyFill="1" applyBorder="1" applyAlignment="1">
      <alignment horizontal="center" vertical="center"/>
    </xf>
    <xf numFmtId="0" fontId="49" fillId="0" borderId="21" xfId="38" applyFont="1" applyFill="1" applyBorder="1" applyAlignment="1">
      <alignment horizontal="center" vertical="center"/>
    </xf>
    <xf numFmtId="0" fontId="50" fillId="0" borderId="0" xfId="39" applyFont="1" applyAlignment="1">
      <alignment horizontal="left" vertical="center"/>
    </xf>
    <xf numFmtId="0" fontId="49" fillId="0" borderId="0" xfId="45" applyFont="1" applyBorder="1" applyAlignment="1">
      <alignment horizontal="left"/>
    </xf>
    <xf numFmtId="0" fontId="46" fillId="0" borderId="0" xfId="39" applyFont="1" applyBorder="1" applyAlignment="1">
      <alignment horizontal="center" vertical="center" textRotation="255"/>
    </xf>
    <xf numFmtId="0" fontId="49" fillId="0" borderId="0" xfId="48" applyFont="1" applyBorder="1" applyAlignment="1">
      <alignment horizontal="center" vertical="center" textRotation="255"/>
    </xf>
    <xf numFmtId="0" fontId="82" fillId="0" borderId="23" xfId="48" applyFont="1" applyBorder="1" applyAlignment="1">
      <alignment horizontal="left" vertical="center" wrapText="1"/>
    </xf>
    <xf numFmtId="0" fontId="49" fillId="0" borderId="1" xfId="48" applyFont="1" applyBorder="1" applyAlignment="1">
      <alignment horizontal="center" vertical="center"/>
    </xf>
    <xf numFmtId="0" fontId="49" fillId="0" borderId="22" xfId="48" applyFont="1" applyBorder="1" applyAlignment="1">
      <alignment horizontal="center" vertical="center"/>
    </xf>
    <xf numFmtId="0" fontId="63" fillId="0" borderId="24" xfId="48" applyFont="1" applyBorder="1" applyAlignment="1">
      <alignment horizontal="center" vertical="center"/>
    </xf>
    <xf numFmtId="0" fontId="49" fillId="0" borderId="1" xfId="48" applyFont="1" applyBorder="1" applyAlignment="1">
      <alignment horizontal="center" vertical="center" wrapText="1"/>
    </xf>
    <xf numFmtId="0" fontId="49" fillId="0" borderId="22" xfId="48" applyFont="1" applyBorder="1" applyAlignment="1">
      <alignment horizontal="center" vertical="center" wrapText="1"/>
    </xf>
    <xf numFmtId="0" fontId="49" fillId="0" borderId="23" xfId="48" applyFont="1" applyBorder="1" applyAlignment="1">
      <alignment horizontal="center" vertical="center"/>
    </xf>
    <xf numFmtId="0" fontId="49" fillId="0" borderId="24" xfId="48" applyFont="1" applyBorder="1" applyAlignment="1">
      <alignment horizontal="center" vertical="center"/>
    </xf>
    <xf numFmtId="0" fontId="49" fillId="0" borderId="1" xfId="48" applyFont="1" applyFill="1" applyBorder="1" applyAlignment="1">
      <alignment horizontal="center" vertical="center"/>
    </xf>
    <xf numFmtId="0" fontId="49" fillId="0" borderId="3" xfId="48" applyFont="1" applyFill="1" applyBorder="1" applyAlignment="1">
      <alignment horizontal="center" vertical="center"/>
    </xf>
    <xf numFmtId="0" fontId="49" fillId="0" borderId="23" xfId="46" quotePrefix="1" applyFont="1" applyFill="1" applyBorder="1" applyAlignment="1">
      <alignment horizontal="center" vertical="center" wrapText="1"/>
    </xf>
    <xf numFmtId="0" fontId="49" fillId="0" borderId="24" xfId="46" quotePrefix="1" applyFont="1" applyFill="1" applyBorder="1" applyAlignment="1">
      <alignment horizontal="center" vertical="center"/>
    </xf>
    <xf numFmtId="0" fontId="49" fillId="0" borderId="22" xfId="48" applyFont="1" applyFill="1" applyBorder="1" applyAlignment="1">
      <alignment horizontal="center" vertical="center"/>
    </xf>
    <xf numFmtId="0" fontId="49" fillId="0" borderId="0" xfId="48" applyFont="1" applyAlignment="1">
      <alignment horizontal="left" vertical="center"/>
    </xf>
    <xf numFmtId="0" fontId="49" fillId="0" borderId="23" xfId="48" applyFont="1" applyBorder="1" applyAlignment="1">
      <alignment horizontal="left" vertical="center"/>
    </xf>
    <xf numFmtId="0" fontId="63" fillId="0" borderId="0" xfId="48" applyFont="1" applyFill="1" applyAlignment="1">
      <alignment horizontal="center" vertical="center"/>
    </xf>
    <xf numFmtId="0" fontId="63" fillId="0" borderId="0" xfId="48" applyFont="1" applyAlignment="1">
      <alignment horizontal="center" vertical="center"/>
    </xf>
    <xf numFmtId="0" fontId="49" fillId="0" borderId="23" xfId="46" quotePrefix="1" applyFont="1" applyBorder="1" applyAlignment="1">
      <alignment horizontal="center" vertical="center" wrapText="1"/>
    </xf>
    <xf numFmtId="0" fontId="49" fillId="0" borderId="24" xfId="46" quotePrefix="1" applyFont="1" applyBorder="1" applyAlignment="1">
      <alignment horizontal="center" vertical="center"/>
    </xf>
    <xf numFmtId="0" fontId="49" fillId="0" borderId="19" xfId="48" applyFont="1" applyBorder="1" applyAlignment="1">
      <alignment horizontal="center" vertical="center"/>
    </xf>
    <xf numFmtId="0" fontId="70" fillId="0" borderId="0" xfId="108" quotePrefix="1" applyFont="1" applyAlignment="1">
      <alignment horizontal="left" vertical="center"/>
    </xf>
    <xf numFmtId="0" fontId="69" fillId="0" borderId="0" xfId="109" applyFont="1" applyAlignment="1">
      <alignment horizontal="left" vertical="center"/>
    </xf>
    <xf numFmtId="0" fontId="63" fillId="0" borderId="0" xfId="104" applyFont="1" applyAlignment="1">
      <alignment horizontal="center" vertical="center"/>
    </xf>
    <xf numFmtId="0" fontId="69" fillId="0" borderId="0" xfId="108" quotePrefix="1" applyFont="1" applyAlignment="1">
      <alignment horizontal="left" vertical="center"/>
    </xf>
    <xf numFmtId="0" fontId="63" fillId="0" borderId="0" xfId="111" applyFont="1" applyFill="1" applyAlignment="1">
      <alignment horizontal="center" vertical="center" wrapText="1"/>
    </xf>
    <xf numFmtId="0" fontId="103" fillId="0" borderId="24" xfId="141" applyFont="1" applyBorder="1" applyAlignment="1">
      <alignment horizontal="center" vertical="center" wrapText="1"/>
    </xf>
    <xf numFmtId="0" fontId="49" fillId="0" borderId="0" xfId="0" applyFont="1" applyAlignment="1">
      <alignment horizontal="left" vertical="center" wrapText="1"/>
    </xf>
    <xf numFmtId="188" fontId="49" fillId="0" borderId="0" xfId="0" applyNumberFormat="1" applyFont="1" applyBorder="1" applyAlignment="1">
      <alignment horizontal="left" vertical="center" wrapText="1"/>
    </xf>
    <xf numFmtId="0" fontId="49" fillId="0" borderId="0" xfId="0" applyFont="1" applyAlignment="1">
      <alignment horizontal="left" vertical="center"/>
    </xf>
    <xf numFmtId="0" fontId="63" fillId="0" borderId="0" xfId="0" applyFont="1" applyAlignment="1">
      <alignment horizontal="center" vertical="center"/>
    </xf>
    <xf numFmtId="0" fontId="49" fillId="0" borderId="0" xfId="0" applyFont="1" applyBorder="1" applyAlignment="1">
      <alignment horizontal="left" vertical="center"/>
    </xf>
    <xf numFmtId="0" fontId="50" fillId="0" borderId="0" xfId="0" applyFont="1" applyAlignment="1">
      <alignment horizontal="left" vertical="center"/>
    </xf>
    <xf numFmtId="0" fontId="109" fillId="0" borderId="0" xfId="0" applyFont="1" applyFill="1" applyAlignment="1">
      <alignment horizontal="left" vertical="center" wrapText="1"/>
    </xf>
    <xf numFmtId="0" fontId="49" fillId="0" borderId="0" xfId="0" applyFont="1" applyFill="1" applyAlignment="1">
      <alignment horizontal="left" vertical="center" wrapText="1"/>
    </xf>
    <xf numFmtId="0" fontId="50" fillId="0" borderId="0" xfId="0" applyFont="1" applyAlignment="1">
      <alignment vertical="center" wrapText="1"/>
    </xf>
    <xf numFmtId="0" fontId="63" fillId="0" borderId="0" xfId="102" applyFont="1" applyAlignment="1">
      <alignment horizontal="center" vertical="center"/>
    </xf>
    <xf numFmtId="0" fontId="50" fillId="0" borderId="0" xfId="0" applyFont="1" applyAlignment="1">
      <alignment horizontal="left" vertical="top" wrapText="1"/>
    </xf>
    <xf numFmtId="0" fontId="50" fillId="0" borderId="0" xfId="0" applyFont="1" applyAlignment="1">
      <alignment horizontal="left" vertical="center" wrapText="1"/>
    </xf>
    <xf numFmtId="0" fontId="111" fillId="0" borderId="0" xfId="0" applyFont="1" applyFill="1" applyAlignment="1">
      <alignment horizontal="left" vertical="center"/>
    </xf>
    <xf numFmtId="0" fontId="51" fillId="0" borderId="0" xfId="0" applyFont="1" applyFill="1" applyAlignment="1">
      <alignment horizontal="left" vertical="center"/>
    </xf>
    <xf numFmtId="0" fontId="51" fillId="0" borderId="0" xfId="0" applyFont="1" applyAlignment="1">
      <alignment horizontal="left" vertical="center" wrapText="1"/>
    </xf>
    <xf numFmtId="0" fontId="50" fillId="0" borderId="23" xfId="0" applyFont="1" applyBorder="1" applyAlignment="1">
      <alignment horizontal="left" vertical="center"/>
    </xf>
    <xf numFmtId="0" fontId="46" fillId="0" borderId="0" xfId="39" applyFont="1" applyAlignment="1">
      <alignment horizontal="left" vertical="center"/>
    </xf>
    <xf numFmtId="0" fontId="46" fillId="0" borderId="0" xfId="39" applyFont="1" applyAlignment="1">
      <alignment horizontal="left" vertical="center" wrapText="1"/>
    </xf>
    <xf numFmtId="0" fontId="46" fillId="0" borderId="0" xfId="39" applyFont="1">
      <alignment vertical="center"/>
    </xf>
    <xf numFmtId="0" fontId="71" fillId="0" borderId="0" xfId="39" applyFont="1" applyBorder="1" applyAlignment="1">
      <alignment horizontal="center" vertical="center"/>
    </xf>
    <xf numFmtId="0" fontId="46" fillId="0" borderId="0" xfId="39" applyFont="1" applyAlignment="1">
      <alignment vertical="center" wrapText="1"/>
    </xf>
    <xf numFmtId="0" fontId="67" fillId="0" borderId="43" xfId="145" applyFont="1" applyBorder="1" applyAlignment="1">
      <alignment horizontal="left" vertical="center" wrapText="1"/>
    </xf>
    <xf numFmtId="0" fontId="63" fillId="0" borderId="0" xfId="145" applyFont="1" applyBorder="1" applyAlignment="1">
      <alignment horizontal="center"/>
    </xf>
    <xf numFmtId="0" fontId="67" fillId="0" borderId="42" xfId="145" applyFont="1" applyBorder="1" applyAlignment="1">
      <alignment horizontal="right"/>
    </xf>
    <xf numFmtId="0" fontId="8" fillId="0" borderId="44" xfId="145" applyFont="1" applyBorder="1" applyAlignment="1">
      <alignment horizontal="center"/>
    </xf>
    <xf numFmtId="0" fontId="8" fillId="0" borderId="44" xfId="145" applyFont="1" applyBorder="1" applyAlignment="1">
      <alignment horizontal="center" vertical="center" wrapText="1"/>
    </xf>
    <xf numFmtId="0" fontId="8" fillId="0" borderId="42" xfId="145" applyFont="1" applyBorder="1" applyAlignment="1">
      <alignment horizontal="center" vertical="center" wrapText="1"/>
    </xf>
    <xf numFmtId="0" fontId="8" fillId="0" borderId="23" xfId="142" applyFont="1" applyBorder="1" applyAlignment="1">
      <alignment horizontal="center" vertical="center"/>
    </xf>
    <xf numFmtId="0" fontId="8" fillId="0" borderId="47" xfId="142" applyFont="1" applyBorder="1" applyAlignment="1">
      <alignment horizontal="center" vertical="center"/>
    </xf>
    <xf numFmtId="0" fontId="82" fillId="0" borderId="0" xfId="146" applyFont="1" applyAlignment="1">
      <alignment horizontal="left" vertical="center" wrapText="1"/>
    </xf>
    <xf numFmtId="0" fontId="63" fillId="0" borderId="0" xfId="142" applyFont="1" applyAlignment="1">
      <alignment horizontal="center" vertical="center"/>
    </xf>
    <xf numFmtId="0" fontId="8" fillId="0" borderId="45" xfId="142" applyFont="1" applyBorder="1" applyAlignment="1">
      <alignment horizontal="center" vertical="center"/>
    </xf>
    <xf numFmtId="0" fontId="8" fillId="0" borderId="46" xfId="142" applyFont="1" applyBorder="1" applyAlignment="1">
      <alignment horizontal="center" vertical="center"/>
    </xf>
    <xf numFmtId="0" fontId="63" fillId="0" borderId="0" xfId="107" applyFont="1" applyAlignment="1">
      <alignment horizontal="center" vertical="center"/>
    </xf>
    <xf numFmtId="0" fontId="49" fillId="0" borderId="24" xfId="107" applyFont="1" applyBorder="1" applyAlignment="1">
      <alignment horizontal="right"/>
    </xf>
    <xf numFmtId="0" fontId="8" fillId="0" borderId="48" xfId="107" applyFont="1" applyBorder="1" applyAlignment="1">
      <alignment horizontal="center" vertical="center"/>
    </xf>
    <xf numFmtId="0" fontId="8" fillId="0" borderId="0" xfId="107" applyFont="1" applyBorder="1" applyAlignment="1">
      <alignment horizontal="center" vertical="center"/>
    </xf>
    <xf numFmtId="0" fontId="8" fillId="0" borderId="24" xfId="107" applyFont="1" applyBorder="1" applyAlignment="1">
      <alignment horizontal="center" vertical="center"/>
    </xf>
    <xf numFmtId="0" fontId="8" fillId="0" borderId="45" xfId="107" applyFont="1" applyBorder="1" applyAlignment="1">
      <alignment horizontal="center" vertical="center"/>
    </xf>
    <xf numFmtId="0" fontId="8" fillId="0" borderId="49" xfId="107" applyFont="1" applyBorder="1" applyAlignment="1">
      <alignment horizontal="center" vertical="center"/>
    </xf>
    <xf numFmtId="0" fontId="8" fillId="0" borderId="50" xfId="107" applyFont="1" applyBorder="1" applyAlignment="1">
      <alignment horizontal="center" vertical="center"/>
    </xf>
    <xf numFmtId="49" fontId="8" fillId="0" borderId="0" xfId="106" quotePrefix="1" applyNumberFormat="1" applyFont="1" applyBorder="1" applyAlignment="1" applyProtection="1">
      <alignment horizontal="center" vertical="center"/>
      <protection locked="0"/>
    </xf>
    <xf numFmtId="49" fontId="8" fillId="0" borderId="18" xfId="106" quotePrefix="1" applyNumberFormat="1" applyFont="1" applyBorder="1" applyAlignment="1" applyProtection="1">
      <alignment horizontal="center" vertical="center"/>
      <protection locked="0"/>
    </xf>
    <xf numFmtId="49" fontId="8" fillId="0" borderId="24" xfId="106" quotePrefix="1" applyNumberFormat="1" applyFont="1" applyBorder="1" applyAlignment="1" applyProtection="1">
      <alignment horizontal="center" vertical="center"/>
      <protection locked="0"/>
    </xf>
    <xf numFmtId="49" fontId="8" fillId="0" borderId="15" xfId="106" quotePrefix="1" applyNumberFormat="1" applyFont="1" applyBorder="1" applyAlignment="1" applyProtection="1">
      <alignment horizontal="center" vertical="center"/>
      <protection locked="0"/>
    </xf>
    <xf numFmtId="0" fontId="82" fillId="0" borderId="48" xfId="142" quotePrefix="1" applyFont="1" applyBorder="1" applyAlignment="1">
      <alignment horizontal="left" vertical="center" wrapText="1"/>
    </xf>
    <xf numFmtId="0" fontId="49" fillId="0" borderId="24" xfId="142" applyFont="1" applyBorder="1" applyAlignment="1">
      <alignment horizontal="right" vertical="center"/>
    </xf>
    <xf numFmtId="0" fontId="8" fillId="0" borderId="48" xfId="142" applyFont="1" applyBorder="1" applyAlignment="1">
      <alignment horizontal="center" vertical="center"/>
    </xf>
    <xf numFmtId="0" fontId="8" fillId="0" borderId="0" xfId="142" applyFont="1" applyBorder="1" applyAlignment="1">
      <alignment horizontal="center" vertical="center"/>
    </xf>
    <xf numFmtId="0" fontId="8" fillId="0" borderId="24" xfId="142" applyFont="1" applyBorder="1" applyAlignment="1">
      <alignment horizontal="center" vertical="center"/>
    </xf>
    <xf numFmtId="0" fontId="8" fillId="0" borderId="18" xfId="142" applyFont="1" applyBorder="1" applyAlignment="1">
      <alignment horizontal="center" vertical="distributed" textRotation="255"/>
    </xf>
    <xf numFmtId="0" fontId="8" fillId="0" borderId="15" xfId="142" applyFont="1" applyBorder="1" applyAlignment="1">
      <alignment horizontal="center" vertical="distributed" textRotation="255"/>
    </xf>
    <xf numFmtId="0" fontId="8" fillId="0" borderId="50" xfId="142" applyFont="1" applyBorder="1" applyAlignment="1">
      <alignment horizontal="center" vertical="center" textRotation="255"/>
    </xf>
    <xf numFmtId="0" fontId="8" fillId="0" borderId="14" xfId="142" applyFont="1" applyBorder="1" applyAlignment="1">
      <alignment horizontal="center" vertical="center" textRotation="255"/>
    </xf>
    <xf numFmtId="0" fontId="8" fillId="0" borderId="17" xfId="142" applyFont="1" applyBorder="1" applyAlignment="1">
      <alignment horizontal="center" vertical="distributed" textRotation="255"/>
    </xf>
    <xf numFmtId="0" fontId="8" fillId="0" borderId="14" xfId="142" applyFont="1" applyBorder="1" applyAlignment="1">
      <alignment horizontal="center" vertical="distributed" textRotation="255"/>
    </xf>
    <xf numFmtId="0" fontId="8" fillId="0" borderId="54" xfId="107" applyFont="1" applyFill="1" applyBorder="1" applyAlignment="1">
      <alignment horizontal="center" vertical="center"/>
    </xf>
    <xf numFmtId="0" fontId="8" fillId="0" borderId="14" xfId="107" applyFont="1" applyFill="1" applyBorder="1" applyAlignment="1">
      <alignment horizontal="center" vertical="center"/>
    </xf>
    <xf numFmtId="0" fontId="8" fillId="0" borderId="45" xfId="147" applyFont="1" applyFill="1" applyBorder="1" applyAlignment="1">
      <alignment horizontal="center" vertical="center"/>
    </xf>
    <xf numFmtId="0" fontId="8" fillId="0" borderId="49" xfId="147" applyFont="1" applyFill="1" applyBorder="1" applyAlignment="1">
      <alignment horizontal="center" vertical="center"/>
    </xf>
    <xf numFmtId="0" fontId="8" fillId="0" borderId="50" xfId="107" applyFont="1" applyFill="1" applyBorder="1" applyAlignment="1">
      <alignment horizontal="center" vertical="center"/>
    </xf>
    <xf numFmtId="0" fontId="8" fillId="0" borderId="51" xfId="107" applyFont="1" applyFill="1" applyBorder="1" applyAlignment="1">
      <alignment horizontal="center" vertical="center"/>
    </xf>
    <xf numFmtId="0" fontId="8" fillId="0" borderId="46" xfId="147" applyFont="1" applyFill="1" applyBorder="1" applyAlignment="1">
      <alignment horizontal="center" vertical="center"/>
    </xf>
    <xf numFmtId="0" fontId="8" fillId="0" borderId="52" xfId="107" applyFont="1" applyFill="1" applyBorder="1" applyAlignment="1">
      <alignment horizontal="center" vertical="center"/>
    </xf>
    <xf numFmtId="0" fontId="8" fillId="0" borderId="53" xfId="107" applyFont="1" applyFill="1" applyBorder="1" applyAlignment="1">
      <alignment horizontal="center" vertical="center"/>
    </xf>
    <xf numFmtId="0" fontId="8" fillId="0" borderId="48" xfId="107" applyFont="1" applyFill="1" applyBorder="1" applyAlignment="1">
      <alignment horizontal="center" vertical="center"/>
    </xf>
    <xf numFmtId="0" fontId="8" fillId="0" borderId="47" xfId="107" applyFont="1" applyFill="1" applyBorder="1" applyAlignment="1">
      <alignment horizontal="center" vertical="center"/>
    </xf>
    <xf numFmtId="0" fontId="8" fillId="0" borderId="15" xfId="107" applyFont="1" applyFill="1" applyBorder="1" applyAlignment="1">
      <alignment horizontal="center" vertical="center"/>
    </xf>
    <xf numFmtId="0" fontId="8" fillId="0" borderId="13" xfId="107" applyFont="1" applyFill="1" applyBorder="1" applyAlignment="1">
      <alignment horizontal="center" vertical="center"/>
    </xf>
    <xf numFmtId="0" fontId="8" fillId="0" borderId="55" xfId="107" applyFont="1" applyFill="1" applyBorder="1" applyAlignment="1">
      <alignment horizontal="center" vertical="center"/>
    </xf>
    <xf numFmtId="0" fontId="8" fillId="0" borderId="56" xfId="107" applyFont="1" applyFill="1" applyBorder="1" applyAlignment="1">
      <alignment horizontal="center" vertical="center"/>
    </xf>
    <xf numFmtId="0" fontId="8" fillId="0" borderId="16" xfId="107" applyFont="1" applyFill="1" applyBorder="1" applyAlignment="1">
      <alignment horizontal="center" vertical="center"/>
    </xf>
    <xf numFmtId="0" fontId="8" fillId="0" borderId="0" xfId="107" applyFont="1" applyFill="1" applyBorder="1" applyAlignment="1">
      <alignment horizontal="center" vertical="center"/>
    </xf>
    <xf numFmtId="0" fontId="8" fillId="0" borderId="24" xfId="147" applyFont="1" applyFill="1" applyBorder="1" applyAlignment="1">
      <alignment horizontal="center" vertical="center"/>
    </xf>
    <xf numFmtId="0" fontId="8" fillId="0" borderId="15" xfId="147" applyFont="1" applyFill="1" applyBorder="1" applyAlignment="1">
      <alignment horizontal="center" vertical="center"/>
    </xf>
    <xf numFmtId="0" fontId="8" fillId="0" borderId="62" xfId="107" applyFont="1" applyFill="1" applyBorder="1" applyAlignment="1">
      <alignment horizontal="center" vertical="center"/>
    </xf>
    <xf numFmtId="0" fontId="8" fillId="0" borderId="13" xfId="147" applyFont="1" applyFill="1" applyBorder="1" applyAlignment="1">
      <alignment horizontal="center" vertical="center"/>
    </xf>
    <xf numFmtId="0" fontId="8" fillId="0" borderId="63" xfId="107" applyFont="1" applyFill="1" applyBorder="1" applyAlignment="1">
      <alignment horizontal="center" vertical="center"/>
    </xf>
    <xf numFmtId="0" fontId="8" fillId="0" borderId="64" xfId="107" applyFont="1" applyFill="1" applyBorder="1" applyAlignment="1">
      <alignment horizontal="center" vertical="center"/>
    </xf>
    <xf numFmtId="0" fontId="8" fillId="0" borderId="45" xfId="147" applyFont="1" applyBorder="1" applyAlignment="1">
      <alignment horizontal="center" vertical="center"/>
    </xf>
    <xf numFmtId="0" fontId="8" fillId="0" borderId="49" xfId="147" applyFont="1" applyBorder="1" applyAlignment="1">
      <alignment horizontal="center" vertical="center"/>
    </xf>
    <xf numFmtId="0" fontId="8" fillId="0" borderId="46" xfId="147" applyFont="1" applyBorder="1" applyAlignment="1">
      <alignment horizontal="center" vertical="center"/>
    </xf>
    <xf numFmtId="0" fontId="49" fillId="0" borderId="18" xfId="107" applyFont="1" applyBorder="1" applyAlignment="1">
      <alignment horizontal="distributed" vertical="center" wrapText="1"/>
    </xf>
    <xf numFmtId="43" fontId="49" fillId="0" borderId="24" xfId="148" applyFont="1" applyBorder="1" applyAlignment="1">
      <alignment horizontal="right" vertical="center"/>
    </xf>
    <xf numFmtId="0" fontId="49" fillId="0" borderId="45" xfId="107" applyFont="1" applyBorder="1" applyAlignment="1">
      <alignment horizontal="center" vertical="center"/>
    </xf>
    <xf numFmtId="0" fontId="49" fillId="0" borderId="49" xfId="107" applyFont="1" applyBorder="1" applyAlignment="1">
      <alignment horizontal="center" vertical="center"/>
    </xf>
    <xf numFmtId="0" fontId="49" fillId="0" borderId="46" xfId="107" applyFont="1" applyBorder="1" applyAlignment="1">
      <alignment horizontal="center" vertical="center"/>
    </xf>
    <xf numFmtId="0" fontId="49" fillId="0" borderId="18" xfId="107" applyFont="1" applyBorder="1" applyAlignment="1">
      <alignment horizontal="distributed" vertical="center" justifyLastLine="1"/>
    </xf>
    <xf numFmtId="0" fontId="49" fillId="0" borderId="18" xfId="107" applyFont="1" applyBorder="1" applyAlignment="1">
      <alignment horizontal="distributed" vertical="center"/>
    </xf>
    <xf numFmtId="0" fontId="8" fillId="0" borderId="67" xfId="147" applyFont="1" applyBorder="1" applyAlignment="1">
      <alignment horizontal="center" vertical="center"/>
    </xf>
    <xf numFmtId="0" fontId="8" fillId="0" borderId="68" xfId="147" applyFont="1" applyBorder="1" applyAlignment="1">
      <alignment horizontal="center" vertical="center"/>
    </xf>
    <xf numFmtId="0" fontId="8" fillId="0" borderId="69" xfId="147" applyFont="1" applyBorder="1" applyAlignment="1">
      <alignment horizontal="center" vertical="center"/>
    </xf>
    <xf numFmtId="0" fontId="49" fillId="0" borderId="45" xfId="149" applyFont="1" applyBorder="1" applyAlignment="1">
      <alignment horizontal="center" vertical="center"/>
    </xf>
    <xf numFmtId="0" fontId="49" fillId="0" borderId="49" xfId="149" applyFont="1" applyBorder="1" applyAlignment="1">
      <alignment horizontal="center" vertical="center"/>
    </xf>
    <xf numFmtId="0" fontId="49" fillId="0" borderId="46" xfId="149" applyFont="1" applyBorder="1" applyAlignment="1">
      <alignment horizontal="center" vertical="center"/>
    </xf>
    <xf numFmtId="0" fontId="82" fillId="0" borderId="48" xfId="149" applyFont="1" applyBorder="1" applyAlignment="1">
      <alignment horizontal="left" vertical="center"/>
    </xf>
    <xf numFmtId="0" fontId="67" fillId="0" borderId="48" xfId="149" applyFont="1" applyBorder="1" applyAlignment="1">
      <alignment horizontal="left" vertical="center"/>
    </xf>
    <xf numFmtId="0" fontId="67" fillId="0" borderId="0" xfId="107" applyFont="1" applyAlignment="1">
      <alignment horizontal="left" vertical="center"/>
    </xf>
    <xf numFmtId="0" fontId="8" fillId="0" borderId="48" xfId="107" applyFont="1" applyBorder="1" applyAlignment="1">
      <alignment horizontal="center" vertical="center" wrapText="1"/>
    </xf>
    <xf numFmtId="0" fontId="8" fillId="0" borderId="47" xfId="107" applyFont="1" applyBorder="1" applyAlignment="1">
      <alignment horizontal="center" vertical="center" wrapText="1"/>
    </xf>
    <xf numFmtId="0" fontId="8" fillId="0" borderId="47" xfId="107" applyFont="1" applyBorder="1" applyAlignment="1">
      <alignment horizontal="center" vertical="center"/>
    </xf>
    <xf numFmtId="0" fontId="8" fillId="0" borderId="46" xfId="107" applyFont="1" applyBorder="1" applyAlignment="1">
      <alignment horizontal="center" vertical="center"/>
    </xf>
    <xf numFmtId="0" fontId="8" fillId="0" borderId="54" xfId="107" applyFont="1" applyBorder="1" applyAlignment="1">
      <alignment horizontal="center" vertical="center" wrapText="1"/>
    </xf>
    <xf numFmtId="0" fontId="8" fillId="0" borderId="14" xfId="107" applyFont="1" applyBorder="1" applyAlignment="1">
      <alignment horizontal="center" vertical="center" wrapText="1"/>
    </xf>
    <xf numFmtId="0" fontId="8" fillId="0" borderId="50" xfId="107" applyFont="1" applyBorder="1" applyAlignment="1">
      <alignment horizontal="center" vertical="center" wrapText="1"/>
    </xf>
    <xf numFmtId="0" fontId="8" fillId="0" borderId="13" xfId="107" applyFont="1" applyBorder="1" applyAlignment="1">
      <alignment horizontal="center" vertical="center" wrapText="1"/>
    </xf>
    <xf numFmtId="0" fontId="49" fillId="0" borderId="24" xfId="107" applyFont="1" applyBorder="1" applyAlignment="1">
      <alignment horizontal="right" vertical="center"/>
    </xf>
    <xf numFmtId="0" fontId="8" fillId="0" borderId="18" xfId="107" applyFont="1" applyBorder="1" applyAlignment="1">
      <alignment horizontal="center" vertical="center"/>
    </xf>
    <xf numFmtId="0" fontId="8" fillId="0" borderId="15" xfId="107" applyFont="1" applyBorder="1" applyAlignment="1">
      <alignment horizontal="center" vertical="center"/>
    </xf>
    <xf numFmtId="0" fontId="7" fillId="0" borderId="54" xfId="107" applyFont="1" applyBorder="1" applyAlignment="1">
      <alignment horizontal="center" vertical="center" wrapText="1"/>
    </xf>
    <xf numFmtId="0" fontId="49" fillId="0" borderId="24" xfId="104" applyFont="1" applyBorder="1" applyAlignment="1">
      <alignment horizontal="right"/>
    </xf>
    <xf numFmtId="0" fontId="8" fillId="0" borderId="48" xfId="104" applyFont="1" applyBorder="1" applyAlignment="1">
      <alignment horizontal="center" vertical="center"/>
    </xf>
    <xf numFmtId="0" fontId="8" fillId="0" borderId="0" xfId="104" applyFont="1" applyBorder="1" applyAlignment="1">
      <alignment horizontal="center" vertical="center"/>
    </xf>
    <xf numFmtId="0" fontId="8" fillId="0" borderId="24" xfId="104" applyFont="1" applyBorder="1" applyAlignment="1">
      <alignment horizontal="center" vertical="center"/>
    </xf>
    <xf numFmtId="0" fontId="8" fillId="0" borderId="47" xfId="104" applyFont="1" applyBorder="1" applyAlignment="1">
      <alignment horizontal="center" vertical="center" wrapText="1"/>
    </xf>
    <xf numFmtId="0" fontId="8" fillId="0" borderId="65" xfId="104" applyFont="1" applyBorder="1" applyAlignment="1">
      <alignment horizontal="center" vertical="center"/>
    </xf>
    <xf numFmtId="0" fontId="8" fillId="0" borderId="54" xfId="104" applyFont="1" applyBorder="1" applyAlignment="1">
      <alignment horizontal="center" vertical="center"/>
    </xf>
    <xf numFmtId="0" fontId="8" fillId="0" borderId="46" xfId="104" applyFont="1" applyBorder="1" applyAlignment="1">
      <alignment horizontal="center" vertical="center"/>
    </xf>
    <xf numFmtId="0" fontId="8" fillId="0" borderId="49" xfId="104" applyFont="1" applyBorder="1" applyAlignment="1">
      <alignment horizontal="center" vertical="center"/>
    </xf>
    <xf numFmtId="0" fontId="8" fillId="0" borderId="45" xfId="104" applyFont="1" applyBorder="1" applyAlignment="1">
      <alignment horizontal="center" vertical="center"/>
    </xf>
    <xf numFmtId="0" fontId="8" fillId="0" borderId="45" xfId="147" applyFont="1" applyBorder="1" applyAlignment="1">
      <alignment vertical="center"/>
    </xf>
    <xf numFmtId="0" fontId="8" fillId="0" borderId="49" xfId="147" applyFont="1" applyBorder="1" applyAlignment="1">
      <alignment vertical="center"/>
    </xf>
    <xf numFmtId="0" fontId="8" fillId="0" borderId="18" xfId="104" applyFont="1" applyBorder="1" applyAlignment="1">
      <alignment horizontal="center" vertical="center" wrapText="1"/>
    </xf>
    <xf numFmtId="0" fontId="8" fillId="0" borderId="15" xfId="104" applyFont="1" applyBorder="1" applyAlignment="1">
      <alignment horizontal="center" vertical="center" wrapText="1"/>
    </xf>
    <xf numFmtId="0" fontId="8" fillId="0" borderId="46" xfId="104" applyFont="1" applyBorder="1" applyAlignment="1">
      <alignment horizontal="center" vertical="center" wrapText="1"/>
    </xf>
    <xf numFmtId="0" fontId="8" fillId="0" borderId="49" xfId="104" applyFont="1" applyBorder="1" applyAlignment="1">
      <alignment horizontal="center" vertical="center" wrapText="1"/>
    </xf>
    <xf numFmtId="0" fontId="8" fillId="0" borderId="17" xfId="104" applyFont="1" applyBorder="1" applyAlignment="1">
      <alignment horizontal="center" vertical="center" wrapText="1"/>
    </xf>
    <xf numFmtId="0" fontId="8" fillId="0" borderId="14" xfId="104" applyFont="1" applyBorder="1" applyAlignment="1">
      <alignment horizontal="center" vertical="center" wrapText="1"/>
    </xf>
    <xf numFmtId="0" fontId="8" fillId="0" borderId="45" xfId="104" applyFont="1" applyBorder="1" applyAlignment="1">
      <alignment horizontal="center" vertical="center" wrapText="1"/>
    </xf>
    <xf numFmtId="0" fontId="89" fillId="0" borderId="48" xfId="104" applyFont="1" applyBorder="1" applyAlignment="1">
      <alignment horizontal="center" vertical="center"/>
    </xf>
    <xf numFmtId="0" fontId="89" fillId="0" borderId="0" xfId="104" applyFont="1" applyBorder="1" applyAlignment="1">
      <alignment horizontal="center" vertical="center"/>
    </xf>
    <xf numFmtId="0" fontId="89" fillId="0" borderId="24" xfId="104" applyFont="1" applyBorder="1" applyAlignment="1">
      <alignment horizontal="center" vertical="center"/>
    </xf>
    <xf numFmtId="0" fontId="67" fillId="0" borderId="0" xfId="104" applyFont="1" applyAlignment="1">
      <alignment horizontal="left" vertical="center" wrapText="1"/>
    </xf>
    <xf numFmtId="0" fontId="67" fillId="0" borderId="0" xfId="104" applyFont="1" applyAlignment="1">
      <alignment horizontal="left" vertical="center" indent="3"/>
    </xf>
    <xf numFmtId="0" fontId="8" fillId="0" borderId="49" xfId="142" applyFont="1" applyBorder="1" applyAlignment="1">
      <alignment horizontal="center" vertical="center"/>
    </xf>
    <xf numFmtId="0" fontId="8" fillId="0" borderId="65" xfId="142" applyFont="1" applyBorder="1" applyAlignment="1">
      <alignment horizontal="center" vertical="center"/>
    </xf>
    <xf numFmtId="0" fontId="8" fillId="0" borderId="0" xfId="155" quotePrefix="1" applyFont="1" applyBorder="1" applyAlignment="1">
      <alignment horizontal="center" vertical="center"/>
    </xf>
    <xf numFmtId="0" fontId="8" fillId="0" borderId="18" xfId="155" quotePrefix="1" applyFont="1" applyBorder="1" applyAlignment="1">
      <alignment horizontal="center" vertical="center"/>
    </xf>
    <xf numFmtId="0" fontId="63" fillId="0" borderId="0" xfId="152" applyFont="1" applyBorder="1" applyAlignment="1">
      <alignment horizontal="center" vertical="center" shrinkToFit="1"/>
    </xf>
    <xf numFmtId="0" fontId="8" fillId="0" borderId="48" xfId="155" applyFont="1" applyBorder="1" applyAlignment="1">
      <alignment horizontal="center" vertical="distributed" textRotation="255"/>
    </xf>
    <xf numFmtId="0" fontId="8" fillId="0" borderId="0" xfId="155" applyFont="1" applyBorder="1" applyAlignment="1">
      <alignment horizontal="center" vertical="distributed" textRotation="255"/>
    </xf>
    <xf numFmtId="0" fontId="8" fillId="0" borderId="24" xfId="155" applyFont="1" applyBorder="1" applyAlignment="1">
      <alignment horizontal="center" vertical="distributed" textRotation="255"/>
    </xf>
    <xf numFmtId="0" fontId="49" fillId="0" borderId="48" xfId="152" applyFont="1" applyBorder="1" applyAlignment="1">
      <alignment horizontal="center" vertical="distributed" textRotation="255" wrapText="1"/>
    </xf>
    <xf numFmtId="0" fontId="49" fillId="0" borderId="0" xfId="152" applyFont="1" applyBorder="1" applyAlignment="1">
      <alignment horizontal="center" vertical="distributed" textRotation="255"/>
    </xf>
    <xf numFmtId="0" fontId="49" fillId="0" borderId="15" xfId="152" applyFont="1" applyBorder="1" applyAlignment="1">
      <alignment horizontal="center" vertical="distributed" textRotation="255"/>
    </xf>
    <xf numFmtId="0" fontId="49" fillId="0" borderId="50" xfId="152" applyFont="1" applyBorder="1" applyAlignment="1">
      <alignment horizontal="center" vertical="distributed" textRotation="255" wrapText="1"/>
    </xf>
    <xf numFmtId="0" fontId="49" fillId="0" borderId="16" xfId="152" applyFont="1" applyBorder="1" applyAlignment="1">
      <alignment horizontal="center" vertical="distributed" textRotation="255"/>
    </xf>
    <xf numFmtId="0" fontId="49" fillId="0" borderId="14" xfId="152" applyFont="1" applyBorder="1" applyAlignment="1">
      <alignment horizontal="center" vertical="distributed" textRotation="255"/>
    </xf>
    <xf numFmtId="0" fontId="49" fillId="0" borderId="50" xfId="156" applyFont="1" applyBorder="1" applyAlignment="1">
      <alignment horizontal="center" vertical="distributed" textRotation="255" wrapText="1"/>
    </xf>
    <xf numFmtId="0" fontId="49" fillId="0" borderId="16" xfId="156" applyFont="1" applyBorder="1" applyAlignment="1">
      <alignment horizontal="center" vertical="distributed" textRotation="255"/>
    </xf>
    <xf numFmtId="0" fontId="49" fillId="0" borderId="14" xfId="156" applyFont="1" applyBorder="1" applyAlignment="1">
      <alignment horizontal="center" vertical="distributed" textRotation="255"/>
    </xf>
    <xf numFmtId="0" fontId="67" fillId="0" borderId="50" xfId="156" applyFont="1" applyBorder="1" applyAlignment="1">
      <alignment horizontal="center" vertical="distributed" textRotation="255" wrapText="1"/>
    </xf>
    <xf numFmtId="0" fontId="67" fillId="0" borderId="16" xfId="156" applyFont="1" applyBorder="1" applyAlignment="1">
      <alignment horizontal="center" vertical="distributed" textRotation="255"/>
    </xf>
    <xf numFmtId="0" fontId="67" fillId="0" borderId="14" xfId="156" applyFont="1" applyBorder="1" applyAlignment="1">
      <alignment horizontal="center" vertical="distributed" textRotation="255"/>
    </xf>
    <xf numFmtId="0" fontId="49" fillId="0" borderId="13" xfId="152" applyFont="1" applyBorder="1" applyAlignment="1">
      <alignment horizontal="center" vertical="distributed" textRotation="255"/>
    </xf>
    <xf numFmtId="0" fontId="122" fillId="0" borderId="0" xfId="157" applyFont="1" applyFill="1" applyBorder="1" applyAlignment="1">
      <alignment horizontal="left" vertical="center" wrapText="1"/>
    </xf>
    <xf numFmtId="0" fontId="67" fillId="0" borderId="0" xfId="157" applyFont="1" applyFill="1" applyBorder="1" applyAlignment="1">
      <alignment horizontal="left" vertical="center" wrapText="1"/>
    </xf>
    <xf numFmtId="0" fontId="8" fillId="0" borderId="24" xfId="155" quotePrefix="1" applyFont="1" applyBorder="1" applyAlignment="1">
      <alignment horizontal="center" vertical="center"/>
    </xf>
    <xf numFmtId="0" fontId="8" fillId="0" borderId="15" xfId="155" quotePrefix="1" applyFont="1" applyBorder="1" applyAlignment="1">
      <alignment horizontal="center" vertical="center"/>
    </xf>
    <xf numFmtId="0" fontId="67" fillId="0" borderId="48" xfId="157" applyFont="1" applyFill="1" applyBorder="1" applyAlignment="1">
      <alignment horizontal="left" vertical="center"/>
    </xf>
    <xf numFmtId="0" fontId="82" fillId="0" borderId="0" xfId="157" applyFont="1" applyFill="1" applyBorder="1" applyAlignment="1">
      <alignment horizontal="left" vertical="center" wrapText="1"/>
    </xf>
    <xf numFmtId="0" fontId="67" fillId="0" borderId="0" xfId="158" applyFont="1" applyAlignment="1">
      <alignment vertical="center" wrapText="1"/>
    </xf>
    <xf numFmtId="0" fontId="63" fillId="0" borderId="0" xfId="158" applyFont="1" applyAlignment="1">
      <alignment horizontal="center" vertical="center"/>
    </xf>
    <xf numFmtId="0" fontId="8" fillId="0" borderId="48" xfId="158" applyFont="1" applyBorder="1" applyAlignment="1">
      <alignment horizontal="center" vertical="center"/>
    </xf>
    <xf numFmtId="0" fontId="8" fillId="0" borderId="0" xfId="158" applyFont="1" applyBorder="1" applyAlignment="1">
      <alignment horizontal="center" vertical="center"/>
    </xf>
    <xf numFmtId="0" fontId="8" fillId="0" borderId="24" xfId="158" applyFont="1" applyBorder="1" applyAlignment="1">
      <alignment horizontal="center" vertical="center"/>
    </xf>
    <xf numFmtId="0" fontId="8" fillId="0" borderId="49" xfId="158" applyFont="1" applyBorder="1" applyAlignment="1">
      <alignment horizontal="center" vertical="center"/>
    </xf>
    <xf numFmtId="0" fontId="8" fillId="0" borderId="65" xfId="158" applyFont="1" applyBorder="1" applyAlignment="1">
      <alignment horizontal="center" vertical="center"/>
    </xf>
    <xf numFmtId="0" fontId="8" fillId="0" borderId="50" xfId="158" applyFont="1" applyBorder="1" applyAlignment="1">
      <alignment horizontal="center" vertical="center" wrapText="1"/>
    </xf>
    <xf numFmtId="0" fontId="8" fillId="0" borderId="47" xfId="158" applyFont="1" applyBorder="1" applyAlignment="1">
      <alignment horizontal="center" vertical="center" wrapText="1"/>
    </xf>
    <xf numFmtId="0" fontId="8" fillId="0" borderId="13" xfId="158" applyFont="1" applyBorder="1" applyAlignment="1">
      <alignment horizontal="center" vertical="center" wrapText="1"/>
    </xf>
    <xf numFmtId="0" fontId="8" fillId="0" borderId="15" xfId="158" applyFont="1" applyBorder="1" applyAlignment="1">
      <alignment horizontal="center" vertical="center" wrapText="1"/>
    </xf>
    <xf numFmtId="0" fontId="8" fillId="0" borderId="48" xfId="158" applyFont="1" applyBorder="1" applyAlignment="1">
      <alignment horizontal="center" vertical="center" wrapText="1"/>
    </xf>
    <xf numFmtId="0" fontId="8" fillId="0" borderId="24" xfId="158" applyFont="1" applyBorder="1" applyAlignment="1">
      <alignment horizontal="center" vertical="center" wrapText="1"/>
    </xf>
    <xf numFmtId="49" fontId="8" fillId="0" borderId="0" xfId="142" quotePrefix="1" applyNumberFormat="1" applyFont="1" applyBorder="1" applyAlignment="1">
      <alignment horizontal="center" vertical="center"/>
    </xf>
    <xf numFmtId="49" fontId="8" fillId="0" borderId="18" xfId="142" quotePrefix="1" applyNumberFormat="1" applyFont="1" applyBorder="1" applyAlignment="1">
      <alignment horizontal="center" vertical="center"/>
    </xf>
    <xf numFmtId="0" fontId="8" fillId="0" borderId="45" xfId="159" applyFont="1" applyBorder="1" applyAlignment="1">
      <alignment horizontal="center" vertical="center"/>
    </xf>
    <xf numFmtId="0" fontId="8" fillId="0" borderId="49" xfId="159" applyFont="1" applyBorder="1" applyAlignment="1">
      <alignment horizontal="center" vertical="center"/>
    </xf>
    <xf numFmtId="0" fontId="8" fillId="0" borderId="46" xfId="159" applyFont="1" applyBorder="1" applyAlignment="1">
      <alignment horizontal="center" vertical="center"/>
    </xf>
    <xf numFmtId="0" fontId="8" fillId="0" borderId="47" xfId="159" applyFont="1" applyBorder="1" applyAlignment="1">
      <alignment horizontal="center" vertical="center"/>
    </xf>
    <xf numFmtId="0" fontId="52" fillId="0" borderId="15" xfId="159" applyFont="1" applyBorder="1" applyAlignment="1">
      <alignment horizontal="center" vertical="center"/>
    </xf>
    <xf numFmtId="0" fontId="8" fillId="0" borderId="54" xfId="159" applyFont="1" applyBorder="1" applyAlignment="1">
      <alignment horizontal="center" vertical="center" wrapText="1"/>
    </xf>
    <xf numFmtId="0" fontId="52" fillId="0" borderId="14" xfId="159" applyFont="1" applyBorder="1" applyAlignment="1">
      <alignment horizontal="center" vertical="center"/>
    </xf>
    <xf numFmtId="0" fontId="8" fillId="0" borderId="50" xfId="159" applyFont="1" applyBorder="1" applyAlignment="1">
      <alignment horizontal="center" vertical="center" wrapText="1"/>
    </xf>
    <xf numFmtId="0" fontId="52" fillId="0" borderId="13" xfId="159" applyFont="1" applyBorder="1" applyAlignment="1">
      <alignment horizontal="center" vertical="center"/>
    </xf>
    <xf numFmtId="0" fontId="82" fillId="0" borderId="48" xfId="142" applyFont="1" applyBorder="1" applyAlignment="1">
      <alignment horizontal="left" vertical="center" wrapText="1"/>
    </xf>
    <xf numFmtId="49" fontId="8" fillId="0" borderId="24" xfId="142" quotePrefix="1" applyNumberFormat="1" applyFont="1" applyBorder="1" applyAlignment="1">
      <alignment horizontal="center" vertical="center"/>
    </xf>
    <xf numFmtId="49" fontId="8" fillId="0" borderId="15" xfId="142" quotePrefix="1" applyNumberFormat="1" applyFont="1" applyBorder="1" applyAlignment="1">
      <alignment horizontal="center" vertical="center"/>
    </xf>
    <xf numFmtId="0" fontId="49" fillId="0" borderId="24" xfId="142" applyFont="1" applyBorder="1" applyAlignment="1">
      <alignment horizontal="right"/>
    </xf>
    <xf numFmtId="49" fontId="8" fillId="0" borderId="48" xfId="160" applyNumberFormat="1" applyFont="1" applyBorder="1" applyAlignment="1">
      <alignment horizontal="center" vertical="center"/>
    </xf>
    <xf numFmtId="49" fontId="8" fillId="0" borderId="0" xfId="160" applyNumberFormat="1" applyFont="1" applyBorder="1" applyAlignment="1">
      <alignment horizontal="center" vertical="center"/>
    </xf>
    <xf numFmtId="49" fontId="8" fillId="0" borderId="24" xfId="160" applyNumberFormat="1" applyFont="1" applyBorder="1" applyAlignment="1">
      <alignment horizontal="center" vertical="center"/>
    </xf>
    <xf numFmtId="0" fontId="8" fillId="0" borderId="47" xfId="142" applyFont="1" applyBorder="1" applyAlignment="1">
      <alignment horizontal="center" vertical="distributed" textRotation="255" wrapText="1"/>
    </xf>
    <xf numFmtId="0" fontId="8" fillId="0" borderId="18" xfId="142" applyFont="1" applyBorder="1" applyAlignment="1">
      <alignment horizontal="center" vertical="distributed" textRotation="255" wrapText="1"/>
    </xf>
    <xf numFmtId="0" fontId="8" fillId="0" borderId="15" xfId="142" applyFont="1" applyBorder="1" applyAlignment="1">
      <alignment horizontal="center" vertical="distributed" textRotation="255" wrapText="1"/>
    </xf>
    <xf numFmtId="0" fontId="51" fillId="0" borderId="65" xfId="142" applyFont="1" applyBorder="1" applyAlignment="1">
      <alignment horizontal="center" vertical="center"/>
    </xf>
    <xf numFmtId="0" fontId="51" fillId="0" borderId="46" xfId="142" applyFont="1" applyBorder="1" applyAlignment="1">
      <alignment horizontal="center" vertical="center"/>
    </xf>
    <xf numFmtId="0" fontId="8" fillId="0" borderId="54" xfId="142" applyFont="1" applyBorder="1" applyAlignment="1">
      <alignment horizontal="center" vertical="distributed" textRotation="255" wrapText="1"/>
    </xf>
    <xf numFmtId="0" fontId="8" fillId="0" borderId="17" xfId="142" applyFont="1" applyBorder="1" applyAlignment="1">
      <alignment horizontal="center" vertical="distributed" textRotation="255" wrapText="1"/>
    </xf>
    <xf numFmtId="0" fontId="8" fillId="0" borderId="14" xfId="142" applyFont="1" applyBorder="1" applyAlignment="1">
      <alignment horizontal="center" vertical="distributed" textRotation="255" wrapText="1"/>
    </xf>
    <xf numFmtId="180" fontId="8" fillId="0" borderId="54" xfId="142" applyNumberFormat="1" applyFont="1" applyBorder="1" applyAlignment="1">
      <alignment horizontal="center" vertical="distributed" textRotation="255" wrapText="1"/>
    </xf>
    <xf numFmtId="180" fontId="8" fillId="0" borderId="17" xfId="142" applyNumberFormat="1" applyFont="1" applyBorder="1" applyAlignment="1">
      <alignment horizontal="center" vertical="distributed" textRotation="255" wrapText="1"/>
    </xf>
    <xf numFmtId="180" fontId="8" fillId="0" borderId="14" xfId="142" applyNumberFormat="1" applyFont="1" applyBorder="1" applyAlignment="1">
      <alignment horizontal="center" vertical="distributed" textRotation="255" wrapText="1"/>
    </xf>
    <xf numFmtId="180" fontId="8" fillId="0" borderId="50" xfId="142" applyNumberFormat="1" applyFont="1" applyBorder="1" applyAlignment="1">
      <alignment horizontal="center" vertical="distributed" textRotation="255" wrapText="1"/>
    </xf>
    <xf numFmtId="180" fontId="8" fillId="0" borderId="16" xfId="142" applyNumberFormat="1" applyFont="1" applyBorder="1" applyAlignment="1">
      <alignment horizontal="center" vertical="distributed" textRotation="255" wrapText="1"/>
    </xf>
    <xf numFmtId="180" fontId="8" fillId="0" borderId="13" xfId="142" applyNumberFormat="1" applyFont="1" applyBorder="1" applyAlignment="1">
      <alignment horizontal="center" vertical="distributed" textRotation="255" wrapText="1"/>
    </xf>
    <xf numFmtId="0" fontId="67" fillId="0" borderId="0" xfId="162" applyFont="1" applyAlignment="1">
      <alignment horizontal="left" wrapText="1"/>
    </xf>
    <xf numFmtId="0" fontId="67" fillId="0" borderId="0" xfId="162" applyFont="1" applyAlignment="1">
      <alignment horizontal="left" vertical="center" wrapText="1"/>
    </xf>
    <xf numFmtId="0" fontId="67" fillId="0" borderId="48" xfId="142" applyFont="1" applyBorder="1" applyAlignment="1">
      <alignment horizontal="left" vertical="center"/>
    </xf>
    <xf numFmtId="0" fontId="67" fillId="0" borderId="0" xfId="142" applyFont="1" applyBorder="1" applyAlignment="1">
      <alignment horizontal="left" vertical="center" wrapText="1"/>
    </xf>
    <xf numFmtId="0" fontId="67" fillId="0" borderId="0" xfId="142" applyFont="1" applyBorder="1" applyAlignment="1">
      <alignment horizontal="left" vertical="center"/>
    </xf>
    <xf numFmtId="49" fontId="63" fillId="0" borderId="0" xfId="142" applyNumberFormat="1" applyFont="1" applyAlignment="1">
      <alignment horizontal="center" vertical="center"/>
    </xf>
    <xf numFmtId="0" fontId="8" fillId="0" borderId="48" xfId="150" applyFont="1" applyBorder="1" applyAlignment="1">
      <alignment horizontal="center" vertical="center"/>
    </xf>
    <xf numFmtId="0" fontId="8" fillId="0" borderId="0" xfId="150" applyFont="1" applyBorder="1" applyAlignment="1">
      <alignment horizontal="center" vertical="center"/>
    </xf>
    <xf numFmtId="0" fontId="8" fillId="0" borderId="24" xfId="150" applyFont="1" applyBorder="1" applyAlignment="1">
      <alignment horizontal="center" vertical="center"/>
    </xf>
    <xf numFmtId="49" fontId="8" fillId="0" borderId="47" xfId="142" applyNumberFormat="1" applyFont="1" applyBorder="1" applyAlignment="1">
      <alignment horizontal="center" vertical="distributed" textRotation="255"/>
    </xf>
    <xf numFmtId="0" fontId="8" fillId="0" borderId="50" xfId="142" applyFont="1" applyBorder="1" applyAlignment="1">
      <alignment horizontal="center" vertical="center" wrapText="1"/>
    </xf>
    <xf numFmtId="0" fontId="8" fillId="0" borderId="47" xfId="142" applyFont="1" applyBorder="1" applyAlignment="1">
      <alignment horizontal="center" vertical="center" wrapText="1"/>
    </xf>
    <xf numFmtId="0" fontId="8" fillId="0" borderId="16" xfId="142" applyFont="1" applyBorder="1" applyAlignment="1">
      <alignment horizontal="center" vertical="center" wrapText="1"/>
    </xf>
    <xf numFmtId="0" fontId="8" fillId="0" borderId="18" xfId="142" applyFont="1" applyBorder="1" applyAlignment="1">
      <alignment horizontal="center" vertical="center" wrapText="1"/>
    </xf>
    <xf numFmtId="0" fontId="8" fillId="0" borderId="13" xfId="142" applyFont="1" applyBorder="1" applyAlignment="1">
      <alignment horizontal="center" vertical="center" wrapText="1"/>
    </xf>
    <xf numFmtId="0" fontId="8" fillId="0" borderId="15" xfId="142" applyFont="1" applyBorder="1" applyAlignment="1">
      <alignment horizontal="center" vertical="center" wrapText="1"/>
    </xf>
    <xf numFmtId="0" fontId="96" fillId="0" borderId="50" xfId="142" applyFont="1" applyBorder="1" applyAlignment="1">
      <alignment horizontal="distributed" vertical="center" wrapText="1"/>
    </xf>
    <xf numFmtId="0" fontId="8" fillId="0" borderId="47" xfId="142" applyFont="1" applyBorder="1" applyAlignment="1">
      <alignment horizontal="distributed" vertical="center"/>
    </xf>
    <xf numFmtId="0" fontId="8" fillId="0" borderId="13" xfId="142" applyFont="1" applyBorder="1" applyAlignment="1">
      <alignment horizontal="distributed" vertical="center"/>
    </xf>
    <xf numFmtId="0" fontId="8" fillId="0" borderId="15" xfId="142" applyFont="1" applyBorder="1" applyAlignment="1">
      <alignment horizontal="distributed" vertical="center"/>
    </xf>
    <xf numFmtId="0" fontId="8" fillId="0" borderId="50" xfId="142" applyFont="1" applyBorder="1" applyAlignment="1">
      <alignment horizontal="center" vertical="distributed" textRotation="255" wrapText="1"/>
    </xf>
    <xf numFmtId="0" fontId="8" fillId="0" borderId="16" xfId="142" applyFont="1" applyBorder="1" applyAlignment="1">
      <alignment horizontal="center" vertical="distributed" textRotation="255"/>
    </xf>
    <xf numFmtId="0" fontId="8" fillId="0" borderId="13" xfId="142" applyFont="1" applyBorder="1" applyAlignment="1">
      <alignment horizontal="center" vertical="distributed" textRotation="255"/>
    </xf>
    <xf numFmtId="0" fontId="8" fillId="0" borderId="54" xfId="150" applyNumberFormat="1" applyFont="1" applyBorder="1" applyAlignment="1" applyProtection="1">
      <alignment horizontal="center" vertical="distributed" textRotation="255" wrapText="1"/>
      <protection locked="0"/>
    </xf>
    <xf numFmtId="0" fontId="8" fillId="0" borderId="17" xfId="150" applyNumberFormat="1" applyFont="1" applyBorder="1" applyAlignment="1" applyProtection="1">
      <alignment horizontal="center" vertical="distributed" textRotation="255"/>
      <protection locked="0"/>
    </xf>
    <xf numFmtId="0" fontId="8" fillId="0" borderId="14" xfId="150" applyNumberFormat="1" applyFont="1" applyBorder="1" applyAlignment="1" applyProtection="1">
      <alignment horizontal="center" vertical="distributed" textRotation="255"/>
      <protection locked="0"/>
    </xf>
    <xf numFmtId="49" fontId="8" fillId="0" borderId="54" xfId="142" applyNumberFormat="1" applyFont="1" applyBorder="1" applyAlignment="1" applyProtection="1">
      <alignment horizontal="center" vertical="distributed" textRotation="255"/>
      <protection locked="0"/>
    </xf>
    <xf numFmtId="49" fontId="63" fillId="0" borderId="0" xfId="142" applyNumberFormat="1" applyFont="1" applyAlignment="1" applyProtection="1">
      <alignment horizontal="center" vertical="center"/>
      <protection locked="0"/>
    </xf>
    <xf numFmtId="0" fontId="8" fillId="0" borderId="48" xfId="150" applyFont="1" applyBorder="1" applyAlignment="1">
      <alignment horizontal="center" vertical="distributed" textRotation="255"/>
    </xf>
    <xf numFmtId="0" fontId="8" fillId="0" borderId="0" xfId="150" applyFont="1" applyBorder="1" applyAlignment="1">
      <alignment horizontal="center" vertical="distributed" textRotation="255"/>
    </xf>
    <xf numFmtId="0" fontId="8" fillId="0" borderId="24" xfId="150" applyFont="1" applyBorder="1" applyAlignment="1">
      <alignment horizontal="center" vertical="distributed" textRotation="255"/>
    </xf>
    <xf numFmtId="49" fontId="8" fillId="0" borderId="47" xfId="142" applyNumberFormat="1" applyFont="1" applyBorder="1" applyAlignment="1" applyProtection="1">
      <alignment horizontal="center" vertical="distributed" textRotation="255"/>
      <protection locked="0"/>
    </xf>
    <xf numFmtId="49" fontId="8" fillId="0" borderId="54" xfId="142" applyNumberFormat="1" applyFont="1" applyBorder="1" applyAlignment="1" applyProtection="1">
      <alignment horizontal="center" vertical="distributed" textRotation="255" wrapText="1"/>
      <protection locked="0"/>
    </xf>
    <xf numFmtId="49" fontId="127" fillId="0" borderId="50" xfId="142" applyNumberFormat="1" applyFont="1" applyBorder="1" applyAlignment="1" applyProtection="1">
      <alignment horizontal="center" vertical="distributed" textRotation="255" wrapText="1"/>
      <protection locked="0"/>
    </xf>
    <xf numFmtId="0" fontId="127" fillId="0" borderId="16" xfId="142" applyFont="1" applyBorder="1" applyAlignment="1">
      <alignment horizontal="center" vertical="distributed" textRotation="255"/>
    </xf>
    <xf numFmtId="0" fontId="127" fillId="0" borderId="13" xfId="142" applyFont="1" applyBorder="1" applyAlignment="1">
      <alignment horizontal="center" vertical="distributed" textRotation="255"/>
    </xf>
    <xf numFmtId="49" fontId="8" fillId="0" borderId="50" xfId="142" applyNumberFormat="1" applyFont="1" applyBorder="1" applyAlignment="1" applyProtection="1">
      <alignment horizontal="center" vertical="distributed" textRotation="255" wrapText="1"/>
      <protection locked="0"/>
    </xf>
    <xf numFmtId="49" fontId="8" fillId="0" borderId="16" xfId="142" applyNumberFormat="1" applyFont="1" applyBorder="1" applyAlignment="1" applyProtection="1">
      <alignment horizontal="center" vertical="distributed" textRotation="255" wrapText="1"/>
      <protection locked="0"/>
    </xf>
    <xf numFmtId="49" fontId="8" fillId="0" borderId="13" xfId="142" applyNumberFormat="1" applyFont="1" applyBorder="1" applyAlignment="1" applyProtection="1">
      <alignment horizontal="center" vertical="distributed" textRotation="255" wrapText="1"/>
      <protection locked="0"/>
    </xf>
    <xf numFmtId="49" fontId="127" fillId="0" borderId="54" xfId="142" applyNumberFormat="1" applyFont="1" applyBorder="1" applyAlignment="1" applyProtection="1">
      <alignment horizontal="center" vertical="distributed" textRotation="255"/>
      <protection locked="0"/>
    </xf>
    <xf numFmtId="0" fontId="127" fillId="0" borderId="17" xfId="142" applyFont="1" applyBorder="1" applyAlignment="1">
      <alignment horizontal="center" vertical="distributed" textRotation="255"/>
    </xf>
    <xf numFmtId="0" fontId="127" fillId="0" borderId="14" xfId="142" applyFont="1" applyBorder="1" applyAlignment="1">
      <alignment horizontal="center" vertical="distributed" textRotation="255"/>
    </xf>
    <xf numFmtId="49" fontId="127" fillId="0" borderId="17" xfId="142" applyNumberFormat="1" applyFont="1" applyBorder="1" applyAlignment="1" applyProtection="1">
      <alignment horizontal="center" vertical="distributed" textRotation="255"/>
      <protection locked="0"/>
    </xf>
    <xf numFmtId="49" fontId="127" fillId="0" borderId="14" xfId="142" applyNumberFormat="1" applyFont="1" applyBorder="1" applyAlignment="1" applyProtection="1">
      <alignment horizontal="center" vertical="distributed" textRotation="255"/>
      <protection locked="0"/>
    </xf>
    <xf numFmtId="49" fontId="127" fillId="0" borderId="54" xfId="142" applyNumberFormat="1" applyFont="1" applyBorder="1" applyAlignment="1" applyProtection="1">
      <alignment horizontal="center" vertical="distributed" textRotation="255" wrapText="1"/>
      <protection locked="0"/>
    </xf>
    <xf numFmtId="49" fontId="127" fillId="0" borderId="17" xfId="142" applyNumberFormat="1" applyFont="1" applyBorder="1" applyAlignment="1" applyProtection="1">
      <alignment horizontal="center" vertical="distributed" textRotation="255" wrapText="1"/>
      <protection locked="0"/>
    </xf>
    <xf numFmtId="49" fontId="127" fillId="0" borderId="14" xfId="142" applyNumberFormat="1" applyFont="1" applyBorder="1" applyAlignment="1" applyProtection="1">
      <alignment horizontal="center" vertical="distributed" textRotation="255" wrapText="1"/>
      <protection locked="0"/>
    </xf>
    <xf numFmtId="0" fontId="63" fillId="0" borderId="0" xfId="142" applyNumberFormat="1" applyFont="1" applyAlignment="1" applyProtection="1">
      <alignment horizontal="center" vertical="center"/>
      <protection locked="0"/>
    </xf>
    <xf numFmtId="0" fontId="8" fillId="0" borderId="48" xfId="164" quotePrefix="1" applyNumberFormat="1" applyFont="1" applyBorder="1" applyAlignment="1" applyProtection="1">
      <alignment horizontal="center" vertical="center"/>
      <protection locked="0"/>
    </xf>
    <xf numFmtId="0" fontId="8" fillId="0" borderId="24" xfId="164" quotePrefix="1" applyNumberFormat="1" applyFont="1" applyBorder="1" applyAlignment="1" applyProtection="1">
      <alignment horizontal="center" vertical="center"/>
      <protection locked="0"/>
    </xf>
    <xf numFmtId="0" fontId="63" fillId="0" borderId="0" xfId="167" quotePrefix="1" applyFont="1" applyAlignment="1">
      <alignment horizontal="center" vertical="center"/>
    </xf>
    <xf numFmtId="0" fontId="63" fillId="0" borderId="24" xfId="167" quotePrefix="1" applyFont="1" applyBorder="1" applyAlignment="1">
      <alignment horizontal="center" vertical="center"/>
    </xf>
    <xf numFmtId="0" fontId="8" fillId="0" borderId="48" xfId="167" applyFont="1" applyBorder="1" applyAlignment="1">
      <alignment horizontal="center" vertical="center"/>
    </xf>
    <xf numFmtId="0" fontId="8" fillId="0" borderId="24" xfId="167" applyFont="1" applyBorder="1" applyAlignment="1">
      <alignment horizontal="center" vertical="center"/>
    </xf>
    <xf numFmtId="49" fontId="8" fillId="0" borderId="47" xfId="142" quotePrefix="1" applyNumberFormat="1" applyFont="1" applyBorder="1" applyAlignment="1">
      <alignment horizontal="center" vertical="center"/>
    </xf>
    <xf numFmtId="49" fontId="8" fillId="0" borderId="54" xfId="142" quotePrefix="1" applyNumberFormat="1" applyFont="1" applyBorder="1" applyAlignment="1">
      <alignment horizontal="center" vertical="center"/>
    </xf>
    <xf numFmtId="49" fontId="8" fillId="0" borderId="14" xfId="142" quotePrefix="1" applyNumberFormat="1" applyFont="1" applyBorder="1" applyAlignment="1">
      <alignment horizontal="center" vertical="center"/>
    </xf>
    <xf numFmtId="49" fontId="8" fillId="0" borderId="50" xfId="142" quotePrefix="1" applyNumberFormat="1" applyFont="1" applyBorder="1" applyAlignment="1">
      <alignment horizontal="center" vertical="center"/>
    </xf>
    <xf numFmtId="49" fontId="8" fillId="0" borderId="13" xfId="142" quotePrefix="1" applyNumberFormat="1" applyFont="1" applyBorder="1" applyAlignment="1">
      <alignment horizontal="center" vertical="center"/>
    </xf>
    <xf numFmtId="0" fontId="8" fillId="0" borderId="0" xfId="161" quotePrefix="1" applyFont="1" applyAlignment="1">
      <alignment horizontal="right" vertical="center"/>
    </xf>
    <xf numFmtId="0" fontId="63" fillId="0" borderId="24" xfId="142" applyFont="1" applyBorder="1" applyAlignment="1">
      <alignment horizontal="center" vertical="center"/>
    </xf>
    <xf numFmtId="0" fontId="67" fillId="0" borderId="0" xfId="161" applyFont="1" applyAlignment="1">
      <alignment horizontal="left" vertical="center" wrapText="1"/>
    </xf>
    <xf numFmtId="0" fontId="8" fillId="0" borderId="24" xfId="161" quotePrefix="1" applyFont="1" applyBorder="1" applyAlignment="1">
      <alignment horizontal="right" vertical="center"/>
    </xf>
    <xf numFmtId="49" fontId="67" fillId="0" borderId="0" xfId="1" quotePrefix="1" applyNumberFormat="1" applyFont="1" applyAlignment="1">
      <alignment vertical="center" wrapText="1"/>
    </xf>
    <xf numFmtId="49" fontId="63" fillId="0" borderId="0" xfId="1" applyNumberFormat="1" applyFont="1" applyAlignment="1">
      <alignment horizontal="center" vertical="center"/>
    </xf>
    <xf numFmtId="0" fontId="63" fillId="0" borderId="0" xfId="1" applyFont="1" applyAlignment="1">
      <alignment horizontal="center" vertical="center"/>
    </xf>
    <xf numFmtId="0" fontId="8" fillId="0" borderId="48" xfId="1" quotePrefix="1" applyBorder="1" applyAlignment="1">
      <alignment horizontal="center" vertical="center"/>
    </xf>
    <xf numFmtId="0" fontId="8" fillId="0" borderId="0" xfId="1" quotePrefix="1" applyAlignment="1">
      <alignment horizontal="center" vertical="center"/>
    </xf>
    <xf numFmtId="0" fontId="8" fillId="0" borderId="24" xfId="1" quotePrefix="1" applyBorder="1" applyAlignment="1">
      <alignment horizontal="center" vertical="center"/>
    </xf>
    <xf numFmtId="0" fontId="8" fillId="0" borderId="50" xfId="1" quotePrefix="1" applyBorder="1" applyAlignment="1">
      <alignment horizontal="center" vertical="center" wrapText="1"/>
    </xf>
    <xf numFmtId="0" fontId="52" fillId="0" borderId="16" xfId="169" applyFont="1" applyBorder="1" applyAlignment="1">
      <alignment horizontal="center" vertical="center" wrapText="1"/>
    </xf>
    <xf numFmtId="49" fontId="8" fillId="0" borderId="50" xfId="1" applyNumberFormat="1" applyBorder="1" applyAlignment="1">
      <alignment horizontal="center" vertical="center"/>
    </xf>
    <xf numFmtId="49" fontId="8" fillId="0" borderId="48" xfId="1" applyNumberFormat="1" applyBorder="1" applyAlignment="1">
      <alignment horizontal="center" vertical="center"/>
    </xf>
    <xf numFmtId="49" fontId="8" fillId="0" borderId="16" xfId="1" applyNumberFormat="1" applyBorder="1" applyAlignment="1">
      <alignment horizontal="center" vertical="center"/>
    </xf>
    <xf numFmtId="49" fontId="8" fillId="0" borderId="0" xfId="1" applyNumberFormat="1" applyAlignment="1">
      <alignment horizontal="center" vertical="center"/>
    </xf>
    <xf numFmtId="0" fontId="8" fillId="0" borderId="54" xfId="1" applyBorder="1" applyAlignment="1">
      <alignment horizontal="center" vertical="center"/>
    </xf>
    <xf numFmtId="0" fontId="8" fillId="0" borderId="17" xfId="1" applyBorder="1" applyAlignment="1">
      <alignment horizontal="center" vertical="center"/>
    </xf>
    <xf numFmtId="0" fontId="8" fillId="0" borderId="14" xfId="1" applyBorder="1" applyAlignment="1">
      <alignment horizontal="center" vertical="center"/>
    </xf>
    <xf numFmtId="0" fontId="8" fillId="0" borderId="50" xfId="1" applyBorder="1" applyAlignment="1">
      <alignment horizontal="center" vertical="center"/>
    </xf>
    <xf numFmtId="0" fontId="8" fillId="0" borderId="16" xfId="1" applyBorder="1" applyAlignment="1">
      <alignment horizontal="center" vertical="center"/>
    </xf>
    <xf numFmtId="0" fontId="8" fillId="0" borderId="13" xfId="1" applyBorder="1" applyAlignment="1">
      <alignment horizontal="center" vertical="center"/>
    </xf>
    <xf numFmtId="49" fontId="8" fillId="0" borderId="75" xfId="1" applyNumberFormat="1" applyBorder="1" applyAlignment="1">
      <alignment horizontal="center" vertical="center"/>
    </xf>
    <xf numFmtId="49" fontId="8" fillId="0" borderId="76" xfId="1" applyNumberFormat="1" applyBorder="1" applyAlignment="1">
      <alignment horizontal="center" vertical="center"/>
    </xf>
    <xf numFmtId="0" fontId="8" fillId="0" borderId="65" xfId="1" applyBorder="1" applyAlignment="1">
      <alignment horizontal="center" vertical="center"/>
    </xf>
    <xf numFmtId="0" fontId="67" fillId="0" borderId="54" xfId="170" applyFont="1" applyFill="1" applyBorder="1" applyAlignment="1">
      <alignment horizontal="center" vertical="center"/>
    </xf>
    <xf numFmtId="0" fontId="51" fillId="0" borderId="14" xfId="142" applyFont="1" applyFill="1" applyBorder="1">
      <alignment vertical="center"/>
    </xf>
    <xf numFmtId="0" fontId="67" fillId="0" borderId="16" xfId="171" applyFont="1" applyFill="1" applyBorder="1" applyAlignment="1">
      <alignment horizontal="center" vertical="distributed"/>
    </xf>
    <xf numFmtId="0" fontId="67" fillId="0" borderId="13" xfId="171" applyFont="1" applyFill="1" applyBorder="1" applyAlignment="1">
      <alignment horizontal="center" vertical="distributed"/>
    </xf>
    <xf numFmtId="0" fontId="67" fillId="0" borderId="54" xfId="171" applyFont="1" applyFill="1" applyBorder="1" applyAlignment="1">
      <alignment horizontal="center" vertical="center"/>
    </xf>
    <xf numFmtId="0" fontId="67" fillId="0" borderId="14" xfId="171" applyFont="1" applyFill="1" applyBorder="1" applyAlignment="1">
      <alignment horizontal="center" vertical="center"/>
    </xf>
    <xf numFmtId="0" fontId="63" fillId="0" borderId="0" xfId="170" quotePrefix="1" applyFont="1" applyFill="1" applyAlignment="1">
      <alignment horizontal="center"/>
    </xf>
    <xf numFmtId="0" fontId="67" fillId="0" borderId="48" xfId="170" quotePrefix="1" applyFont="1" applyFill="1" applyBorder="1" applyAlignment="1">
      <alignment horizontal="center" vertical="center"/>
    </xf>
    <xf numFmtId="0" fontId="67" fillId="0" borderId="47" xfId="170" quotePrefix="1" applyFont="1" applyFill="1" applyBorder="1" applyAlignment="1">
      <alignment horizontal="center" vertical="center"/>
    </xf>
    <xf numFmtId="0" fontId="67" fillId="0" borderId="0" xfId="170" quotePrefix="1" applyFont="1" applyFill="1" applyBorder="1" applyAlignment="1">
      <alignment horizontal="center" vertical="center"/>
    </xf>
    <xf numFmtId="0" fontId="67" fillId="0" borderId="18" xfId="170" quotePrefix="1" applyFont="1" applyFill="1" applyBorder="1" applyAlignment="1">
      <alignment horizontal="center" vertical="center"/>
    </xf>
    <xf numFmtId="0" fontId="67" fillId="0" borderId="24" xfId="170" quotePrefix="1" applyFont="1" applyFill="1" applyBorder="1" applyAlignment="1">
      <alignment horizontal="center" vertical="center"/>
    </xf>
    <xf numFmtId="0" fontId="67" fillId="0" borderId="15" xfId="170" quotePrefix="1" applyFont="1" applyFill="1" applyBorder="1" applyAlignment="1">
      <alignment horizontal="center" vertical="center"/>
    </xf>
    <xf numFmtId="0" fontId="67" fillId="0" borderId="50" xfId="170" applyFont="1" applyFill="1" applyBorder="1" applyAlignment="1">
      <alignment horizontal="distributed" vertical="distributed"/>
    </xf>
    <xf numFmtId="0" fontId="67" fillId="0" borderId="16" xfId="170" applyFont="1" applyFill="1" applyBorder="1" applyAlignment="1">
      <alignment horizontal="distributed" vertical="distributed"/>
    </xf>
    <xf numFmtId="0" fontId="8" fillId="0" borderId="13" xfId="171" applyFont="1" applyFill="1" applyBorder="1" applyAlignment="1">
      <alignment horizontal="distributed" vertical="distributed"/>
    </xf>
    <xf numFmtId="0" fontId="67" fillId="0" borderId="48" xfId="170" applyFont="1" applyFill="1" applyBorder="1" applyAlignment="1">
      <alignment horizontal="center" vertical="center"/>
    </xf>
    <xf numFmtId="0" fontId="67" fillId="0" borderId="15" xfId="170" applyFont="1" applyFill="1" applyBorder="1" applyAlignment="1">
      <alignment horizontal="center" vertical="center"/>
    </xf>
    <xf numFmtId="0" fontId="67" fillId="0" borderId="50" xfId="170" applyFont="1" applyFill="1" applyBorder="1" applyAlignment="1">
      <alignment horizontal="center" vertical="center"/>
    </xf>
    <xf numFmtId="0" fontId="51" fillId="0" borderId="48" xfId="142" applyFont="1" applyFill="1" applyBorder="1">
      <alignment vertical="center"/>
    </xf>
    <xf numFmtId="0" fontId="51" fillId="0" borderId="47" xfId="142" applyFont="1" applyFill="1" applyBorder="1">
      <alignment vertical="center"/>
    </xf>
    <xf numFmtId="0" fontId="51" fillId="0" borderId="16" xfId="142" applyFont="1" applyFill="1" applyBorder="1">
      <alignment vertical="center"/>
    </xf>
    <xf numFmtId="0" fontId="51" fillId="0" borderId="0" xfId="142" applyFont="1" applyFill="1">
      <alignment vertical="center"/>
    </xf>
    <xf numFmtId="0" fontId="51" fillId="0" borderId="18" xfId="142" applyFont="1" applyFill="1" applyBorder="1">
      <alignment vertical="center"/>
    </xf>
    <xf numFmtId="0" fontId="67" fillId="0" borderId="50" xfId="170" applyFont="1" applyFill="1" applyBorder="1" applyAlignment="1">
      <alignment horizontal="center" vertical="center" wrapText="1"/>
    </xf>
    <xf numFmtId="0" fontId="133" fillId="0" borderId="50" xfId="170" applyFont="1" applyFill="1" applyBorder="1" applyAlignment="1">
      <alignment horizontal="center" vertical="center" wrapText="1"/>
    </xf>
    <xf numFmtId="0" fontId="133" fillId="0" borderId="48" xfId="170" applyFont="1" applyFill="1" applyBorder="1" applyAlignment="1">
      <alignment horizontal="center" vertical="center" wrapText="1"/>
    </xf>
    <xf numFmtId="0" fontId="133" fillId="0" borderId="47" xfId="170" applyFont="1" applyFill="1" applyBorder="1" applyAlignment="1">
      <alignment horizontal="center" vertical="center" wrapText="1"/>
    </xf>
    <xf numFmtId="0" fontId="133" fillId="0" borderId="16" xfId="170" applyFont="1" applyFill="1" applyBorder="1" applyAlignment="1">
      <alignment horizontal="center" vertical="center" wrapText="1"/>
    </xf>
    <xf numFmtId="0" fontId="133" fillId="0" borderId="0" xfId="170" applyFont="1" applyFill="1" applyBorder="1" applyAlignment="1">
      <alignment horizontal="center" vertical="center" wrapText="1"/>
    </xf>
    <xf numFmtId="0" fontId="133" fillId="0" borderId="18" xfId="170" applyFont="1" applyFill="1" applyBorder="1" applyAlignment="1">
      <alignment horizontal="center" vertical="center" wrapText="1"/>
    </xf>
    <xf numFmtId="49" fontId="67" fillId="0" borderId="50" xfId="170" applyNumberFormat="1" applyFont="1" applyFill="1" applyBorder="1" applyAlignment="1">
      <alignment horizontal="center" vertical="center"/>
    </xf>
    <xf numFmtId="49" fontId="67" fillId="0" borderId="48" xfId="170" applyNumberFormat="1" applyFont="1" applyFill="1" applyBorder="1" applyAlignment="1">
      <alignment horizontal="center" vertical="center"/>
    </xf>
    <xf numFmtId="49" fontId="67" fillId="0" borderId="47" xfId="170" applyNumberFormat="1" applyFont="1" applyFill="1" applyBorder="1" applyAlignment="1">
      <alignment horizontal="center" vertical="center"/>
    </xf>
    <xf numFmtId="49" fontId="67" fillId="0" borderId="16" xfId="170" applyNumberFormat="1" applyFont="1" applyFill="1" applyBorder="1" applyAlignment="1">
      <alignment horizontal="center" vertical="center"/>
    </xf>
    <xf numFmtId="49" fontId="67" fillId="0" borderId="0" xfId="170" applyNumberFormat="1" applyFont="1" applyFill="1" applyBorder="1" applyAlignment="1">
      <alignment horizontal="center" vertical="center"/>
    </xf>
    <xf numFmtId="49" fontId="67" fillId="0" borderId="18" xfId="170" applyNumberFormat="1" applyFont="1" applyFill="1" applyBorder="1" applyAlignment="1">
      <alignment horizontal="center" vertical="center"/>
    </xf>
    <xf numFmtId="0" fontId="67" fillId="0" borderId="47" xfId="170" applyFont="1" applyFill="1" applyBorder="1" applyAlignment="1">
      <alignment horizontal="center" vertical="center"/>
    </xf>
    <xf numFmtId="0" fontId="67" fillId="0" borderId="16" xfId="170" applyFont="1" applyFill="1" applyBorder="1" applyAlignment="1">
      <alignment horizontal="center" vertical="center"/>
    </xf>
    <xf numFmtId="0" fontId="67" fillId="0" borderId="0" xfId="170" applyFont="1" applyFill="1" applyBorder="1" applyAlignment="1">
      <alignment horizontal="center" vertical="center"/>
    </xf>
    <xf numFmtId="0" fontId="67" fillId="0" borderId="18" xfId="170" applyFont="1" applyFill="1" applyBorder="1" applyAlignment="1">
      <alignment horizontal="center" vertical="center"/>
    </xf>
    <xf numFmtId="0" fontId="67" fillId="0" borderId="50" xfId="170" quotePrefix="1" applyFont="1" applyFill="1" applyBorder="1" applyAlignment="1">
      <alignment horizontal="center" vertical="center"/>
    </xf>
    <xf numFmtId="0" fontId="67" fillId="0" borderId="16" xfId="170" quotePrefix="1" applyFont="1" applyFill="1" applyBorder="1" applyAlignment="1">
      <alignment horizontal="center" vertical="center"/>
    </xf>
    <xf numFmtId="0" fontId="67" fillId="0" borderId="17" xfId="171" applyFont="1" applyFill="1" applyBorder="1" applyAlignment="1">
      <alignment horizontal="center" vertical="center"/>
    </xf>
    <xf numFmtId="0" fontId="67" fillId="0" borderId="48" xfId="170" applyFont="1" applyFill="1" applyBorder="1" applyAlignment="1">
      <alignment horizontal="center" vertical="center" wrapText="1"/>
    </xf>
    <xf numFmtId="0" fontId="67" fillId="0" borderId="47" xfId="170" applyFont="1" applyFill="1" applyBorder="1" applyAlignment="1">
      <alignment horizontal="center" vertical="center" wrapText="1"/>
    </xf>
    <xf numFmtId="0" fontId="67" fillId="0" borderId="16" xfId="170" applyFont="1" applyFill="1" applyBorder="1" applyAlignment="1">
      <alignment horizontal="center" vertical="center" wrapText="1"/>
    </xf>
    <xf numFmtId="0" fontId="67" fillId="0" borderId="0" xfId="170" applyFont="1" applyFill="1" applyBorder="1" applyAlignment="1">
      <alignment horizontal="center" vertical="center" wrapText="1"/>
    </xf>
    <xf numFmtId="0" fontId="67" fillId="0" borderId="18" xfId="170" applyFont="1" applyFill="1" applyBorder="1" applyAlignment="1">
      <alignment horizontal="center" vertical="center" wrapText="1"/>
    </xf>
    <xf numFmtId="0" fontId="67" fillId="0" borderId="50" xfId="171" applyFont="1" applyFill="1" applyBorder="1" applyAlignment="1">
      <alignment horizontal="center" vertical="center"/>
    </xf>
    <xf numFmtId="0" fontId="67" fillId="0" borderId="13" xfId="171" applyFont="1" applyFill="1" applyBorder="1" applyAlignment="1">
      <alignment horizontal="center" vertical="center"/>
    </xf>
    <xf numFmtId="0" fontId="8" fillId="0" borderId="0" xfId="1" quotePrefix="1" applyAlignment="1">
      <alignment horizontal="right" vertical="center"/>
    </xf>
    <xf numFmtId="0" fontId="8" fillId="0" borderId="0" xfId="1" applyAlignment="1">
      <alignment horizontal="right" vertical="center"/>
    </xf>
    <xf numFmtId="0" fontId="63" fillId="0" borderId="0" xfId="1" quotePrefix="1" applyFont="1" applyAlignment="1">
      <alignment horizontal="center" vertical="center"/>
    </xf>
    <xf numFmtId="0" fontId="8" fillId="0" borderId="48" xfId="1" applyBorder="1" applyAlignment="1">
      <alignment horizontal="center" vertical="center"/>
    </xf>
    <xf numFmtId="0" fontId="8" fillId="0" borderId="24" xfId="1" applyBorder="1" applyAlignment="1">
      <alignment horizontal="center" vertical="center"/>
    </xf>
    <xf numFmtId="0" fontId="8" fillId="0" borderId="45" xfId="1" applyBorder="1" applyAlignment="1">
      <alignment horizontal="center" vertical="center" wrapText="1"/>
    </xf>
    <xf numFmtId="0" fontId="8" fillId="0" borderId="49" xfId="1" applyBorder="1" applyAlignment="1">
      <alignment horizontal="center" vertical="center" wrapText="1"/>
    </xf>
    <xf numFmtId="0" fontId="8" fillId="0" borderId="46" xfId="1" applyBorder="1" applyAlignment="1">
      <alignment horizontal="center" vertical="center" wrapText="1"/>
    </xf>
    <xf numFmtId="0" fontId="8" fillId="0" borderId="24" xfId="1" applyBorder="1" applyAlignment="1">
      <alignment horizontal="right" vertical="center"/>
    </xf>
    <xf numFmtId="0" fontId="8" fillId="0" borderId="24" xfId="1" quotePrefix="1" applyBorder="1" applyAlignment="1">
      <alignment horizontal="right" vertical="center"/>
    </xf>
    <xf numFmtId="0" fontId="8" fillId="0" borderId="48" xfId="1" quotePrefix="1" applyBorder="1" applyAlignment="1">
      <alignment horizontal="right" vertical="center"/>
    </xf>
    <xf numFmtId="0" fontId="89" fillId="0" borderId="0" xfId="172" applyFont="1" applyAlignment="1">
      <alignment horizontal="center" vertical="center"/>
    </xf>
    <xf numFmtId="0" fontId="8" fillId="0" borderId="48" xfId="172" applyBorder="1" applyAlignment="1">
      <alignment horizontal="center" vertical="distributed"/>
    </xf>
    <xf numFmtId="0" fontId="8" fillId="0" borderId="0" xfId="172" applyBorder="1" applyAlignment="1">
      <alignment horizontal="center" vertical="distributed"/>
    </xf>
    <xf numFmtId="0" fontId="8" fillId="0" borderId="24" xfId="172" applyBorder="1" applyAlignment="1">
      <alignment horizontal="center" vertical="distributed"/>
    </xf>
    <xf numFmtId="0" fontId="8" fillId="0" borderId="45" xfId="172" applyBorder="1" applyAlignment="1">
      <alignment horizontal="center" vertical="center"/>
    </xf>
    <xf numFmtId="0" fontId="8" fillId="0" borderId="78" xfId="172" applyBorder="1" applyAlignment="1">
      <alignment horizontal="center" vertical="center"/>
    </xf>
    <xf numFmtId="0" fontId="8" fillId="0" borderId="47" xfId="172" applyBorder="1" applyAlignment="1">
      <alignment horizontal="center" vertical="distributed" textRotation="255" wrapText="1"/>
    </xf>
    <xf numFmtId="0" fontId="8" fillId="0" borderId="18" xfId="172" applyBorder="1" applyAlignment="1">
      <alignment horizontal="center" vertical="distributed" textRotation="255" wrapText="1"/>
    </xf>
    <xf numFmtId="0" fontId="8" fillId="0" borderId="15" xfId="172" applyBorder="1" applyAlignment="1">
      <alignment horizontal="center" vertical="distributed" textRotation="255" wrapText="1"/>
    </xf>
    <xf numFmtId="0" fontId="8" fillId="0" borderId="54" xfId="172" applyBorder="1" applyAlignment="1">
      <alignment horizontal="center" vertical="distributed" textRotation="255" wrapText="1"/>
    </xf>
    <xf numFmtId="0" fontId="8" fillId="0" borderId="17" xfId="172" applyBorder="1" applyAlignment="1">
      <alignment horizontal="center" vertical="distributed" textRotation="255" wrapText="1"/>
    </xf>
    <xf numFmtId="0" fontId="8" fillId="0" borderId="14" xfId="172" applyBorder="1" applyAlignment="1">
      <alignment horizontal="center" vertical="distributed" textRotation="255" wrapText="1"/>
    </xf>
    <xf numFmtId="0" fontId="8" fillId="0" borderId="50" xfId="172" applyBorder="1" applyAlignment="1">
      <alignment horizontal="center" vertical="distributed" textRotation="255" wrapText="1"/>
    </xf>
    <xf numFmtId="0" fontId="8" fillId="0" borderId="16" xfId="172" applyBorder="1" applyAlignment="1">
      <alignment horizontal="center" vertical="distributed" textRotation="255" wrapText="1"/>
    </xf>
    <xf numFmtId="0" fontId="8" fillId="0" borderId="13" xfId="172" applyBorder="1" applyAlignment="1">
      <alignment horizontal="center" vertical="distributed" textRotation="255" wrapText="1"/>
    </xf>
    <xf numFmtId="0" fontId="8" fillId="0" borderId="55" xfId="172" applyBorder="1" applyAlignment="1">
      <alignment horizontal="center" vertical="distributed" textRotation="255" wrapText="1"/>
    </xf>
    <xf numFmtId="0" fontId="8" fillId="0" borderId="57" xfId="172" applyBorder="1" applyAlignment="1">
      <alignment horizontal="center" vertical="distributed" textRotation="255" wrapText="1"/>
    </xf>
    <xf numFmtId="0" fontId="8" fillId="0" borderId="56" xfId="172" applyBorder="1" applyAlignment="1">
      <alignment horizontal="center" vertical="distributed" textRotation="255" wrapText="1"/>
    </xf>
    <xf numFmtId="49" fontId="140" fillId="0" borderId="0" xfId="142" applyNumberFormat="1" applyFont="1" applyAlignment="1">
      <alignment horizontal="center" vertical="center" wrapText="1"/>
    </xf>
    <xf numFmtId="0" fontId="8" fillId="0" borderId="0" xfId="161" quotePrefix="1" applyAlignment="1">
      <alignment horizontal="center" vertical="center"/>
    </xf>
    <xf numFmtId="0" fontId="8" fillId="0" borderId="15" xfId="142" applyFont="1" applyBorder="1" applyAlignment="1">
      <alignment horizontal="center" vertical="center"/>
    </xf>
    <xf numFmtId="0" fontId="8" fillId="0" borderId="24" xfId="161" quotePrefix="1" applyBorder="1" applyAlignment="1">
      <alignment horizontal="center" vertical="center"/>
    </xf>
    <xf numFmtId="0" fontId="8" fillId="0" borderId="18" xfId="142" applyFont="1" applyBorder="1" applyAlignment="1">
      <alignment horizontal="center" vertical="center"/>
    </xf>
    <xf numFmtId="0" fontId="8" fillId="0" borderId="46" xfId="142" applyFont="1" applyBorder="1" applyAlignment="1">
      <alignment horizontal="distributed" vertical="center" indent="6"/>
    </xf>
    <xf numFmtId="0" fontId="8" fillId="0" borderId="45" xfId="142" applyFont="1" applyBorder="1" applyAlignment="1">
      <alignment horizontal="distributed" vertical="center" indent="6"/>
    </xf>
    <xf numFmtId="0" fontId="8" fillId="0" borderId="46" xfId="142" applyFont="1" applyBorder="1" applyAlignment="1">
      <alignment horizontal="distributed" vertical="center" indent="4"/>
    </xf>
    <xf numFmtId="0" fontId="8" fillId="0" borderId="49" xfId="142" applyFont="1" applyBorder="1" applyAlignment="1">
      <alignment horizontal="distributed" vertical="center" indent="4"/>
    </xf>
    <xf numFmtId="0" fontId="8" fillId="0" borderId="54" xfId="142" applyFont="1" applyBorder="1" applyAlignment="1">
      <alignment horizontal="center" vertical="center"/>
    </xf>
    <xf numFmtId="0" fontId="8" fillId="0" borderId="14" xfId="142" applyFont="1" applyBorder="1" applyAlignment="1">
      <alignment horizontal="center" vertical="center"/>
    </xf>
    <xf numFmtId="0" fontId="8" fillId="0" borderId="50" xfId="142" applyFont="1" applyBorder="1" applyAlignment="1">
      <alignment horizontal="center" vertical="center"/>
    </xf>
    <xf numFmtId="0" fontId="8" fillId="0" borderId="13" xfId="142" applyFont="1" applyBorder="1" applyAlignment="1">
      <alignment horizontal="center" vertical="center"/>
    </xf>
    <xf numFmtId="0" fontId="8" fillId="0" borderId="0" xfId="161" quotePrefix="1" applyAlignment="1">
      <alignment horizontal="right" vertical="center"/>
    </xf>
    <xf numFmtId="0" fontId="8" fillId="0" borderId="24" xfId="161" quotePrefix="1" applyBorder="1" applyAlignment="1">
      <alignment horizontal="right" vertical="center"/>
    </xf>
    <xf numFmtId="0" fontId="67" fillId="0" borderId="0" xfId="175" applyFont="1" applyAlignment="1">
      <alignment horizontal="left" vertical="center"/>
    </xf>
    <xf numFmtId="0" fontId="63" fillId="0" borderId="0" xfId="175" applyFont="1" applyAlignment="1">
      <alignment horizontal="center" vertical="center"/>
    </xf>
    <xf numFmtId="0" fontId="8" fillId="0" borderId="48" xfId="175" applyFont="1" applyBorder="1" applyAlignment="1">
      <alignment horizontal="center" vertical="center"/>
    </xf>
    <xf numFmtId="0" fontId="8" fillId="0" borderId="24" xfId="175" applyFont="1" applyBorder="1" applyAlignment="1">
      <alignment horizontal="center" vertical="center"/>
    </xf>
    <xf numFmtId="0" fontId="8" fillId="0" borderId="45" xfId="175" applyFont="1" applyBorder="1" applyAlignment="1">
      <alignment horizontal="center" vertical="center"/>
    </xf>
    <xf numFmtId="0" fontId="8" fillId="0" borderId="78" xfId="175" applyFont="1" applyBorder="1" applyAlignment="1">
      <alignment horizontal="center" vertical="center"/>
    </xf>
    <xf numFmtId="0" fontId="8" fillId="0" borderId="49" xfId="175" applyFont="1" applyBorder="1" applyAlignment="1">
      <alignment horizontal="center" vertical="center"/>
    </xf>
    <xf numFmtId="0" fontId="8" fillId="0" borderId="46" xfId="175" applyFont="1" applyBorder="1" applyAlignment="1">
      <alignment horizontal="center" vertical="center"/>
    </xf>
    <xf numFmtId="0" fontId="82" fillId="0" borderId="0" xfId="175" applyFont="1" applyAlignment="1">
      <alignment horizontal="left" vertical="center"/>
    </xf>
    <xf numFmtId="49" fontId="63" fillId="0" borderId="0" xfId="177" applyNumberFormat="1" applyFont="1" applyAlignment="1">
      <alignment horizontal="center" vertical="center"/>
    </xf>
    <xf numFmtId="0" fontId="84" fillId="0" borderId="48" xfId="177" applyFont="1" applyBorder="1" applyAlignment="1">
      <alignment horizontal="center" vertical="center"/>
    </xf>
    <xf numFmtId="0" fontId="84" fillId="0" borderId="0" xfId="177" applyFont="1" applyBorder="1" applyAlignment="1">
      <alignment horizontal="center" vertical="center"/>
    </xf>
    <xf numFmtId="0" fontId="84" fillId="0" borderId="24" xfId="177" applyFont="1" applyBorder="1" applyAlignment="1">
      <alignment horizontal="center" vertical="center"/>
    </xf>
    <xf numFmtId="49" fontId="84" fillId="0" borderId="47" xfId="178" applyNumberFormat="1" applyFont="1" applyBorder="1" applyAlignment="1">
      <alignment horizontal="center" vertical="distributed" textRotation="255"/>
    </xf>
    <xf numFmtId="49" fontId="84" fillId="0" borderId="18" xfId="178" applyNumberFormat="1" applyFont="1" applyBorder="1" applyAlignment="1">
      <alignment horizontal="center" vertical="distributed" textRotation="255"/>
    </xf>
    <xf numFmtId="49" fontId="84" fillId="0" borderId="15" xfId="178" applyNumberFormat="1" applyFont="1" applyBorder="1" applyAlignment="1">
      <alignment horizontal="center" vertical="distributed" textRotation="255"/>
    </xf>
    <xf numFmtId="0" fontId="84" fillId="0" borderId="47" xfId="178" applyFont="1" applyBorder="1" applyAlignment="1">
      <alignment horizontal="center" vertical="distributed" textRotation="255"/>
    </xf>
    <xf numFmtId="0" fontId="84" fillId="0" borderId="18" xfId="178" applyFont="1" applyBorder="1" applyAlignment="1">
      <alignment horizontal="center" vertical="distributed" textRotation="255"/>
    </xf>
    <xf numFmtId="0" fontId="84" fillId="0" borderId="15" xfId="178" applyFont="1" applyBorder="1" applyAlignment="1">
      <alignment horizontal="center" vertical="distributed" textRotation="255"/>
    </xf>
    <xf numFmtId="0" fontId="84" fillId="0" borderId="54" xfId="178" applyFont="1" applyBorder="1" applyAlignment="1">
      <alignment horizontal="center" vertical="distributed" textRotation="255"/>
    </xf>
    <xf numFmtId="0" fontId="84" fillId="0" borderId="17" xfId="178" applyFont="1" applyBorder="1" applyAlignment="1">
      <alignment horizontal="center" vertical="distributed" textRotation="255"/>
    </xf>
    <xf numFmtId="0" fontId="84" fillId="0" borderId="14" xfId="178" applyFont="1" applyBorder="1" applyAlignment="1">
      <alignment horizontal="center" vertical="distributed" textRotation="255"/>
    </xf>
    <xf numFmtId="0" fontId="84" fillId="0" borderId="50" xfId="178" applyFont="1" applyBorder="1" applyAlignment="1">
      <alignment horizontal="center" vertical="distributed" textRotation="255"/>
    </xf>
    <xf numFmtId="0" fontId="84" fillId="0" borderId="16" xfId="178" applyFont="1" applyBorder="1" applyAlignment="1">
      <alignment horizontal="center" vertical="distributed" textRotation="255"/>
    </xf>
    <xf numFmtId="0" fontId="84" fillId="0" borderId="13" xfId="178" applyFont="1" applyBorder="1" applyAlignment="1">
      <alignment horizontal="center" vertical="distributed" textRotation="255"/>
    </xf>
    <xf numFmtId="0" fontId="84" fillId="0" borderId="54" xfId="178" applyFont="1" applyBorder="1" applyAlignment="1">
      <alignment horizontal="center" vertical="distributed" textRotation="255" wrapText="1"/>
    </xf>
    <xf numFmtId="0" fontId="67" fillId="0" borderId="0" xfId="177" applyFont="1" applyAlignment="1">
      <alignment horizontal="left" vertical="center" wrapText="1"/>
    </xf>
    <xf numFmtId="0" fontId="67" fillId="0" borderId="48" xfId="177" applyFont="1" applyBorder="1" applyAlignment="1">
      <alignment horizontal="left" vertical="center"/>
    </xf>
    <xf numFmtId="0" fontId="63" fillId="0" borderId="0" xfId="179" applyFont="1" applyAlignment="1">
      <alignment horizontal="center" vertical="center"/>
    </xf>
    <xf numFmtId="0" fontId="8" fillId="0" borderId="48" xfId="179" applyFont="1" applyBorder="1" applyAlignment="1">
      <alignment horizontal="center" vertical="center"/>
    </xf>
    <xf numFmtId="0" fontId="8" fillId="0" borderId="0" xfId="179" applyFont="1" applyBorder="1" applyAlignment="1">
      <alignment horizontal="center" vertical="center"/>
    </xf>
    <xf numFmtId="0" fontId="8" fillId="0" borderId="24" xfId="179" applyFont="1" applyBorder="1" applyAlignment="1">
      <alignment horizontal="center" vertical="center"/>
    </xf>
    <xf numFmtId="0" fontId="8" fillId="0" borderId="47" xfId="179" applyFont="1" applyBorder="1" applyAlignment="1">
      <alignment horizontal="distributed" vertical="distributed" textRotation="255"/>
    </xf>
    <xf numFmtId="0" fontId="8" fillId="0" borderId="18" xfId="179" applyFont="1" applyBorder="1" applyAlignment="1">
      <alignment horizontal="distributed" vertical="distributed" textRotation="255"/>
    </xf>
    <xf numFmtId="0" fontId="8" fillId="0" borderId="15" xfId="179" applyFont="1" applyBorder="1" applyAlignment="1">
      <alignment horizontal="distributed" vertical="distributed" textRotation="255"/>
    </xf>
    <xf numFmtId="0" fontId="8" fillId="0" borderId="54" xfId="179" applyFont="1" applyBorder="1" applyAlignment="1">
      <alignment horizontal="center" vertical="distributed" textRotation="255" wrapText="1"/>
    </xf>
    <xf numFmtId="0" fontId="8" fillId="0" borderId="17" xfId="179" applyFont="1" applyBorder="1" applyAlignment="1">
      <alignment horizontal="center" vertical="distributed" textRotation="255"/>
    </xf>
    <xf numFmtId="0" fontId="8" fillId="0" borderId="14" xfId="179" applyFont="1" applyBorder="1" applyAlignment="1">
      <alignment horizontal="center" vertical="distributed" textRotation="255"/>
    </xf>
    <xf numFmtId="0" fontId="8" fillId="0" borderId="54" xfId="179" applyFont="1" applyBorder="1" applyAlignment="1">
      <alignment horizontal="distributed" vertical="distributed" textRotation="255"/>
    </xf>
    <xf numFmtId="0" fontId="8" fillId="0" borderId="17" xfId="179" applyFont="1" applyBorder="1" applyAlignment="1">
      <alignment horizontal="distributed" vertical="distributed" textRotation="255"/>
    </xf>
    <xf numFmtId="0" fontId="8" fillId="0" borderId="14" xfId="179" applyFont="1" applyBorder="1" applyAlignment="1">
      <alignment horizontal="distributed" vertical="distributed" textRotation="255"/>
    </xf>
    <xf numFmtId="0" fontId="8" fillId="0" borderId="50" xfId="179" applyFont="1" applyBorder="1" applyAlignment="1">
      <alignment horizontal="distributed" vertical="distributed" textRotation="255"/>
    </xf>
    <xf numFmtId="0" fontId="8" fillId="0" borderId="16" xfId="179" applyFont="1" applyBorder="1" applyAlignment="1">
      <alignment horizontal="distributed" vertical="distributed" textRotation="255"/>
    </xf>
    <xf numFmtId="0" fontId="8" fillId="0" borderId="13" xfId="179" applyFont="1" applyBorder="1" applyAlignment="1">
      <alignment horizontal="distributed" vertical="distributed" textRotation="255"/>
    </xf>
    <xf numFmtId="0" fontId="8" fillId="0" borderId="50" xfId="179" applyFont="1" applyBorder="1" applyAlignment="1">
      <alignment horizontal="center" vertical="distributed" textRotation="255"/>
    </xf>
    <xf numFmtId="0" fontId="51" fillId="0" borderId="16" xfId="142" applyFont="1" applyBorder="1" applyAlignment="1">
      <alignment horizontal="center" vertical="center"/>
    </xf>
    <xf numFmtId="0" fontId="51" fillId="0" borderId="13" xfId="142" applyFont="1" applyBorder="1" applyAlignment="1">
      <alignment horizontal="center" vertical="center"/>
    </xf>
    <xf numFmtId="0" fontId="67" fillId="0" borderId="0" xfId="142" applyFont="1" applyAlignment="1">
      <alignment horizontal="left" vertical="center"/>
    </xf>
    <xf numFmtId="0" fontId="8" fillId="0" borderId="0" xfId="161" quotePrefix="1" applyBorder="1" applyAlignment="1">
      <alignment horizontal="center" vertical="center"/>
    </xf>
    <xf numFmtId="0" fontId="7" fillId="0" borderId="48" xfId="142" applyFont="1" applyBorder="1" applyAlignment="1">
      <alignment horizontal="center" vertical="center"/>
    </xf>
    <xf numFmtId="49" fontId="7" fillId="0" borderId="54" xfId="142" applyNumberFormat="1" applyFont="1" applyBorder="1" applyAlignment="1">
      <alignment horizontal="center" vertical="center"/>
    </xf>
    <xf numFmtId="49" fontId="8" fillId="0" borderId="14" xfId="142" applyNumberFormat="1" applyFont="1" applyBorder="1" applyAlignment="1">
      <alignment horizontal="center" vertical="center"/>
    </xf>
    <xf numFmtId="49" fontId="8" fillId="0" borderId="54" xfId="142" applyNumberFormat="1" applyFont="1" applyBorder="1" applyAlignment="1">
      <alignment horizontal="center" vertical="center"/>
    </xf>
    <xf numFmtId="49" fontId="8" fillId="0" borderId="50" xfId="142" applyNumberFormat="1" applyFont="1" applyBorder="1" applyAlignment="1">
      <alignment horizontal="center" vertical="center"/>
    </xf>
    <xf numFmtId="49" fontId="8" fillId="0" borderId="13" xfId="142" applyNumberFormat="1" applyFont="1" applyBorder="1" applyAlignment="1">
      <alignment horizontal="center" vertical="center"/>
    </xf>
    <xf numFmtId="0" fontId="8" fillId="0" borderId="0" xfId="161" quotePrefix="1" applyFont="1" applyAlignment="1">
      <alignment horizontal="center" vertical="center"/>
    </xf>
    <xf numFmtId="0" fontId="82" fillId="0" borderId="0" xfId="180" applyFont="1" applyAlignment="1">
      <alignment vertical="center" wrapText="1"/>
    </xf>
    <xf numFmtId="0" fontId="67" fillId="0" borderId="0" xfId="180" applyFont="1" applyAlignment="1">
      <alignment vertical="center" wrapText="1"/>
    </xf>
    <xf numFmtId="0" fontId="8" fillId="0" borderId="24" xfId="161" quotePrefix="1" applyFont="1" applyBorder="1" applyAlignment="1">
      <alignment horizontal="center" vertical="center"/>
    </xf>
    <xf numFmtId="49" fontId="8" fillId="0" borderId="48" xfId="142" quotePrefix="1" applyNumberFormat="1" applyFont="1" applyBorder="1" applyAlignment="1">
      <alignment horizontal="center" vertical="center"/>
    </xf>
    <xf numFmtId="49" fontId="132" fillId="0" borderId="0" xfId="142" applyNumberFormat="1" applyFont="1" applyAlignment="1" applyProtection="1">
      <alignment horizontal="right" vertical="center"/>
      <protection locked="0"/>
    </xf>
    <xf numFmtId="0" fontId="8" fillId="0" borderId="54" xfId="182" applyFont="1" applyBorder="1" applyAlignment="1">
      <alignment horizontal="center" vertical="distributed" textRotation="255"/>
    </xf>
    <xf numFmtId="0" fontId="8" fillId="0" borderId="17" xfId="182" applyFont="1" applyBorder="1" applyAlignment="1">
      <alignment horizontal="center" vertical="distributed" textRotation="255"/>
    </xf>
    <xf numFmtId="0" fontId="8" fillId="0" borderId="14" xfId="182" applyFont="1" applyBorder="1" applyAlignment="1">
      <alignment horizontal="center" vertical="distributed" textRotation="255"/>
    </xf>
    <xf numFmtId="0" fontId="63" fillId="0" borderId="0" xfId="182" applyFont="1" applyAlignment="1">
      <alignment horizontal="center" vertical="center"/>
    </xf>
    <xf numFmtId="191" fontId="8" fillId="0" borderId="24" xfId="182" applyNumberFormat="1" applyFont="1" applyBorder="1" applyAlignment="1">
      <alignment horizontal="center"/>
    </xf>
    <xf numFmtId="0" fontId="84" fillId="0" borderId="48" xfId="182" applyFont="1" applyBorder="1" applyAlignment="1">
      <alignment horizontal="center" vertical="center"/>
    </xf>
    <xf numFmtId="0" fontId="84" fillId="0" borderId="0" xfId="182" applyFont="1" applyBorder="1" applyAlignment="1">
      <alignment horizontal="center" vertical="center"/>
    </xf>
    <xf numFmtId="0" fontId="84" fillId="0" borderId="24" xfId="182" applyFont="1" applyBorder="1" applyAlignment="1">
      <alignment horizontal="center" vertical="center"/>
    </xf>
    <xf numFmtId="0" fontId="8" fillId="0" borderId="47" xfId="182" applyFont="1" applyBorder="1" applyAlignment="1">
      <alignment horizontal="center" vertical="distributed" textRotation="255"/>
    </xf>
    <xf numFmtId="0" fontId="8" fillId="0" borderId="18" xfId="182" applyFont="1" applyBorder="1" applyAlignment="1">
      <alignment horizontal="center" vertical="distributed" textRotation="255"/>
    </xf>
    <xf numFmtId="0" fontId="8" fillId="0" borderId="15" xfId="182" applyFont="1" applyBorder="1" applyAlignment="1">
      <alignment horizontal="center" vertical="distributed" textRotation="255"/>
    </xf>
    <xf numFmtId="0" fontId="8" fillId="0" borderId="50" xfId="182" applyFont="1" applyBorder="1" applyAlignment="1">
      <alignment horizontal="distributed" vertical="center"/>
    </xf>
    <xf numFmtId="0" fontId="8" fillId="0" borderId="48" xfId="182" applyFont="1" applyBorder="1" applyAlignment="1">
      <alignment horizontal="distributed" vertical="center"/>
    </xf>
    <xf numFmtId="0" fontId="8" fillId="0" borderId="47" xfId="182" applyFont="1" applyBorder="1" applyAlignment="1">
      <alignment horizontal="distributed" vertical="center"/>
    </xf>
    <xf numFmtId="0" fontId="8" fillId="0" borderId="13" xfId="182" applyFont="1" applyBorder="1" applyAlignment="1">
      <alignment horizontal="distributed" vertical="center"/>
    </xf>
    <xf numFmtId="0" fontId="8" fillId="0" borderId="24" xfId="182" applyFont="1" applyBorder="1" applyAlignment="1">
      <alignment horizontal="distributed" vertical="center"/>
    </xf>
    <xf numFmtId="0" fontId="8" fillId="0" borderId="15" xfId="182" applyFont="1" applyBorder="1" applyAlignment="1">
      <alignment horizontal="distributed" vertical="center"/>
    </xf>
    <xf numFmtId="0" fontId="8" fillId="0" borderId="47" xfId="182" applyFont="1" applyBorder="1" applyAlignment="1">
      <alignment horizontal="center" vertical="distributed" textRotation="255" wrapText="1"/>
    </xf>
    <xf numFmtId="0" fontId="8" fillId="0" borderId="18" xfId="182" applyFont="1" applyBorder="1" applyAlignment="1">
      <alignment horizontal="center" vertical="distributed" textRotation="255" wrapText="1"/>
    </xf>
    <xf numFmtId="0" fontId="8" fillId="0" borderId="15" xfId="182" applyFont="1" applyBorder="1" applyAlignment="1">
      <alignment horizontal="center" vertical="distributed" textRotation="255" wrapText="1"/>
    </xf>
    <xf numFmtId="0" fontId="8" fillId="0" borderId="50" xfId="182" applyFont="1" applyBorder="1" applyAlignment="1">
      <alignment horizontal="center" vertical="distributed" textRotation="255" wrapText="1"/>
    </xf>
    <xf numFmtId="0" fontId="8" fillId="0" borderId="16" xfId="182" applyFont="1" applyBorder="1" applyAlignment="1">
      <alignment horizontal="center" vertical="distributed" textRotation="255" wrapText="1"/>
    </xf>
    <xf numFmtId="0" fontId="8" fillId="0" borderId="13" xfId="182" applyFont="1" applyBorder="1" applyAlignment="1">
      <alignment horizontal="center" vertical="distributed" textRotation="255" wrapText="1"/>
    </xf>
    <xf numFmtId="0" fontId="8" fillId="0" borderId="50" xfId="182" applyFont="1" applyBorder="1" applyAlignment="1">
      <alignment horizontal="distributed" vertical="center" wrapText="1"/>
    </xf>
    <xf numFmtId="49" fontId="82" fillId="0" borderId="0" xfId="182" applyNumberFormat="1" applyFont="1" applyAlignment="1">
      <alignment vertical="center" wrapText="1"/>
    </xf>
    <xf numFmtId="49" fontId="67" fillId="0" borderId="0" xfId="182" applyNumberFormat="1" applyFont="1" applyAlignment="1">
      <alignment vertical="center"/>
    </xf>
    <xf numFmtId="191" fontId="8" fillId="0" borderId="50" xfId="182" applyNumberFormat="1" applyFont="1" applyBorder="1" applyAlignment="1">
      <alignment horizontal="center" vertical="distributed" textRotation="255"/>
    </xf>
    <xf numFmtId="191" fontId="8" fillId="0" borderId="16" xfId="182" applyNumberFormat="1" applyFont="1" applyBorder="1" applyAlignment="1">
      <alignment horizontal="center" vertical="distributed" textRotation="255"/>
    </xf>
    <xf numFmtId="191" fontId="8" fillId="0" borderId="13" xfId="182" applyNumberFormat="1" applyFont="1" applyBorder="1" applyAlignment="1">
      <alignment horizontal="center" vertical="distributed" textRotation="255"/>
    </xf>
    <xf numFmtId="214" fontId="8" fillId="0" borderId="0" xfId="142" quotePrefix="1" applyNumberFormat="1" applyFont="1" applyAlignment="1">
      <alignment horizontal="center" vertical="center"/>
    </xf>
    <xf numFmtId="214" fontId="8" fillId="0" borderId="18" xfId="142" quotePrefix="1" applyNumberFormat="1" applyFont="1" applyBorder="1" applyAlignment="1">
      <alignment horizontal="center" vertical="center"/>
    </xf>
    <xf numFmtId="0" fontId="8" fillId="0" borderId="48" xfId="183" applyFont="1" applyBorder="1" applyAlignment="1">
      <alignment horizontal="center" vertical="distributed" textRotation="255"/>
    </xf>
    <xf numFmtId="0" fontId="8" fillId="0" borderId="0" xfId="183" applyFont="1" applyAlignment="1">
      <alignment horizontal="center" vertical="distributed" textRotation="255"/>
    </xf>
    <xf numFmtId="0" fontId="8" fillId="0" borderId="16" xfId="183" applyFont="1" applyBorder="1" applyAlignment="1">
      <alignment horizontal="center" vertical="distributed" textRotation="255"/>
    </xf>
    <xf numFmtId="0" fontId="8" fillId="0" borderId="13" xfId="183" applyFont="1" applyBorder="1" applyAlignment="1">
      <alignment horizontal="center" vertical="distributed" textRotation="255"/>
    </xf>
    <xf numFmtId="0" fontId="8" fillId="0" borderId="55" xfId="182" applyFont="1" applyBorder="1" applyAlignment="1">
      <alignment horizontal="center" vertical="distributed" textRotation="255" wrapText="1"/>
    </xf>
    <xf numFmtId="0" fontId="8" fillId="0" borderId="57" xfId="182" applyFont="1" applyBorder="1" applyAlignment="1">
      <alignment horizontal="center" vertical="distributed" textRotation="255" wrapText="1"/>
    </xf>
    <xf numFmtId="0" fontId="8" fillId="0" borderId="56" xfId="182" applyFont="1" applyBorder="1" applyAlignment="1">
      <alignment horizontal="center" vertical="distributed" textRotation="255" wrapText="1"/>
    </xf>
    <xf numFmtId="0" fontId="8" fillId="0" borderId="48" xfId="182" applyFont="1" applyBorder="1" applyAlignment="1">
      <alignment horizontal="center" vertical="center"/>
    </xf>
    <xf numFmtId="0" fontId="8" fillId="0" borderId="0" xfId="182" applyFont="1" applyAlignment="1">
      <alignment horizontal="center" vertical="center"/>
    </xf>
    <xf numFmtId="0" fontId="67" fillId="0" borderId="54" xfId="182" applyFont="1" applyBorder="1" applyAlignment="1">
      <alignment horizontal="center" vertical="distributed" textRotation="255" wrapText="1"/>
    </xf>
    <xf numFmtId="0" fontId="67" fillId="0" borderId="17" xfId="182" applyFont="1" applyBorder="1" applyAlignment="1">
      <alignment horizontal="center" vertical="distributed" textRotation="255"/>
    </xf>
    <xf numFmtId="0" fontId="67" fillId="0" borderId="14" xfId="182" applyFont="1" applyBorder="1" applyAlignment="1">
      <alignment horizontal="center" vertical="distributed" textRotation="255"/>
    </xf>
    <xf numFmtId="0" fontId="8" fillId="0" borderId="54" xfId="182" applyFont="1" applyBorder="1" applyAlignment="1">
      <alignment horizontal="center" vertical="distributed" textRotation="255" wrapText="1"/>
    </xf>
    <xf numFmtId="214" fontId="8" fillId="0" borderId="24" xfId="142" quotePrefix="1" applyNumberFormat="1" applyFont="1" applyBorder="1" applyAlignment="1">
      <alignment horizontal="center" vertical="center"/>
    </xf>
    <xf numFmtId="214" fontId="8" fillId="0" borderId="15" xfId="142" quotePrefix="1" applyNumberFormat="1" applyFont="1" applyBorder="1" applyAlignment="1">
      <alignment horizontal="center" vertical="center"/>
    </xf>
    <xf numFmtId="218" fontId="8" fillId="0" borderId="69" xfId="184" applyNumberFormat="1" applyBorder="1" applyAlignment="1">
      <alignment horizontal="center" vertical="center"/>
    </xf>
    <xf numFmtId="218" fontId="8" fillId="0" borderId="67" xfId="184" applyNumberFormat="1" applyBorder="1" applyAlignment="1">
      <alignment horizontal="center" vertical="center"/>
    </xf>
    <xf numFmtId="218" fontId="8" fillId="0" borderId="68" xfId="184" applyNumberFormat="1" applyBorder="1" applyAlignment="1">
      <alignment horizontal="center" vertical="center"/>
    </xf>
    <xf numFmtId="0" fontId="63" fillId="0" borderId="0" xfId="184" applyFont="1" applyAlignment="1">
      <alignment horizontal="center" vertical="top"/>
    </xf>
    <xf numFmtId="0" fontId="8" fillId="0" borderId="47" xfId="184" applyBorder="1" applyAlignment="1">
      <alignment horizontal="center" vertical="center" wrapText="1"/>
    </xf>
    <xf numFmtId="0" fontId="8" fillId="0" borderId="15" xfId="184" applyBorder="1"/>
    <xf numFmtId="218" fontId="8" fillId="0" borderId="46" xfId="184" applyNumberFormat="1" applyBorder="1" applyAlignment="1">
      <alignment horizontal="center" vertical="center"/>
    </xf>
    <xf numFmtId="218" fontId="8" fillId="0" borderId="45" xfId="184" applyNumberFormat="1" applyBorder="1" applyAlignment="1">
      <alignment horizontal="center" vertical="center"/>
    </xf>
    <xf numFmtId="218" fontId="8" fillId="0" borderId="49" xfId="184" applyNumberFormat="1" applyBorder="1" applyAlignment="1">
      <alignment horizontal="center" vertical="center"/>
    </xf>
    <xf numFmtId="0" fontId="8" fillId="0" borderId="83" xfId="184" applyBorder="1" applyAlignment="1">
      <alignment horizontal="center" vertical="center" wrapText="1"/>
    </xf>
    <xf numFmtId="0" fontId="63" fillId="0" borderId="24" xfId="184" applyFont="1" applyBorder="1" applyAlignment="1">
      <alignment horizontal="center" vertical="center"/>
    </xf>
    <xf numFmtId="0" fontId="8" fillId="0" borderId="48" xfId="184" applyBorder="1" applyAlignment="1">
      <alignment horizontal="center" vertical="center" wrapText="1"/>
    </xf>
    <xf numFmtId="0" fontId="8" fillId="0" borderId="24" xfId="184" applyBorder="1" applyAlignment="1">
      <alignment horizontal="center" vertical="center" wrapText="1"/>
    </xf>
    <xf numFmtId="0" fontId="8" fillId="0" borderId="49" xfId="184" applyBorder="1" applyAlignment="1">
      <alignment horizontal="center" vertical="distributed" textRotation="255" wrapText="1" justifyLastLine="1"/>
    </xf>
    <xf numFmtId="0" fontId="8" fillId="0" borderId="65" xfId="184" applyBorder="1" applyAlignment="1">
      <alignment horizontal="center" vertical="distributed" textRotation="255" wrapText="1" justifyLastLine="1"/>
    </xf>
    <xf numFmtId="0" fontId="8" fillId="0" borderId="65" xfId="184" applyBorder="1" applyAlignment="1">
      <alignment horizontal="center" vertical="distributed" textRotation="255" wrapText="1"/>
    </xf>
    <xf numFmtId="0" fontId="8" fillId="0" borderId="65" xfId="184" applyBorder="1" applyAlignment="1">
      <alignment horizontal="center"/>
    </xf>
    <xf numFmtId="0" fontId="8" fillId="0" borderId="46" xfId="184" applyBorder="1" applyAlignment="1">
      <alignment horizontal="center"/>
    </xf>
    <xf numFmtId="0" fontId="8" fillId="0" borderId="0" xfId="142" applyFont="1" applyAlignment="1">
      <alignment horizontal="center" vertical="center"/>
    </xf>
    <xf numFmtId="0" fontId="63" fillId="0" borderId="0" xfId="184" applyFont="1" applyAlignment="1">
      <alignment horizontal="center" vertical="center"/>
    </xf>
    <xf numFmtId="0" fontId="8" fillId="0" borderId="48" xfId="184" applyBorder="1" applyAlignment="1">
      <alignment horizontal="center" vertical="center"/>
    </xf>
    <xf numFmtId="0" fontId="8" fillId="0" borderId="0" xfId="184" applyBorder="1" applyAlignment="1">
      <alignment horizontal="center" vertical="center"/>
    </xf>
    <xf numFmtId="0" fontId="8" fillId="0" borderId="24" xfId="184" applyBorder="1" applyAlignment="1">
      <alignment horizontal="center" vertical="center"/>
    </xf>
    <xf numFmtId="0" fontId="8" fillId="0" borderId="48" xfId="184" applyBorder="1" applyAlignment="1">
      <alignment horizontal="center" vertical="distributed" textRotation="255" wrapText="1"/>
    </xf>
    <xf numFmtId="0" fontId="8" fillId="0" borderId="0" xfId="184" applyBorder="1" applyAlignment="1">
      <alignment horizontal="center" vertical="distributed" textRotation="255" wrapText="1"/>
    </xf>
    <xf numFmtId="0" fontId="8" fillId="0" borderId="15" xfId="184" applyBorder="1" applyAlignment="1">
      <alignment horizontal="center" vertical="distributed" textRotation="255" wrapText="1"/>
    </xf>
    <xf numFmtId="0" fontId="8" fillId="0" borderId="50" xfId="184" applyBorder="1" applyAlignment="1">
      <alignment horizontal="center" vertical="distributed" wrapText="1"/>
    </xf>
    <xf numFmtId="0" fontId="52" fillId="0" borderId="16" xfId="187" applyFont="1" applyBorder="1">
      <alignment vertical="center"/>
    </xf>
    <xf numFmtId="0" fontId="52" fillId="0" borderId="13" xfId="187" applyFont="1" applyBorder="1">
      <alignment vertical="center"/>
    </xf>
    <xf numFmtId="0" fontId="8" fillId="0" borderId="0" xfId="188" applyFont="1">
      <alignment vertical="center"/>
    </xf>
    <xf numFmtId="0" fontId="8" fillId="0" borderId="18" xfId="184" applyBorder="1" applyAlignment="1">
      <alignment horizontal="center" vertical="center" wrapText="1"/>
    </xf>
    <xf numFmtId="0" fontId="8" fillId="0" borderId="15" xfId="184" applyBorder="1" applyAlignment="1">
      <alignment horizontal="center" vertical="center" wrapText="1"/>
    </xf>
    <xf numFmtId="0" fontId="8" fillId="0" borderId="46" xfId="184" applyBorder="1" applyAlignment="1">
      <alignment horizontal="center" vertical="center" wrapText="1"/>
    </xf>
    <xf numFmtId="0" fontId="8" fillId="0" borderId="45" xfId="184" applyBorder="1" applyAlignment="1">
      <alignment horizontal="center" vertical="center" wrapText="1"/>
    </xf>
    <xf numFmtId="0" fontId="8" fillId="0" borderId="54" xfId="184" applyBorder="1" applyAlignment="1">
      <alignment horizontal="center" vertical="center" wrapText="1"/>
    </xf>
    <xf numFmtId="0" fontId="8" fillId="0" borderId="17" xfId="184" applyBorder="1" applyAlignment="1">
      <alignment horizontal="center" vertical="center" wrapText="1"/>
    </xf>
    <xf numFmtId="0" fontId="67" fillId="0" borderId="0" xfId="184" applyFont="1" applyAlignment="1">
      <alignment horizontal="left" vertical="center"/>
    </xf>
    <xf numFmtId="0" fontId="49" fillId="0" borderId="0" xfId="195" applyFont="1" applyAlignment="1">
      <alignment horizontal="left" vertical="center" wrapText="1"/>
    </xf>
    <xf numFmtId="182" fontId="63" fillId="0" borderId="24" xfId="184" applyNumberFormat="1" applyFont="1" applyBorder="1" applyAlignment="1">
      <alignment horizontal="center" vertical="center"/>
    </xf>
    <xf numFmtId="0" fontId="8" fillId="0" borderId="48" xfId="189" applyBorder="1" applyAlignment="1">
      <alignment horizontal="center" vertical="center"/>
    </xf>
    <xf numFmtId="0" fontId="8" fillId="0" borderId="24" xfId="189" applyBorder="1" applyAlignment="1">
      <alignment horizontal="center" vertical="center"/>
    </xf>
    <xf numFmtId="0" fontId="8" fillId="0" borderId="45" xfId="190" quotePrefix="1" applyFont="1" applyBorder="1" applyAlignment="1">
      <alignment horizontal="center" vertical="center"/>
    </xf>
    <xf numFmtId="0" fontId="8" fillId="0" borderId="45" xfId="190" applyFont="1" applyBorder="1" applyAlignment="1">
      <alignment horizontal="center" vertical="center"/>
    </xf>
    <xf numFmtId="0" fontId="8" fillId="0" borderId="49" xfId="190" applyFont="1" applyBorder="1" applyAlignment="1">
      <alignment horizontal="center" vertical="center"/>
    </xf>
    <xf numFmtId="0" fontId="8" fillId="0" borderId="46" xfId="190" quotePrefix="1" applyFont="1" applyBorder="1" applyAlignment="1">
      <alignment horizontal="center" vertical="center"/>
    </xf>
    <xf numFmtId="0" fontId="8" fillId="0" borderId="49" xfId="190" quotePrefix="1" applyFont="1" applyBorder="1" applyAlignment="1">
      <alignment horizontal="center" vertical="center"/>
    </xf>
    <xf numFmtId="0" fontId="63" fillId="0" borderId="0" xfId="184" applyFont="1" applyBorder="1" applyAlignment="1">
      <alignment horizontal="center" vertical="center"/>
    </xf>
    <xf numFmtId="0" fontId="8" fillId="0" borderId="45" xfId="184" applyBorder="1" applyAlignment="1">
      <alignment horizontal="center" vertical="center"/>
    </xf>
    <xf numFmtId="0" fontId="8" fillId="0" borderId="49" xfId="184" applyBorder="1" applyAlignment="1">
      <alignment horizontal="center" vertical="center"/>
    </xf>
    <xf numFmtId="0" fontId="8" fillId="0" borderId="46" xfId="184" applyBorder="1" applyAlignment="1">
      <alignment horizontal="center" vertical="center"/>
    </xf>
    <xf numFmtId="0" fontId="8" fillId="0" borderId="65" xfId="184" applyBorder="1" applyAlignment="1">
      <alignment horizontal="center" vertical="center"/>
    </xf>
    <xf numFmtId="221" fontId="49" fillId="0" borderId="16" xfId="186" applyFont="1" applyBorder="1" applyAlignment="1">
      <alignment horizontal="center" vertical="center"/>
    </xf>
    <xf numFmtId="221" fontId="49" fillId="0" borderId="18" xfId="186" applyFont="1" applyBorder="1" applyAlignment="1">
      <alignment horizontal="center" vertical="center"/>
    </xf>
    <xf numFmtId="224" fontId="49" fillId="0" borderId="50" xfId="186" applyNumberFormat="1" applyFont="1" applyBorder="1" applyAlignment="1">
      <alignment horizontal="center" vertical="center"/>
    </xf>
    <xf numFmtId="224" fontId="49" fillId="0" borderId="47" xfId="186" applyNumberFormat="1" applyFont="1" applyBorder="1" applyAlignment="1">
      <alignment horizontal="center" vertical="center"/>
    </xf>
    <xf numFmtId="224" fontId="49" fillId="0" borderId="16" xfId="186" applyNumberFormat="1" applyFont="1" applyBorder="1" applyAlignment="1">
      <alignment horizontal="center" vertical="center"/>
    </xf>
    <xf numFmtId="224" fontId="49" fillId="0" borderId="18" xfId="186" applyNumberFormat="1" applyFont="1" applyBorder="1" applyAlignment="1">
      <alignment horizontal="center" vertical="center"/>
    </xf>
    <xf numFmtId="221" fontId="50" fillId="0" borderId="16" xfId="186" applyFont="1" applyBorder="1" applyAlignment="1">
      <alignment horizontal="center" vertical="center"/>
    </xf>
    <xf numFmtId="221" fontId="50" fillId="0" borderId="18" xfId="186" applyFont="1" applyBorder="1" applyAlignment="1">
      <alignment horizontal="center" vertical="center"/>
    </xf>
    <xf numFmtId="0" fontId="8" fillId="0" borderId="30" xfId="184" applyBorder="1" applyAlignment="1">
      <alignment horizontal="center" vertical="center"/>
    </xf>
    <xf numFmtId="0" fontId="8" fillId="0" borderId="29" xfId="184" applyBorder="1" applyAlignment="1">
      <alignment horizontal="center" vertical="center"/>
    </xf>
    <xf numFmtId="0" fontId="8" fillId="0" borderId="85" xfId="184" applyBorder="1" applyAlignment="1">
      <alignment horizontal="center" vertical="center"/>
    </xf>
    <xf numFmtId="0" fontId="8" fillId="0" borderId="31" xfId="184" applyBorder="1" applyAlignment="1">
      <alignment horizontal="center" vertical="center"/>
    </xf>
    <xf numFmtId="0" fontId="8" fillId="0" borderId="47" xfId="182" applyFont="1" applyBorder="1" applyAlignment="1">
      <alignment horizontal="center" vertical="center"/>
    </xf>
    <xf numFmtId="0" fontId="8" fillId="0" borderId="18" xfId="182" applyFont="1" applyBorder="1" applyAlignment="1">
      <alignment horizontal="center" vertical="center"/>
    </xf>
    <xf numFmtId="0" fontId="8" fillId="0" borderId="15" xfId="182" applyFont="1" applyBorder="1" applyAlignment="1">
      <alignment horizontal="center" vertical="center"/>
    </xf>
    <xf numFmtId="0" fontId="8" fillId="0" borderId="46" xfId="182" applyFont="1" applyBorder="1" applyAlignment="1">
      <alignment horizontal="center" vertical="center"/>
    </xf>
    <xf numFmtId="0" fontId="8" fillId="0" borderId="45" xfId="182" applyFont="1" applyBorder="1" applyAlignment="1">
      <alignment horizontal="center" vertical="center"/>
    </xf>
    <xf numFmtId="0" fontId="8" fillId="0" borderId="16" xfId="182" applyFont="1" applyBorder="1" applyAlignment="1">
      <alignment horizontal="center" vertical="distributed" textRotation="255"/>
    </xf>
    <xf numFmtId="0" fontId="8" fillId="0" borderId="13" xfId="182" applyFont="1" applyBorder="1" applyAlignment="1">
      <alignment horizontal="center" vertical="distributed" textRotation="255"/>
    </xf>
    <xf numFmtId="0" fontId="8" fillId="0" borderId="17" xfId="182" applyFont="1" applyBorder="1" applyAlignment="1">
      <alignment horizontal="center" vertical="distributed" textRotation="255" wrapText="1"/>
    </xf>
    <xf numFmtId="0" fontId="8" fillId="0" borderId="14" xfId="182" applyFont="1" applyBorder="1" applyAlignment="1">
      <alignment horizontal="center" vertical="distributed" textRotation="255" wrapText="1"/>
    </xf>
    <xf numFmtId="0" fontId="8" fillId="0" borderId="86" xfId="182" applyFont="1" applyBorder="1" applyAlignment="1">
      <alignment horizontal="center" vertical="center"/>
    </xf>
    <xf numFmtId="0" fontId="8" fillId="0" borderId="30" xfId="182" applyFont="1" applyBorder="1" applyAlignment="1">
      <alignment horizontal="center" vertical="center"/>
    </xf>
    <xf numFmtId="0" fontId="8" fillId="0" borderId="29" xfId="182" applyFont="1" applyBorder="1" applyAlignment="1">
      <alignment horizontal="center" vertical="center"/>
    </xf>
    <xf numFmtId="0" fontId="67" fillId="0" borderId="0" xfId="182" applyFont="1" applyAlignment="1">
      <alignment horizontal="left" vertical="center" wrapText="1"/>
    </xf>
    <xf numFmtId="0" fontId="67" fillId="0" borderId="0" xfId="182" applyFont="1" applyAlignment="1">
      <alignment horizontal="left" vertical="center"/>
    </xf>
    <xf numFmtId="0" fontId="8" fillId="0" borderId="0" xfId="197" applyFont="1" applyAlignment="1">
      <alignment horizontal="center" vertical="center"/>
    </xf>
    <xf numFmtId="0" fontId="8" fillId="0" borderId="18" xfId="197" applyFont="1" applyBorder="1" applyAlignment="1">
      <alignment horizontal="center" vertical="center"/>
    </xf>
    <xf numFmtId="225" fontId="49" fillId="0" borderId="16" xfId="196" applyNumberFormat="1" applyFont="1" applyBorder="1" applyAlignment="1">
      <alignment horizontal="right" vertical="center"/>
    </xf>
    <xf numFmtId="225" fontId="49" fillId="0" borderId="18" xfId="196" applyNumberFormat="1" applyFont="1" applyBorder="1" applyAlignment="1">
      <alignment horizontal="right" vertical="center"/>
    </xf>
    <xf numFmtId="0" fontId="84" fillId="0" borderId="0" xfId="184" applyFont="1" applyAlignment="1">
      <alignment horizontal="center" vertical="top"/>
    </xf>
    <xf numFmtId="0" fontId="8" fillId="0" borderId="48" xfId="196" applyFont="1" applyBorder="1" applyAlignment="1">
      <alignment horizontal="center" vertical="center"/>
    </xf>
    <xf numFmtId="0" fontId="8" fillId="0" borderId="0" xfId="196" applyFont="1" applyBorder="1" applyAlignment="1">
      <alignment horizontal="center" vertical="center"/>
    </xf>
    <xf numFmtId="0" fontId="8" fillId="0" borderId="24" xfId="196" applyFont="1" applyBorder="1" applyAlignment="1">
      <alignment horizontal="center" vertical="center"/>
    </xf>
    <xf numFmtId="0" fontId="8" fillId="0" borderId="48" xfId="196" applyFont="1" applyBorder="1" applyAlignment="1">
      <alignment horizontal="center" vertical="distributed" textRotation="255" wrapText="1"/>
    </xf>
    <xf numFmtId="0" fontId="8" fillId="0" borderId="18" xfId="196" applyFont="1" applyBorder="1" applyAlignment="1">
      <alignment horizontal="center" vertical="distributed" textRotation="255" wrapText="1"/>
    </xf>
    <xf numFmtId="0" fontId="8" fillId="0" borderId="50" xfId="196" applyFont="1" applyBorder="1" applyAlignment="1">
      <alignment horizontal="center" vertical="distributed" textRotation="255" wrapText="1"/>
    </xf>
    <xf numFmtId="0" fontId="8" fillId="0" borderId="16" xfId="196" applyFont="1" applyBorder="1" applyAlignment="1">
      <alignment horizontal="center" vertical="distributed" textRotation="255" wrapText="1"/>
    </xf>
    <xf numFmtId="0" fontId="67" fillId="0" borderId="50" xfId="196" applyFont="1" applyBorder="1" applyAlignment="1">
      <alignment horizontal="center" vertical="distributed" textRotation="255" wrapText="1"/>
    </xf>
    <xf numFmtId="0" fontId="67" fillId="0" borderId="16" xfId="196" applyFont="1" applyBorder="1" applyAlignment="1">
      <alignment horizontal="center" vertical="distributed" textRotation="255" wrapText="1"/>
    </xf>
    <xf numFmtId="0" fontId="67" fillId="0" borderId="17" xfId="196" applyFont="1" applyBorder="1" applyAlignment="1">
      <alignment horizontal="center" vertical="distributed" textRotation="255" wrapText="1"/>
    </xf>
    <xf numFmtId="0" fontId="84" fillId="0" borderId="0" xfId="197" applyFont="1" applyAlignment="1">
      <alignment horizontal="center" vertical="center"/>
    </xf>
    <xf numFmtId="0" fontId="8" fillId="0" borderId="47" xfId="184" applyBorder="1" applyAlignment="1">
      <alignment horizontal="center" vertical="center"/>
    </xf>
    <xf numFmtId="0" fontId="8" fillId="0" borderId="15" xfId="184" applyBorder="1" applyAlignment="1">
      <alignment horizontal="center" vertical="center"/>
    </xf>
    <xf numFmtId="0" fontId="7" fillId="0" borderId="65" xfId="184" applyFont="1" applyBorder="1" applyAlignment="1">
      <alignment horizontal="center" vertical="center"/>
    </xf>
    <xf numFmtId="0" fontId="8" fillId="0" borderId="24" xfId="197" applyFont="1" applyBorder="1" applyAlignment="1">
      <alignment horizontal="center" vertical="center"/>
    </xf>
    <xf numFmtId="0" fontId="8" fillId="0" borderId="15" xfId="197" applyFont="1" applyBorder="1" applyAlignment="1">
      <alignment horizontal="center" vertical="center"/>
    </xf>
    <xf numFmtId="225" fontId="49" fillId="0" borderId="13" xfId="196" applyNumberFormat="1" applyFont="1" applyBorder="1" applyAlignment="1">
      <alignment horizontal="right" vertical="center"/>
    </xf>
    <xf numFmtId="225" fontId="49" fillId="0" borderId="15" xfId="196" applyNumberFormat="1" applyFont="1" applyBorder="1" applyAlignment="1">
      <alignment horizontal="right" vertical="center"/>
    </xf>
    <xf numFmtId="0" fontId="67" fillId="0" borderId="0" xfId="198" applyFont="1" applyAlignment="1">
      <alignment horizontal="left" vertical="center" wrapText="1"/>
    </xf>
    <xf numFmtId="0" fontId="63" fillId="0" borderId="0" xfId="198" applyFont="1" applyAlignment="1">
      <alignment horizontal="center" vertical="center"/>
    </xf>
    <xf numFmtId="0" fontId="8" fillId="0" borderId="24" xfId="199" applyNumberFormat="1" applyFont="1" applyBorder="1" applyAlignment="1">
      <alignment horizontal="center" vertical="center" wrapText="1"/>
    </xf>
    <xf numFmtId="0" fontId="8" fillId="0" borderId="24" xfId="200" applyFont="1" applyBorder="1" applyAlignment="1">
      <alignment horizontal="right" vertical="center"/>
    </xf>
    <xf numFmtId="0" fontId="8" fillId="0" borderId="48" xfId="198" applyFont="1" applyBorder="1" applyAlignment="1">
      <alignment horizontal="center" vertical="distributed" textRotation="255"/>
    </xf>
    <xf numFmtId="0" fontId="8" fillId="0" borderId="24" xfId="198" applyFont="1" applyBorder="1" applyAlignment="1">
      <alignment horizontal="center" vertical="distributed" textRotation="255"/>
    </xf>
    <xf numFmtId="0" fontId="8" fillId="0" borderId="47" xfId="198" applyFont="1" applyBorder="1" applyAlignment="1">
      <alignment horizontal="distributed" vertical="distributed" textRotation="255"/>
    </xf>
    <xf numFmtId="0" fontId="8" fillId="0" borderId="15" xfId="201" applyFont="1" applyBorder="1" applyAlignment="1">
      <alignment horizontal="distributed" vertical="distributed" textRotation="255"/>
    </xf>
    <xf numFmtId="0" fontId="8" fillId="0" borderId="46" xfId="201" applyFont="1" applyBorder="1" applyAlignment="1">
      <alignment horizontal="distributed" vertical="center" indent="5"/>
    </xf>
    <xf numFmtId="0" fontId="8" fillId="0" borderId="45" xfId="201" applyFont="1" applyBorder="1" applyAlignment="1">
      <alignment horizontal="distributed" vertical="center" indent="5"/>
    </xf>
    <xf numFmtId="0" fontId="67" fillId="0" borderId="23" xfId="198" applyFont="1" applyBorder="1" applyAlignment="1">
      <alignment horizontal="left" vertical="center"/>
    </xf>
    <xf numFmtId="0" fontId="67" fillId="0" borderId="0" xfId="202" applyFont="1" applyAlignment="1">
      <alignment horizontal="left" vertical="center" wrapText="1"/>
    </xf>
    <xf numFmtId="0" fontId="63" fillId="0" borderId="0" xfId="203" applyFont="1" applyAlignment="1">
      <alignment horizontal="center" vertical="center"/>
    </xf>
    <xf numFmtId="0" fontId="8" fillId="0" borderId="23" xfId="203" applyBorder="1" applyAlignment="1">
      <alignment horizontal="center" vertical="distributed"/>
    </xf>
    <xf numFmtId="0" fontId="8" fillId="0" borderId="0" xfId="203" applyBorder="1" applyAlignment="1">
      <alignment horizontal="center" vertical="distributed"/>
    </xf>
    <xf numFmtId="0" fontId="8" fillId="0" borderId="24" xfId="203" applyBorder="1" applyAlignment="1">
      <alignment horizontal="center" vertical="distributed"/>
    </xf>
    <xf numFmtId="0" fontId="8" fillId="0" borderId="23" xfId="203" applyBorder="1" applyAlignment="1">
      <alignment horizontal="center" vertical="distributed" textRotation="255"/>
    </xf>
    <xf numFmtId="0" fontId="8" fillId="0" borderId="0" xfId="203" applyBorder="1" applyAlignment="1">
      <alignment horizontal="center" vertical="distributed" textRotation="255"/>
    </xf>
    <xf numFmtId="0" fontId="8" fillId="0" borderId="24" xfId="203" applyBorder="1" applyAlignment="1">
      <alignment horizontal="center" vertical="distributed" textRotation="255"/>
    </xf>
    <xf numFmtId="0" fontId="84" fillId="0" borderId="45" xfId="203" applyFont="1" applyBorder="1" applyAlignment="1">
      <alignment horizontal="distributed" vertical="distributed"/>
    </xf>
    <xf numFmtId="0" fontId="8" fillId="0" borderId="45" xfId="203" applyBorder="1" applyAlignment="1">
      <alignment horizontal="distributed" vertical="distributed"/>
    </xf>
    <xf numFmtId="0" fontId="8" fillId="0" borderId="50" xfId="203" applyBorder="1" applyAlignment="1">
      <alignment horizontal="center" vertical="distributed" textRotation="255"/>
    </xf>
    <xf numFmtId="0" fontId="8" fillId="0" borderId="48" xfId="203" applyBorder="1" applyAlignment="1">
      <alignment horizontal="center"/>
    </xf>
    <xf numFmtId="0" fontId="8" fillId="0" borderId="13" xfId="203" applyBorder="1" applyAlignment="1">
      <alignment horizontal="center"/>
    </xf>
    <xf numFmtId="0" fontId="8" fillId="0" borderId="24" xfId="203" applyBorder="1" applyAlignment="1">
      <alignment horizontal="center"/>
    </xf>
    <xf numFmtId="0" fontId="8" fillId="0" borderId="46" xfId="203" applyBorder="1" applyAlignment="1">
      <alignment horizontal="center" vertical="center"/>
    </xf>
    <xf numFmtId="0" fontId="8" fillId="0" borderId="45" xfId="203" applyBorder="1" applyAlignment="1">
      <alignment horizontal="center" vertical="center"/>
    </xf>
    <xf numFmtId="0" fontId="8" fillId="0" borderId="49" xfId="203" applyBorder="1" applyAlignment="1">
      <alignment horizontal="center" vertical="center"/>
    </xf>
    <xf numFmtId="0" fontId="8" fillId="0" borderId="50" xfId="203" applyBorder="1" applyAlignment="1">
      <alignment horizontal="center" vertical="center"/>
    </xf>
    <xf numFmtId="0" fontId="8" fillId="0" borderId="48" xfId="203" applyBorder="1" applyAlignment="1">
      <alignment horizontal="center" vertical="center"/>
    </xf>
    <xf numFmtId="0" fontId="8" fillId="0" borderId="47" xfId="203" applyBorder="1" applyAlignment="1">
      <alignment horizontal="center"/>
    </xf>
    <xf numFmtId="0" fontId="8" fillId="0" borderId="15" xfId="203" applyBorder="1" applyAlignment="1">
      <alignment horizontal="center"/>
    </xf>
    <xf numFmtId="0" fontId="67" fillId="0" borderId="0" xfId="203" applyFont="1"/>
    <xf numFmtId="0" fontId="8" fillId="0" borderId="0" xfId="203"/>
    <xf numFmtId="0" fontId="8" fillId="0" borderId="46" xfId="203" applyBorder="1" applyAlignment="1">
      <alignment horizontal="center" vertical="distributed" textRotation="255"/>
    </xf>
    <xf numFmtId="0" fontId="8" fillId="0" borderId="49" xfId="203" applyBorder="1" applyAlignment="1">
      <alignment horizontal="center" vertical="distributed" textRotation="255"/>
    </xf>
    <xf numFmtId="0" fontId="63" fillId="0" borderId="0" xfId="203" applyFont="1" applyAlignment="1">
      <alignment horizontal="center"/>
    </xf>
    <xf numFmtId="0" fontId="8" fillId="0" borderId="48" xfId="203" applyBorder="1" applyAlignment="1">
      <alignment horizontal="center" vertical="distributed"/>
    </xf>
    <xf numFmtId="0" fontId="8" fillId="0" borderId="47" xfId="203" applyBorder="1" applyAlignment="1">
      <alignment horizontal="center" vertical="distributed" textRotation="255"/>
    </xf>
    <xf numFmtId="0" fontId="8" fillId="0" borderId="18" xfId="203" applyBorder="1" applyAlignment="1">
      <alignment horizontal="center" vertical="distributed" textRotation="255"/>
    </xf>
    <xf numFmtId="0" fontId="8" fillId="0" borderId="15" xfId="203" applyBorder="1" applyAlignment="1">
      <alignment horizontal="center" vertical="distributed" textRotation="255"/>
    </xf>
    <xf numFmtId="0" fontId="8" fillId="0" borderId="50" xfId="203" applyBorder="1" applyAlignment="1">
      <alignment horizontal="distributed" vertical="center" justifyLastLine="1"/>
    </xf>
    <xf numFmtId="0" fontId="8" fillId="0" borderId="47" xfId="203" applyBorder="1" applyAlignment="1">
      <alignment horizontal="distributed" vertical="center" justifyLastLine="1"/>
    </xf>
    <xf numFmtId="0" fontId="8" fillId="0" borderId="13" xfId="203" applyBorder="1" applyAlignment="1">
      <alignment horizontal="distributed" vertical="center" justifyLastLine="1"/>
    </xf>
    <xf numFmtId="0" fontId="8" fillId="0" borderId="15" xfId="203" applyBorder="1" applyAlignment="1">
      <alignment horizontal="distributed" vertical="center" justifyLastLine="1"/>
    </xf>
    <xf numFmtId="0" fontId="8" fillId="0" borderId="48" xfId="203" applyBorder="1" applyAlignment="1">
      <alignment horizontal="distributed" vertical="center" justifyLastLine="1"/>
    </xf>
    <xf numFmtId="0" fontId="8" fillId="0" borderId="24" xfId="203" applyBorder="1" applyAlignment="1">
      <alignment horizontal="distributed" vertical="center" justifyLastLine="1"/>
    </xf>
    <xf numFmtId="0" fontId="8" fillId="0" borderId="0" xfId="203" applyAlignment="1">
      <alignment horizontal="distributed" vertical="distributed"/>
    </xf>
    <xf numFmtId="0" fontId="63" fillId="0" borderId="0" xfId="203" applyFont="1"/>
    <xf numFmtId="0" fontId="8" fillId="0" borderId="48" xfId="203" applyBorder="1" applyAlignment="1">
      <alignment horizontal="distributed" vertical="center"/>
    </xf>
    <xf numFmtId="0" fontId="8" fillId="0" borderId="48" xfId="203" applyBorder="1" applyAlignment="1">
      <alignment vertical="center"/>
    </xf>
    <xf numFmtId="0" fontId="8" fillId="0" borderId="24" xfId="203" applyBorder="1" applyAlignment="1">
      <alignment horizontal="distributed" vertical="center"/>
    </xf>
    <xf numFmtId="0" fontId="8" fillId="0" borderId="24" xfId="203" applyBorder="1" applyAlignment="1">
      <alignment vertical="center"/>
    </xf>
    <xf numFmtId="0" fontId="7" fillId="0" borderId="0" xfId="203" applyFont="1" applyAlignment="1">
      <alignment horizontal="distributed" vertical="distributed"/>
    </xf>
    <xf numFmtId="0" fontId="8" fillId="0" borderId="24" xfId="203" applyBorder="1" applyAlignment="1">
      <alignment horizontal="distributed" vertical="distributed"/>
    </xf>
    <xf numFmtId="0" fontId="84" fillId="0" borderId="0" xfId="160" applyFont="1" applyAlignment="1">
      <alignment horizontal="center" vertical="center"/>
    </xf>
    <xf numFmtId="0" fontId="8" fillId="0" borderId="48" xfId="142" applyFont="1" applyBorder="1" applyAlignment="1">
      <alignment horizontal="center" vertical="distributed" textRotation="255"/>
    </xf>
    <xf numFmtId="0" fontId="8" fillId="0" borderId="0" xfId="142" applyFont="1" applyBorder="1" applyAlignment="1">
      <alignment horizontal="center" vertical="distributed" textRotation="255"/>
    </xf>
    <xf numFmtId="0" fontId="8" fillId="0" borderId="24" xfId="142" applyFont="1" applyBorder="1" applyAlignment="1">
      <alignment horizontal="center" vertical="distributed" textRotation="255"/>
    </xf>
    <xf numFmtId="0" fontId="8" fillId="0" borderId="48" xfId="160" applyFont="1" applyBorder="1" applyAlignment="1">
      <alignment horizontal="center" vertical="distributed" textRotation="255"/>
    </xf>
    <xf numFmtId="0" fontId="8" fillId="0" borderId="0" xfId="160" applyFont="1" applyBorder="1" applyAlignment="1">
      <alignment horizontal="center" vertical="distributed" textRotation="255"/>
    </xf>
    <xf numFmtId="0" fontId="8" fillId="0" borderId="24" xfId="160" applyFont="1" applyBorder="1" applyAlignment="1">
      <alignment horizontal="center" vertical="distributed" textRotation="255"/>
    </xf>
    <xf numFmtId="0" fontId="8" fillId="0" borderId="50" xfId="160" applyFont="1" applyBorder="1" applyAlignment="1">
      <alignment horizontal="center" vertical="distributed" textRotation="255"/>
    </xf>
    <xf numFmtId="0" fontId="8" fillId="0" borderId="16" xfId="160" applyFont="1" applyBorder="1" applyAlignment="1">
      <alignment horizontal="center" vertical="distributed" textRotation="255"/>
    </xf>
    <xf numFmtId="0" fontId="8" fillId="0" borderId="13" xfId="160" applyFont="1" applyBorder="1" applyAlignment="1">
      <alignment horizontal="center" vertical="distributed" textRotation="255"/>
    </xf>
    <xf numFmtId="0" fontId="8" fillId="0" borderId="50" xfId="160" applyFont="1" applyBorder="1" applyAlignment="1">
      <alignment horizontal="center" vertical="distributed" textRotation="255" wrapText="1"/>
    </xf>
    <xf numFmtId="0" fontId="8" fillId="0" borderId="16" xfId="160" applyFont="1" applyBorder="1">
      <alignment vertical="center"/>
    </xf>
    <xf numFmtId="0" fontId="8" fillId="0" borderId="13" xfId="160" applyFont="1" applyBorder="1">
      <alignment vertical="center"/>
    </xf>
    <xf numFmtId="0" fontId="8" fillId="0" borderId="54" xfId="160" applyFont="1" applyBorder="1" applyAlignment="1">
      <alignment horizontal="center" vertical="distributed" textRotation="255" wrapText="1"/>
    </xf>
    <xf numFmtId="0" fontId="8" fillId="0" borderId="17" xfId="160" applyFont="1" applyBorder="1" applyAlignment="1">
      <alignment horizontal="center" vertical="distributed" textRotation="255" wrapText="1"/>
    </xf>
    <xf numFmtId="0" fontId="8" fillId="0" borderId="14" xfId="160" applyFont="1" applyBorder="1" applyAlignment="1">
      <alignment horizontal="center" vertical="distributed" textRotation="255" wrapText="1"/>
    </xf>
    <xf numFmtId="0" fontId="8" fillId="0" borderId="17" xfId="160" applyFont="1" applyBorder="1">
      <alignment vertical="center"/>
    </xf>
    <xf numFmtId="0" fontId="8" fillId="0" borderId="14" xfId="160" applyFont="1" applyBorder="1">
      <alignment vertical="center"/>
    </xf>
    <xf numFmtId="0" fontId="8" fillId="0" borderId="50" xfId="205" applyFont="1" applyBorder="1" applyAlignment="1">
      <alignment horizontal="center" vertical="distributed" textRotation="255"/>
    </xf>
    <xf numFmtId="0" fontId="8" fillId="0" borderId="16" xfId="206" applyFont="1" applyBorder="1" applyAlignment="1">
      <alignment horizontal="center" vertical="distributed" textRotation="255"/>
    </xf>
    <xf numFmtId="0" fontId="8" fillId="0" borderId="13" xfId="206" applyFont="1" applyBorder="1" applyAlignment="1">
      <alignment horizontal="center" vertical="distributed" textRotation="255"/>
    </xf>
    <xf numFmtId="0" fontId="84" fillId="0" borderId="0" xfId="205" applyFont="1" applyAlignment="1">
      <alignment horizontal="center" vertical="center"/>
    </xf>
    <xf numFmtId="0" fontId="84" fillId="0" borderId="0" xfId="206" applyFont="1" applyAlignment="1">
      <alignment horizontal="center" vertical="center"/>
    </xf>
    <xf numFmtId="0" fontId="8" fillId="0" borderId="48" xfId="205" applyFont="1" applyBorder="1" applyAlignment="1">
      <alignment horizontal="distributed" vertical="distributed" textRotation="255"/>
    </xf>
    <xf numFmtId="0" fontId="8" fillId="0" borderId="0" xfId="206" applyFont="1" applyBorder="1" applyAlignment="1">
      <alignment horizontal="distributed" vertical="distributed" textRotation="255"/>
    </xf>
    <xf numFmtId="0" fontId="8" fillId="0" borderId="24" xfId="206" applyFont="1" applyBorder="1" applyAlignment="1">
      <alignment horizontal="distributed" vertical="distributed" textRotation="255"/>
    </xf>
    <xf numFmtId="0" fontId="8" fillId="0" borderId="48" xfId="205" applyFont="1" applyBorder="1" applyAlignment="1">
      <alignment horizontal="center" vertical="distributed" textRotation="255"/>
    </xf>
    <xf numFmtId="0" fontId="8" fillId="0" borderId="0" xfId="206" applyFont="1" applyAlignment="1">
      <alignment horizontal="center" vertical="distributed" textRotation="255"/>
    </xf>
    <xf numFmtId="0" fontId="8" fillId="0" borderId="24" xfId="206" applyFont="1" applyBorder="1" applyAlignment="1">
      <alignment horizontal="center" vertical="distributed" textRotation="255"/>
    </xf>
    <xf numFmtId="0" fontId="8" fillId="0" borderId="54" xfId="205" applyFont="1" applyBorder="1" applyAlignment="1">
      <alignment horizontal="center" vertical="distributed" textRotation="255"/>
    </xf>
    <xf numFmtId="0" fontId="8" fillId="0" borderId="17" xfId="206" applyFont="1" applyBorder="1" applyAlignment="1">
      <alignment horizontal="center" vertical="distributed" textRotation="255"/>
    </xf>
    <xf numFmtId="0" fontId="8" fillId="0" borderId="14" xfId="206" applyFont="1" applyBorder="1" applyAlignment="1">
      <alignment horizontal="center" vertical="distributed" textRotation="255"/>
    </xf>
    <xf numFmtId="0" fontId="49" fillId="0" borderId="45" xfId="152" applyFont="1" applyBorder="1" applyAlignment="1">
      <alignment horizontal="distributed" vertical="distributed" wrapText="1" indent="3"/>
    </xf>
    <xf numFmtId="0" fontId="49" fillId="0" borderId="46" xfId="152" applyFont="1" applyBorder="1" applyAlignment="1">
      <alignment horizontal="distributed" vertical="distributed" wrapText="1" indent="3"/>
    </xf>
    <xf numFmtId="0" fontId="49" fillId="0" borderId="47" xfId="152" applyFont="1" applyBorder="1" applyAlignment="1">
      <alignment horizontal="center" vertical="distributed" textRotation="255" wrapText="1"/>
    </xf>
    <xf numFmtId="0" fontId="49" fillId="0" borderId="18" xfId="152" applyFont="1" applyBorder="1" applyAlignment="1">
      <alignment horizontal="center" vertical="distributed" textRotation="255" wrapText="1"/>
    </xf>
    <xf numFmtId="0" fontId="49" fillId="0" borderId="15" xfId="152" applyFont="1" applyBorder="1" applyAlignment="1">
      <alignment horizontal="center" vertical="distributed" textRotation="255" wrapText="1"/>
    </xf>
    <xf numFmtId="0" fontId="49" fillId="0" borderId="54" xfId="152" applyFont="1" applyBorder="1" applyAlignment="1">
      <alignment horizontal="center" vertical="distributed" textRotation="255" wrapText="1"/>
    </xf>
    <xf numFmtId="0" fontId="49" fillId="0" borderId="17" xfId="152" applyFont="1" applyBorder="1" applyAlignment="1">
      <alignment horizontal="center" vertical="distributed" textRotation="255" wrapText="1"/>
    </xf>
    <xf numFmtId="0" fontId="49" fillId="0" borderId="14" xfId="152" applyFont="1" applyBorder="1" applyAlignment="1">
      <alignment horizontal="center" vertical="distributed" textRotation="255" wrapText="1"/>
    </xf>
    <xf numFmtId="0" fontId="49" fillId="0" borderId="47" xfId="152" applyFont="1" applyBorder="1" applyAlignment="1">
      <alignment horizontal="center" vertical="distributed" textRotation="255"/>
    </xf>
    <xf numFmtId="0" fontId="49" fillId="0" borderId="18" xfId="152" applyFont="1" applyBorder="1" applyAlignment="1">
      <alignment horizontal="center" vertical="distributed" textRotation="255"/>
    </xf>
    <xf numFmtId="0" fontId="49" fillId="0" borderId="16" xfId="152" applyFont="1" applyBorder="1" applyAlignment="1">
      <alignment horizontal="center" vertical="distributed" textRotation="255" wrapText="1"/>
    </xf>
    <xf numFmtId="0" fontId="49" fillId="0" borderId="13" xfId="152" applyFont="1" applyBorder="1" applyAlignment="1">
      <alignment horizontal="center" vertical="distributed" textRotation="255" wrapText="1"/>
    </xf>
    <xf numFmtId="0" fontId="49" fillId="0" borderId="48" xfId="152" applyFont="1" applyBorder="1" applyAlignment="1">
      <alignment horizontal="center" vertical="distributed" textRotation="255"/>
    </xf>
    <xf numFmtId="0" fontId="49" fillId="0" borderId="24" xfId="152" applyFont="1" applyBorder="1" applyAlignment="1">
      <alignment horizontal="center" vertical="distributed" textRotation="255"/>
    </xf>
    <xf numFmtId="0" fontId="67" fillId="0" borderId="0" xfId="203" applyFont="1" applyAlignment="1">
      <alignment horizontal="left" vertical="center" wrapText="1"/>
    </xf>
    <xf numFmtId="0" fontId="63" fillId="0" borderId="0" xfId="152" applyFont="1" applyAlignment="1">
      <alignment horizontal="center" vertical="center" shrinkToFit="1"/>
    </xf>
    <xf numFmtId="0" fontId="67" fillId="0" borderId="24" xfId="205" applyFont="1" applyBorder="1" applyAlignment="1">
      <alignment horizontal="center" vertical="center"/>
    </xf>
    <xf numFmtId="0" fontId="49" fillId="0" borderId="48" xfId="205" applyFont="1" applyBorder="1" applyAlignment="1">
      <alignment horizontal="distributed" vertical="distributed" textRotation="255"/>
    </xf>
    <xf numFmtId="0" fontId="49" fillId="0" borderId="0" xfId="205" applyFont="1" applyBorder="1" applyAlignment="1">
      <alignment horizontal="distributed" vertical="distributed" textRotation="255"/>
    </xf>
    <xf numFmtId="0" fontId="49" fillId="0" borderId="24" xfId="205" applyFont="1" applyBorder="1" applyAlignment="1">
      <alignment horizontal="distributed" vertical="distributed" textRotation="255"/>
    </xf>
    <xf numFmtId="0" fontId="49" fillId="0" borderId="45" xfId="208" applyFont="1" applyBorder="1" applyAlignment="1">
      <alignment horizontal="distributed" vertical="distributed"/>
    </xf>
    <xf numFmtId="0" fontId="49" fillId="0" borderId="50" xfId="205" applyFont="1" applyBorder="1" applyAlignment="1">
      <alignment horizontal="center" vertical="distributed" textRotation="255"/>
    </xf>
    <xf numFmtId="0" fontId="49" fillId="0" borderId="16" xfId="208" applyFont="1" applyBorder="1"/>
    <xf numFmtId="0" fontId="49" fillId="0" borderId="90" xfId="205" applyFont="1" applyBorder="1" applyAlignment="1">
      <alignment horizontal="center" vertical="distributed" textRotation="255" wrapText="1"/>
    </xf>
    <xf numFmtId="0" fontId="49" fillId="0" borderId="77" xfId="208" applyFont="1" applyBorder="1" applyAlignment="1">
      <alignment horizontal="center" vertical="distributed" textRotation="255"/>
    </xf>
    <xf numFmtId="0" fontId="49" fillId="0" borderId="45" xfId="205" applyFont="1" applyBorder="1" applyAlignment="1">
      <alignment horizontal="distributed" vertical="distributed" indent="5"/>
    </xf>
    <xf numFmtId="0" fontId="49" fillId="0" borderId="45" xfId="208" applyFont="1" applyBorder="1" applyAlignment="1">
      <alignment horizontal="distributed" indent="5"/>
    </xf>
    <xf numFmtId="0" fontId="49" fillId="0" borderId="47" xfId="208" applyFont="1" applyBorder="1" applyAlignment="1">
      <alignment vertical="distributed" textRotation="255" wrapText="1"/>
    </xf>
    <xf numFmtId="0" fontId="49" fillId="0" borderId="15" xfId="208" applyFont="1" applyBorder="1" applyAlignment="1">
      <alignment vertical="distributed"/>
    </xf>
    <xf numFmtId="0" fontId="49" fillId="0" borderId="17" xfId="208" applyFont="1" applyBorder="1" applyAlignment="1">
      <alignment vertical="distributed" textRotation="255" wrapText="1"/>
    </xf>
    <xf numFmtId="0" fontId="49" fillId="0" borderId="14" xfId="208" applyFont="1" applyBorder="1" applyAlignment="1">
      <alignment vertical="distributed"/>
    </xf>
    <xf numFmtId="0" fontId="49" fillId="0" borderId="47" xfId="208" applyFont="1" applyBorder="1" applyAlignment="1">
      <alignment horizontal="center" vertical="distributed" textRotation="255" wrapText="1"/>
    </xf>
    <xf numFmtId="0" fontId="49" fillId="0" borderId="15" xfId="208" applyFont="1" applyBorder="1" applyAlignment="1">
      <alignment horizontal="center" vertical="distributed" textRotation="255" wrapText="1"/>
    </xf>
    <xf numFmtId="0" fontId="49" fillId="0" borderId="16" xfId="208" applyFont="1" applyBorder="1" applyAlignment="1">
      <alignment vertical="distributed" textRotation="255" wrapText="1"/>
    </xf>
    <xf numFmtId="0" fontId="49" fillId="0" borderId="54" xfId="208" applyFont="1" applyBorder="1" applyAlignment="1">
      <alignment horizontal="center" vertical="distributed" textRotation="255" wrapText="1"/>
    </xf>
    <xf numFmtId="0" fontId="49" fillId="0" borderId="17" xfId="208" applyFont="1" applyBorder="1" applyAlignment="1">
      <alignment horizontal="center" vertical="distributed" textRotation="255"/>
    </xf>
    <xf numFmtId="0" fontId="49" fillId="0" borderId="18" xfId="208" applyFont="1" applyBorder="1" applyAlignment="1">
      <alignment horizontal="center" vertical="distributed" textRotation="255"/>
    </xf>
    <xf numFmtId="0" fontId="49" fillId="0" borderId="46" xfId="205" applyFont="1" applyBorder="1" applyAlignment="1">
      <alignment horizontal="distributed" vertical="distributed" wrapText="1"/>
    </xf>
    <xf numFmtId="0" fontId="84" fillId="0" borderId="0" xfId="152" applyFont="1" applyAlignment="1">
      <alignment horizontal="center" vertical="center"/>
    </xf>
    <xf numFmtId="0" fontId="63" fillId="0" borderId="0" xfId="152" applyFont="1" applyAlignment="1">
      <alignment horizontal="left" vertical="center" shrinkToFit="1"/>
    </xf>
    <xf numFmtId="0" fontId="49" fillId="0" borderId="49" xfId="152" applyFont="1" applyBorder="1" applyAlignment="1">
      <alignment horizontal="center" vertical="distributed" textRotation="255" wrapText="1"/>
    </xf>
    <xf numFmtId="0" fontId="49" fillId="0" borderId="49" xfId="152" applyFont="1" applyBorder="1" applyAlignment="1">
      <alignment horizontal="center" vertical="distributed" textRotation="255"/>
    </xf>
    <xf numFmtId="0" fontId="49" fillId="0" borderId="65" xfId="152" applyFont="1" applyBorder="1" applyAlignment="1">
      <alignment horizontal="center" vertical="distributed" textRotation="255" wrapText="1"/>
    </xf>
    <xf numFmtId="0" fontId="49" fillId="0" borderId="65" xfId="152" applyFont="1" applyBorder="1" applyAlignment="1">
      <alignment horizontal="center" vertical="distributed" textRotation="255"/>
    </xf>
    <xf numFmtId="0" fontId="49" fillId="0" borderId="46" xfId="152" applyFont="1" applyBorder="1" applyAlignment="1">
      <alignment horizontal="center" vertical="distributed" textRotation="255" wrapText="1"/>
    </xf>
    <xf numFmtId="0" fontId="49" fillId="0" borderId="46" xfId="152" applyFont="1" applyBorder="1" applyAlignment="1">
      <alignment horizontal="center" vertical="distributed" textRotation="255"/>
    </xf>
    <xf numFmtId="0" fontId="49" fillId="0" borderId="0" xfId="152" applyFont="1" applyAlignment="1">
      <alignment horizontal="center" vertical="distributed" textRotation="255"/>
    </xf>
    <xf numFmtId="0" fontId="8" fillId="0" borderId="0" xfId="142" quotePrefix="1" applyFont="1" applyAlignment="1">
      <alignment horizontal="center" vertical="center"/>
    </xf>
    <xf numFmtId="0" fontId="8" fillId="0" borderId="18" xfId="142" quotePrefix="1" applyFont="1" applyBorder="1" applyAlignment="1">
      <alignment horizontal="center" vertical="center"/>
    </xf>
    <xf numFmtId="0" fontId="8" fillId="0" borderId="24" xfId="142" quotePrefix="1" applyFont="1" applyBorder="1" applyAlignment="1">
      <alignment horizontal="center" vertical="center"/>
    </xf>
    <xf numFmtId="0" fontId="8" fillId="0" borderId="15" xfId="142" quotePrefix="1" applyFont="1" applyBorder="1" applyAlignment="1">
      <alignment horizontal="center" vertical="center"/>
    </xf>
    <xf numFmtId="0" fontId="84" fillId="0" borderId="0" xfId="209" applyFont="1" applyAlignment="1">
      <alignment horizontal="center" vertical="center"/>
    </xf>
    <xf numFmtId="0" fontId="8" fillId="0" borderId="0" xfId="209" applyFont="1" applyAlignment="1">
      <alignment horizontal="center" vertical="center"/>
    </xf>
    <xf numFmtId="49" fontId="8" fillId="0" borderId="48" xfId="209" applyNumberFormat="1" applyFont="1" applyBorder="1" applyAlignment="1">
      <alignment horizontal="center" vertical="distributed" textRotation="255"/>
    </xf>
    <xf numFmtId="49" fontId="8" fillId="0" borderId="0" xfId="209" applyNumberFormat="1" applyFont="1" applyBorder="1" applyAlignment="1">
      <alignment horizontal="center" vertical="distributed" textRotation="255"/>
    </xf>
    <xf numFmtId="49" fontId="8" fillId="0" borderId="24" xfId="209" applyNumberFormat="1" applyFont="1" applyBorder="1" applyAlignment="1">
      <alignment horizontal="center" vertical="distributed" textRotation="255"/>
    </xf>
    <xf numFmtId="49" fontId="8" fillId="0" borderId="45" xfId="209" applyNumberFormat="1" applyFont="1" applyBorder="1" applyAlignment="1">
      <alignment horizontal="distributed" vertical="center"/>
    </xf>
    <xf numFmtId="49" fontId="8" fillId="0" borderId="49" xfId="209" applyNumberFormat="1" applyFont="1" applyBorder="1" applyAlignment="1">
      <alignment horizontal="distributed" vertical="center"/>
    </xf>
    <xf numFmtId="49" fontId="8" fillId="0" borderId="50" xfId="209" applyNumberFormat="1" applyFont="1" applyBorder="1" applyAlignment="1">
      <alignment horizontal="center" vertical="distributed" textRotation="255"/>
    </xf>
    <xf numFmtId="49" fontId="8" fillId="0" borderId="16" xfId="209" applyNumberFormat="1" applyFont="1" applyBorder="1" applyAlignment="1">
      <alignment vertical="distributed" textRotation="255"/>
    </xf>
    <xf numFmtId="49" fontId="8" fillId="0" borderId="13" xfId="209" applyNumberFormat="1" applyFont="1" applyBorder="1" applyAlignment="1">
      <alignment vertical="distributed" textRotation="255"/>
    </xf>
    <xf numFmtId="49" fontId="8" fillId="0" borderId="45" xfId="209" applyNumberFormat="1" applyFont="1" applyBorder="1" applyAlignment="1">
      <alignment vertical="center"/>
    </xf>
    <xf numFmtId="49" fontId="8" fillId="0" borderId="49" xfId="209" applyNumberFormat="1" applyFont="1" applyBorder="1" applyAlignment="1">
      <alignment vertical="center"/>
    </xf>
    <xf numFmtId="49" fontId="8" fillId="0" borderId="50" xfId="209" applyNumberFormat="1" applyFont="1" applyBorder="1" applyAlignment="1">
      <alignment horizontal="center" vertical="distributed" textRotation="255" wrapText="1"/>
    </xf>
    <xf numFmtId="49" fontId="8" fillId="0" borderId="17" xfId="209" applyNumberFormat="1" applyFont="1" applyBorder="1" applyAlignment="1">
      <alignment horizontal="center" vertical="distributed" textRotation="255" wrapText="1"/>
    </xf>
    <xf numFmtId="49" fontId="8" fillId="0" borderId="14" xfId="209" applyNumberFormat="1" applyFont="1" applyBorder="1" applyAlignment="1">
      <alignment horizontal="center" vertical="distributed" textRotation="255" wrapText="1"/>
    </xf>
    <xf numFmtId="0" fontId="49" fillId="0" borderId="78" xfId="205" applyFont="1" applyBorder="1" applyAlignment="1">
      <alignment horizontal="distributed" vertical="distributed" indent="5"/>
    </xf>
    <xf numFmtId="49" fontId="8" fillId="0" borderId="47" xfId="209" applyNumberFormat="1" applyFont="1" applyBorder="1" applyAlignment="1">
      <alignment horizontal="center" vertical="distributed" textRotation="255"/>
    </xf>
    <xf numFmtId="49" fontId="8" fillId="0" borderId="15" xfId="209" applyNumberFormat="1" applyFont="1" applyBorder="1" applyAlignment="1">
      <alignment horizontal="center" vertical="distributed" textRotation="255"/>
    </xf>
    <xf numFmtId="49" fontId="8" fillId="0" borderId="54" xfId="209" applyNumberFormat="1" applyFont="1" applyBorder="1" applyAlignment="1">
      <alignment horizontal="center" vertical="distributed" textRotation="255"/>
    </xf>
    <xf numFmtId="49" fontId="8" fillId="0" borderId="14" xfId="209" applyNumberFormat="1" applyFont="1" applyBorder="1" applyAlignment="1">
      <alignment horizontal="center" vertical="distributed" textRotation="255"/>
    </xf>
    <xf numFmtId="0" fontId="82" fillId="0" borderId="0" xfId="209" applyFont="1" applyAlignment="1">
      <alignment wrapText="1"/>
    </xf>
    <xf numFmtId="49" fontId="8" fillId="0" borderId="54" xfId="209" applyNumberFormat="1" applyFont="1" applyBorder="1" applyAlignment="1">
      <alignment horizontal="center" vertical="distributed" textRotation="255" wrapText="1"/>
    </xf>
    <xf numFmtId="0" fontId="49" fillId="0" borderId="55" xfId="208" applyFont="1" applyBorder="1" applyAlignment="1">
      <alignment horizontal="center" vertical="distributed" textRotation="255" wrapText="1"/>
    </xf>
    <xf numFmtId="0" fontId="49" fillId="0" borderId="57" xfId="208" applyFont="1" applyBorder="1" applyAlignment="1">
      <alignment horizontal="center" vertical="distributed" textRotation="255"/>
    </xf>
    <xf numFmtId="0" fontId="67" fillId="0" borderId="48" xfId="205" applyFont="1" applyBorder="1" applyAlignment="1">
      <alignment horizontal="left" vertical="top"/>
    </xf>
    <xf numFmtId="0" fontId="67" fillId="0" borderId="0" xfId="205" applyFont="1" applyAlignment="1">
      <alignment horizontal="left" vertical="top"/>
    </xf>
    <xf numFmtId="0" fontId="63" fillId="0" borderId="0" xfId="206" applyFont="1" applyAlignment="1">
      <alignment horizontal="center" vertical="center"/>
    </xf>
    <xf numFmtId="0" fontId="8" fillId="0" borderId="48" xfId="206" applyFont="1" applyBorder="1" applyAlignment="1">
      <alignment horizontal="center" vertical="distributed" textRotation="255" wrapText="1"/>
    </xf>
    <xf numFmtId="0" fontId="8" fillId="0" borderId="0" xfId="206" applyFont="1" applyBorder="1" applyAlignment="1">
      <alignment horizontal="center" vertical="distributed" textRotation="255" wrapText="1"/>
    </xf>
    <xf numFmtId="0" fontId="8" fillId="0" borderId="24" xfId="206" applyFont="1" applyBorder="1" applyAlignment="1">
      <alignment horizontal="center" vertical="distributed" textRotation="255" wrapText="1"/>
    </xf>
    <xf numFmtId="0" fontId="8" fillId="0" borderId="45" xfId="206" applyFont="1" applyBorder="1" applyAlignment="1">
      <alignment horizontal="distributed" vertical="center"/>
    </xf>
    <xf numFmtId="0" fontId="8" fillId="0" borderId="49" xfId="206" applyFont="1" applyBorder="1" applyAlignment="1">
      <alignment horizontal="distributed" vertical="center"/>
    </xf>
    <xf numFmtId="0" fontId="8" fillId="0" borderId="46" xfId="206" applyFont="1" applyBorder="1" applyAlignment="1">
      <alignment horizontal="distributed" vertical="center"/>
    </xf>
    <xf numFmtId="0" fontId="8" fillId="0" borderId="47" xfId="206" applyFont="1" applyBorder="1" applyAlignment="1">
      <alignment horizontal="center" vertical="distributed" textRotation="255"/>
    </xf>
    <xf numFmtId="0" fontId="8" fillId="0" borderId="18" xfId="206" applyFont="1" applyBorder="1" applyAlignment="1">
      <alignment horizontal="center" vertical="distributed" textRotation="255"/>
    </xf>
    <xf numFmtId="0" fontId="8" fillId="0" borderId="15" xfId="206" applyFont="1" applyBorder="1" applyAlignment="1">
      <alignment horizontal="center" vertical="distributed" textRotation="255"/>
    </xf>
    <xf numFmtId="0" fontId="8" fillId="0" borderId="54" xfId="206" applyFont="1" applyBorder="1" applyAlignment="1">
      <alignment horizontal="center" vertical="distributed" textRotation="255"/>
    </xf>
    <xf numFmtId="0" fontId="8" fillId="0" borderId="50" xfId="206" applyFont="1" applyBorder="1" applyAlignment="1">
      <alignment horizontal="center" vertical="distributed" textRotation="255"/>
    </xf>
    <xf numFmtId="0" fontId="8" fillId="0" borderId="54" xfId="206" applyFont="1" applyBorder="1" applyAlignment="1">
      <alignment horizontal="center" vertical="distributed" textRotation="255" wrapText="1"/>
    </xf>
    <xf numFmtId="0" fontId="82" fillId="0" borderId="48" xfId="1" quotePrefix="1" applyFont="1" applyBorder="1" applyAlignment="1">
      <alignment horizontal="left" vertical="center" wrapText="1"/>
    </xf>
    <xf numFmtId="0" fontId="65" fillId="0" borderId="0" xfId="1" quotePrefix="1" applyFont="1" applyAlignment="1">
      <alignment horizontal="center" vertical="center"/>
    </xf>
    <xf numFmtId="0" fontId="8" fillId="0" borderId="48" xfId="1" quotePrefix="1" applyFont="1" applyBorder="1" applyAlignment="1">
      <alignment horizontal="center" vertical="center"/>
    </xf>
    <xf numFmtId="0" fontId="8" fillId="0" borderId="0" xfId="1" quotePrefix="1" applyFont="1" applyBorder="1" applyAlignment="1">
      <alignment horizontal="center" vertical="center"/>
    </xf>
    <xf numFmtId="0" fontId="8" fillId="0" borderId="24" xfId="1" quotePrefix="1" applyFont="1" applyBorder="1" applyAlignment="1">
      <alignment horizontal="center" vertical="center"/>
    </xf>
    <xf numFmtId="0" fontId="7" fillId="0" borderId="48" xfId="1" applyFont="1" applyBorder="1" applyAlignment="1">
      <alignment horizontal="center" vertical="center"/>
    </xf>
    <xf numFmtId="0" fontId="8" fillId="0" borderId="48" xfId="1" applyFont="1" applyBorder="1" applyAlignment="1">
      <alignment horizontal="center" vertical="center"/>
    </xf>
    <xf numFmtId="0" fontId="8" fillId="0" borderId="0" xfId="1" applyFont="1" applyBorder="1" applyAlignment="1">
      <alignment horizontal="center" vertical="center"/>
    </xf>
    <xf numFmtId="0" fontId="8" fillId="0" borderId="24" xfId="1" applyFont="1" applyBorder="1" applyAlignment="1">
      <alignment horizontal="center" vertical="center"/>
    </xf>
    <xf numFmtId="0" fontId="8" fillId="0" borderId="50" xfId="1" quotePrefix="1" applyFont="1" applyBorder="1" applyAlignment="1">
      <alignment horizontal="center" vertical="center"/>
    </xf>
    <xf numFmtId="0" fontId="8" fillId="0" borderId="13" xfId="1" quotePrefix="1" applyFont="1" applyBorder="1" applyAlignment="1">
      <alignment horizontal="center" vertical="center"/>
    </xf>
    <xf numFmtId="0" fontId="8" fillId="0" borderId="46" xfId="1" applyFont="1" applyBorder="1" applyAlignment="1">
      <alignment horizontal="center" vertical="center"/>
    </xf>
    <xf numFmtId="0" fontId="8" fillId="0" borderId="45" xfId="1" applyFont="1" applyBorder="1" applyAlignment="1">
      <alignment horizontal="center" vertical="center"/>
    </xf>
    <xf numFmtId="0" fontId="63" fillId="0" borderId="0" xfId="197" applyFont="1" applyAlignment="1">
      <alignment horizontal="center" vertical="center"/>
    </xf>
    <xf numFmtId="0" fontId="8" fillId="0" borderId="48" xfId="197" applyFont="1" applyBorder="1" applyAlignment="1">
      <alignment horizontal="center" vertical="center"/>
    </xf>
    <xf numFmtId="0" fontId="8" fillId="0" borderId="47" xfId="197" applyFont="1" applyBorder="1" applyAlignment="1">
      <alignment horizontal="center" vertical="center"/>
    </xf>
    <xf numFmtId="0" fontId="8" fillId="0" borderId="54" xfId="197" applyFont="1" applyBorder="1" applyAlignment="1">
      <alignment horizontal="center" vertical="center"/>
    </xf>
    <xf numFmtId="0" fontId="8" fillId="0" borderId="14" xfId="197" applyFont="1" applyBorder="1" applyAlignment="1">
      <alignment horizontal="center" vertical="center"/>
    </xf>
    <xf numFmtId="0" fontId="8" fillId="0" borderId="50" xfId="197" applyFont="1" applyBorder="1" applyAlignment="1">
      <alignment horizontal="center" vertical="center"/>
    </xf>
    <xf numFmtId="0" fontId="8" fillId="0" borderId="45" xfId="197" applyFont="1" applyBorder="1" applyAlignment="1">
      <alignment horizontal="center" vertical="center"/>
    </xf>
    <xf numFmtId="0" fontId="62" fillId="0" borderId="0" xfId="197" applyFont="1" applyAlignment="1">
      <alignment horizontal="left" vertical="center"/>
    </xf>
    <xf numFmtId="0" fontId="65" fillId="0" borderId="0" xfId="197" applyFont="1" applyBorder="1" applyAlignment="1">
      <alignment horizontal="center" vertical="center"/>
    </xf>
    <xf numFmtId="0" fontId="62" fillId="0" borderId="24" xfId="197" applyFont="1" applyBorder="1" applyAlignment="1">
      <alignment horizontal="right" vertical="center"/>
    </xf>
    <xf numFmtId="0" fontId="51" fillId="0" borderId="47" xfId="197" applyFont="1" applyBorder="1" applyAlignment="1">
      <alignment horizontal="center" vertical="center"/>
    </xf>
    <xf numFmtId="0" fontId="51" fillId="0" borderId="15" xfId="197" applyFont="1" applyBorder="1" applyAlignment="1">
      <alignment horizontal="center" vertical="center"/>
    </xf>
    <xf numFmtId="0" fontId="51" fillId="0" borderId="45" xfId="197" applyFont="1" applyBorder="1" applyAlignment="1">
      <alignment horizontal="center" vertical="center"/>
    </xf>
    <xf numFmtId="0" fontId="51" fillId="0" borderId="91" xfId="197" applyFont="1" applyBorder="1" applyAlignment="1">
      <alignment horizontal="center" vertical="center"/>
    </xf>
    <xf numFmtId="0" fontId="8" fillId="0" borderId="46" xfId="197" applyFont="1" applyBorder="1" applyAlignment="1">
      <alignment horizontal="center" vertical="center"/>
    </xf>
    <xf numFmtId="0" fontId="8" fillId="0" borderId="48" xfId="197" applyFont="1" applyBorder="1" applyAlignment="1">
      <alignment horizontal="left" vertical="center"/>
    </xf>
    <xf numFmtId="0" fontId="8" fillId="0" borderId="0" xfId="197" applyFont="1" applyBorder="1" applyAlignment="1">
      <alignment horizontal="left" vertical="center"/>
    </xf>
    <xf numFmtId="0" fontId="63" fillId="0" borderId="0" xfId="197" applyFont="1" applyBorder="1" applyAlignment="1">
      <alignment horizontal="center" vertical="center"/>
    </xf>
    <xf numFmtId="0" fontId="8" fillId="0" borderId="49" xfId="197" applyFont="1" applyBorder="1" applyAlignment="1">
      <alignment horizontal="center" vertical="center"/>
    </xf>
    <xf numFmtId="0" fontId="8" fillId="0" borderId="45" xfId="197" applyFont="1" applyBorder="1" applyAlignment="1"/>
    <xf numFmtId="0" fontId="8" fillId="0" borderId="49" xfId="197" applyFont="1" applyBorder="1" applyAlignment="1"/>
    <xf numFmtId="0" fontId="8" fillId="0" borderId="45" xfId="197" applyFont="1" applyBorder="1" applyAlignment="1">
      <alignment horizontal="center" vertical="center" shrinkToFit="1"/>
    </xf>
    <xf numFmtId="0" fontId="8" fillId="0" borderId="49" xfId="197" applyFont="1" applyBorder="1" applyAlignment="1">
      <alignment horizontal="center" vertical="center" shrinkToFit="1"/>
    </xf>
    <xf numFmtId="0" fontId="8" fillId="0" borderId="46" xfId="197" applyFont="1" applyBorder="1" applyAlignment="1">
      <alignment horizontal="left"/>
    </xf>
    <xf numFmtId="0" fontId="8" fillId="0" borderId="49" xfId="197" applyFont="1" applyBorder="1" applyAlignment="1">
      <alignment horizontal="left"/>
    </xf>
    <xf numFmtId="0" fontId="8" fillId="0" borderId="65" xfId="197" applyFont="1" applyBorder="1" applyAlignment="1"/>
    <xf numFmtId="0" fontId="51" fillId="0" borderId="48" xfId="197" applyFont="1" applyBorder="1" applyAlignment="1">
      <alignment horizontal="center" vertical="center" shrinkToFit="1"/>
    </xf>
    <xf numFmtId="0" fontId="51" fillId="0" borderId="47" xfId="197" applyFont="1" applyBorder="1" applyAlignment="1">
      <alignment horizontal="center" vertical="center" shrinkToFit="1"/>
    </xf>
    <xf numFmtId="0" fontId="51" fillId="0" borderId="0" xfId="197" applyFont="1" applyBorder="1" applyAlignment="1">
      <alignment horizontal="center" vertical="center" shrinkToFit="1"/>
    </xf>
    <xf numFmtId="0" fontId="51" fillId="0" borderId="18" xfId="197" applyFont="1" applyBorder="1" applyAlignment="1">
      <alignment horizontal="center" vertical="center" shrinkToFit="1"/>
    </xf>
    <xf numFmtId="0" fontId="8" fillId="0" borderId="54" xfId="197" applyFont="1" applyBorder="1" applyAlignment="1"/>
    <xf numFmtId="0" fontId="8" fillId="0" borderId="83" xfId="197" applyFont="1" applyBorder="1" applyAlignment="1">
      <alignment horizontal="center" vertical="center" textRotation="255"/>
    </xf>
    <xf numFmtId="0" fontId="8" fillId="0" borderId="18" xfId="197" applyFont="1" applyBorder="1" applyAlignment="1">
      <alignment horizontal="center" vertical="center" textRotation="255"/>
    </xf>
    <xf numFmtId="0" fontId="8" fillId="0" borderId="73" xfId="197" applyFont="1" applyBorder="1" applyAlignment="1"/>
    <xf numFmtId="0" fontId="8" fillId="0" borderId="17" xfId="197" applyFont="1" applyBorder="1" applyAlignment="1">
      <alignment horizontal="center" vertical="center" textRotation="255"/>
    </xf>
    <xf numFmtId="0" fontId="8" fillId="0" borderId="14" xfId="197" applyFont="1" applyBorder="1" applyAlignment="1">
      <alignment horizontal="center" vertical="center" textRotation="255"/>
    </xf>
    <xf numFmtId="0" fontId="8" fillId="0" borderId="46" xfId="197" applyFont="1" applyBorder="1" applyAlignment="1">
      <alignment horizontal="left" vertical="center"/>
    </xf>
    <xf numFmtId="0" fontId="8" fillId="0" borderId="49" xfId="197" applyFont="1" applyBorder="1" applyAlignment="1">
      <alignment horizontal="left" vertical="center"/>
    </xf>
    <xf numFmtId="0" fontId="8" fillId="0" borderId="54" xfId="197" applyFont="1" applyBorder="1" applyAlignment="1">
      <alignment horizontal="center" vertical="center" textRotation="255"/>
    </xf>
    <xf numFmtId="0" fontId="49" fillId="0" borderId="65" xfId="197" applyFont="1" applyBorder="1" applyAlignment="1"/>
    <xf numFmtId="0" fontId="49" fillId="0" borderId="54" xfId="197" applyFont="1" applyBorder="1" applyAlignment="1"/>
    <xf numFmtId="0" fontId="49" fillId="0" borderId="17" xfId="197" applyFont="1" applyBorder="1" applyAlignment="1">
      <alignment vertical="top"/>
    </xf>
    <xf numFmtId="0" fontId="8" fillId="0" borderId="14" xfId="197" applyFont="1" applyBorder="1" applyAlignment="1"/>
    <xf numFmtId="0" fontId="67" fillId="0" borderId="0" xfId="197" applyFont="1" applyBorder="1" applyAlignment="1">
      <alignment horizontal="left" vertical="center"/>
    </xf>
    <xf numFmtId="0" fontId="8" fillId="0" borderId="67" xfId="197" applyFont="1" applyBorder="1" applyAlignment="1">
      <alignment horizontal="center"/>
    </xf>
    <xf numFmtId="0" fontId="8" fillId="0" borderId="68" xfId="197" applyFont="1" applyBorder="1" applyAlignment="1">
      <alignment horizontal="center"/>
    </xf>
    <xf numFmtId="0" fontId="67" fillId="0" borderId="48" xfId="197" applyFont="1" applyBorder="1" applyAlignment="1">
      <alignment horizontal="left" vertical="center"/>
    </xf>
    <xf numFmtId="0" fontId="8" fillId="0" borderId="48" xfId="197" applyFont="1" applyBorder="1" applyAlignment="1"/>
    <xf numFmtId="0" fontId="63" fillId="0" borderId="24" xfId="197" applyFont="1" applyBorder="1" applyAlignment="1">
      <alignment horizontal="center" vertical="center"/>
    </xf>
    <xf numFmtId="0" fontId="8" fillId="0" borderId="47" xfId="197" applyFont="1" applyBorder="1" applyAlignment="1">
      <alignment horizontal="center" vertical="center" textRotation="255"/>
    </xf>
    <xf numFmtId="0" fontId="8" fillId="0" borderId="15" xfId="197" applyFont="1" applyBorder="1" applyAlignment="1">
      <alignment horizontal="center" vertical="center" textRotation="255"/>
    </xf>
    <xf numFmtId="0" fontId="49" fillId="0" borderId="54" xfId="197" applyFont="1" applyBorder="1" applyAlignment="1">
      <alignment horizontal="center" vertical="center" textRotation="255"/>
    </xf>
    <xf numFmtId="0" fontId="49" fillId="0" borderId="14" xfId="197" applyFont="1" applyBorder="1" applyAlignment="1">
      <alignment horizontal="center" vertical="center" textRotation="255"/>
    </xf>
    <xf numFmtId="0" fontId="67" fillId="0" borderId="54" xfId="197" applyFont="1" applyBorder="1" applyAlignment="1">
      <alignment horizontal="center" vertical="center" textRotation="255"/>
    </xf>
    <xf numFmtId="0" fontId="67" fillId="0" borderId="14" xfId="197" applyFont="1" applyBorder="1" applyAlignment="1">
      <alignment horizontal="center" vertical="center" textRotation="255"/>
    </xf>
    <xf numFmtId="0" fontId="7" fillId="0" borderId="0" xfId="197" applyFont="1" applyBorder="1" applyAlignment="1">
      <alignment horizontal="left" vertical="center"/>
    </xf>
    <xf numFmtId="0" fontId="8" fillId="0" borderId="50" xfId="197" applyFont="1" applyBorder="1" applyAlignment="1">
      <alignment horizontal="center" vertical="center" textRotation="255"/>
    </xf>
    <xf numFmtId="0" fontId="8" fillId="0" borderId="13" xfId="197" applyFont="1" applyBorder="1" applyAlignment="1">
      <alignment horizontal="center" vertical="center" textRotation="255"/>
    </xf>
    <xf numFmtId="0" fontId="67" fillId="0" borderId="0" xfId="197" applyFont="1" applyAlignment="1">
      <alignment horizontal="left" vertical="center"/>
    </xf>
    <xf numFmtId="0" fontId="8" fillId="0" borderId="93" xfId="197" applyFont="1" applyBorder="1" applyAlignment="1">
      <alignment horizontal="center" vertical="center"/>
    </xf>
    <xf numFmtId="0" fontId="8" fillId="0" borderId="93" xfId="197" applyFont="1" applyBorder="1" applyAlignment="1">
      <alignment horizontal="center"/>
    </xf>
    <xf numFmtId="0" fontId="8" fillId="0" borderId="94" xfId="197" applyFont="1" applyBorder="1" applyAlignment="1">
      <alignment horizontal="center"/>
    </xf>
    <xf numFmtId="0" fontId="8" fillId="0" borderId="16" xfId="197" applyFont="1" applyBorder="1" applyAlignment="1">
      <alignment horizontal="left" indent="1"/>
    </xf>
    <xf numFmtId="0" fontId="8" fillId="0" borderId="0" xfId="197" applyFont="1" applyBorder="1" applyAlignment="1">
      <alignment horizontal="left" indent="1"/>
    </xf>
    <xf numFmtId="0" fontId="8" fillId="0" borderId="16" xfId="197" applyFont="1" applyBorder="1" applyAlignment="1">
      <alignment horizontal="left" vertical="center" indent="3"/>
    </xf>
    <xf numFmtId="0" fontId="8" fillId="0" borderId="0" xfId="197" applyFont="1" applyBorder="1" applyAlignment="1">
      <alignment horizontal="left" vertical="center" indent="3"/>
    </xf>
    <xf numFmtId="0" fontId="8" fillId="0" borderId="16" xfId="197" applyFont="1" applyBorder="1" applyAlignment="1">
      <alignment horizontal="left" vertical="center" indent="5"/>
    </xf>
    <xf numFmtId="0" fontId="8" fillId="0" borderId="0" xfId="197" applyFont="1" applyBorder="1" applyAlignment="1">
      <alignment horizontal="left" vertical="center" indent="5"/>
    </xf>
    <xf numFmtId="0" fontId="8" fillId="0" borderId="16" xfId="197" applyFont="1" applyBorder="1" applyAlignment="1">
      <alignment horizontal="left" vertical="center" indent="7"/>
    </xf>
    <xf numFmtId="0" fontId="8" fillId="0" borderId="0" xfId="197" applyFont="1" applyBorder="1" applyAlignment="1">
      <alignment horizontal="left" vertical="center" indent="7"/>
    </xf>
    <xf numFmtId="0" fontId="8" fillId="0" borderId="16" xfId="197" applyFont="1" applyBorder="1" applyAlignment="1">
      <alignment horizontal="left" indent="3"/>
    </xf>
    <xf numFmtId="0" fontId="8" fillId="0" borderId="0" xfId="197" applyFont="1" applyBorder="1" applyAlignment="1">
      <alignment horizontal="left" indent="3"/>
    </xf>
    <xf numFmtId="0" fontId="49" fillId="0" borderId="16" xfId="197" applyFont="1" applyBorder="1" applyAlignment="1">
      <alignment horizontal="left" indent="3"/>
    </xf>
    <xf numFmtId="0" fontId="8" fillId="0" borderId="18" xfId="197" applyFont="1" applyBorder="1" applyAlignment="1"/>
    <xf numFmtId="0" fontId="8" fillId="0" borderId="72" xfId="197" applyFont="1" applyBorder="1" applyAlignment="1">
      <alignment horizontal="left" indent="1"/>
    </xf>
    <xf numFmtId="0" fontId="8" fillId="0" borderId="66" xfId="197" applyFont="1" applyBorder="1" applyAlignment="1">
      <alignment horizontal="left" indent="1"/>
    </xf>
    <xf numFmtId="0" fontId="8" fillId="0" borderId="83" xfId="197" applyFont="1" applyBorder="1" applyAlignment="1">
      <alignment horizontal="left" indent="1"/>
    </xf>
    <xf numFmtId="0" fontId="49" fillId="0" borderId="16" xfId="197" applyFont="1" applyBorder="1" applyAlignment="1">
      <alignment horizontal="left" vertical="top" indent="3"/>
    </xf>
    <xf numFmtId="0" fontId="8" fillId="0" borderId="18" xfId="197" applyFont="1" applyBorder="1" applyAlignment="1">
      <alignment horizontal="left" indent="3"/>
    </xf>
    <xf numFmtId="0" fontId="8" fillId="0" borderId="17" xfId="197" applyFont="1" applyBorder="1" applyAlignment="1">
      <alignment horizontal="left" indent="3"/>
    </xf>
    <xf numFmtId="0" fontId="63" fillId="0" borderId="0" xfId="197" applyFont="1" applyFill="1" applyBorder="1" applyAlignment="1">
      <alignment horizontal="center" vertical="center"/>
    </xf>
    <xf numFmtId="0" fontId="8" fillId="0" borderId="48" xfId="197" applyFont="1" applyFill="1" applyBorder="1" applyAlignment="1">
      <alignment horizontal="center" vertical="center"/>
    </xf>
    <xf numFmtId="0" fontId="8" fillId="0" borderId="0" xfId="197" applyFont="1" applyFill="1" applyBorder="1" applyAlignment="1">
      <alignment horizontal="center" vertical="center"/>
    </xf>
    <xf numFmtId="0" fontId="8" fillId="0" borderId="45" xfId="197" applyFont="1" applyFill="1" applyBorder="1" applyAlignment="1">
      <alignment horizontal="center" vertical="center"/>
    </xf>
    <xf numFmtId="0" fontId="8" fillId="0" borderId="75" xfId="197" applyFont="1" applyFill="1" applyBorder="1" applyAlignment="1">
      <alignment horizontal="center" vertical="center"/>
    </xf>
    <xf numFmtId="0" fontId="8" fillId="0" borderId="74" xfId="197" applyFont="1" applyFill="1" applyBorder="1" applyAlignment="1"/>
    <xf numFmtId="0" fontId="8" fillId="0" borderId="24" xfId="197" applyFont="1" applyFill="1" applyBorder="1" applyAlignment="1"/>
    <xf numFmtId="0" fontId="8" fillId="0" borderId="46" xfId="197" applyFont="1" applyFill="1" applyBorder="1" applyAlignment="1">
      <alignment horizontal="center" vertical="center"/>
    </xf>
    <xf numFmtId="0" fontId="8" fillId="0" borderId="49" xfId="197" applyFont="1" applyFill="1" applyBorder="1" applyAlignment="1">
      <alignment horizontal="center" vertical="center"/>
    </xf>
    <xf numFmtId="0" fontId="8" fillId="0" borderId="50" xfId="197" applyFont="1" applyFill="1" applyBorder="1" applyAlignment="1">
      <alignment horizontal="center" vertical="center"/>
    </xf>
    <xf numFmtId="0" fontId="8" fillId="0" borderId="13" xfId="197" applyFont="1" applyFill="1" applyBorder="1" applyAlignment="1">
      <alignment horizontal="center" vertical="center"/>
    </xf>
    <xf numFmtId="0" fontId="8" fillId="0" borderId="54" xfId="197" applyFont="1" applyFill="1" applyBorder="1" applyAlignment="1">
      <alignment horizontal="center" vertical="center"/>
    </xf>
    <xf numFmtId="0" fontId="8" fillId="0" borderId="14" xfId="197" applyFont="1" applyFill="1" applyBorder="1" applyAlignment="1">
      <alignment horizontal="center" vertical="center"/>
    </xf>
    <xf numFmtId="0" fontId="67" fillId="0" borderId="0" xfId="197" applyFont="1" applyFill="1" applyAlignment="1">
      <alignment horizontal="left" vertical="center"/>
    </xf>
    <xf numFmtId="0" fontId="8" fillId="0" borderId="78" xfId="197" applyFont="1" applyFill="1" applyBorder="1" applyAlignment="1">
      <alignment horizontal="center" vertical="center"/>
    </xf>
    <xf numFmtId="0" fontId="67" fillId="0" borderId="48" xfId="197" applyFont="1" applyFill="1" applyBorder="1" applyAlignment="1">
      <alignment horizontal="left" vertical="center" wrapText="1"/>
    </xf>
    <xf numFmtId="0" fontId="67" fillId="0" borderId="0" xfId="197" applyFont="1" applyFill="1" applyBorder="1" applyAlignment="1">
      <alignment horizontal="left" vertical="center"/>
    </xf>
    <xf numFmtId="0" fontId="8" fillId="0" borderId="98" xfId="197" applyFont="1" applyFill="1" applyBorder="1" applyAlignment="1">
      <alignment horizontal="center" vertical="center"/>
    </xf>
    <xf numFmtId="0" fontId="8" fillId="0" borderId="97" xfId="197" applyFont="1" applyFill="1" applyBorder="1" applyAlignment="1">
      <alignment horizontal="center" vertical="center"/>
    </xf>
    <xf numFmtId="0" fontId="67" fillId="0" borderId="0" xfId="197" applyFont="1" applyBorder="1" applyAlignment="1">
      <alignment vertical="center"/>
    </xf>
    <xf numFmtId="0" fontId="8" fillId="0" borderId="0" xfId="197" applyFont="1" applyBorder="1" applyAlignment="1">
      <alignment vertical="center"/>
    </xf>
    <xf numFmtId="0" fontId="67" fillId="0" borderId="0" xfId="197" applyFont="1" applyAlignment="1">
      <alignment vertical="center"/>
    </xf>
    <xf numFmtId="0" fontId="8" fillId="0" borderId="0" xfId="197" applyFont="1" applyAlignment="1">
      <alignment vertical="center"/>
    </xf>
    <xf numFmtId="0" fontId="67" fillId="0" borderId="0" xfId="197" applyFont="1" applyAlignment="1"/>
    <xf numFmtId="0" fontId="8" fillId="0" borderId="0" xfId="197" applyFont="1" applyAlignment="1"/>
    <xf numFmtId="0" fontId="8" fillId="0" borderId="24" xfId="197" applyFont="1" applyFill="1" applyBorder="1" applyAlignment="1">
      <alignment horizontal="center" vertical="center"/>
    </xf>
    <xf numFmtId="0" fontId="67" fillId="0" borderId="48" xfId="138" applyFont="1" applyBorder="1" applyAlignment="1">
      <alignment horizontal="left" vertical="center" wrapText="1"/>
    </xf>
    <xf numFmtId="0" fontId="67" fillId="0" borderId="0" xfId="138" applyFont="1" applyBorder="1" applyAlignment="1">
      <alignment horizontal="left" vertical="center" wrapText="1"/>
    </xf>
    <xf numFmtId="0" fontId="67" fillId="0" borderId="0" xfId="197" applyFont="1" applyBorder="1" applyAlignment="1">
      <alignment horizontal="left" vertical="center" wrapText="1"/>
    </xf>
    <xf numFmtId="0" fontId="89" fillId="0" borderId="0" xfId="197" applyFont="1" applyFill="1" applyBorder="1" applyAlignment="1">
      <alignment horizontal="center" vertical="center"/>
    </xf>
    <xf numFmtId="0" fontId="7" fillId="0" borderId="46" xfId="197" applyFont="1" applyFill="1" applyBorder="1" applyAlignment="1">
      <alignment horizontal="center" vertical="center"/>
    </xf>
    <xf numFmtId="0" fontId="8" fillId="0" borderId="46" xfId="197" applyFont="1" applyFill="1" applyBorder="1" applyAlignment="1">
      <alignment horizontal="center" shrinkToFit="1"/>
    </xf>
    <xf numFmtId="0" fontId="8" fillId="0" borderId="49" xfId="197" applyFont="1" applyFill="1" applyBorder="1" applyAlignment="1">
      <alignment horizontal="center" shrinkToFit="1"/>
    </xf>
    <xf numFmtId="0" fontId="8" fillId="0" borderId="45" xfId="197" applyFont="1" applyFill="1" applyBorder="1" applyAlignment="1">
      <alignment horizontal="center" shrinkToFit="1"/>
    </xf>
    <xf numFmtId="0" fontId="8" fillId="0" borderId="99" xfId="197" applyFont="1" applyFill="1" applyBorder="1" applyAlignment="1">
      <alignment horizontal="center" vertical="center"/>
    </xf>
    <xf numFmtId="0" fontId="8" fillId="0" borderId="0" xfId="197" applyFont="1" applyBorder="1" applyAlignment="1">
      <alignment horizontal="center" vertical="center"/>
    </xf>
    <xf numFmtId="0" fontId="8" fillId="0" borderId="43" xfId="197" applyFont="1" applyBorder="1" applyAlignment="1">
      <alignment horizontal="center" vertical="center"/>
    </xf>
    <xf numFmtId="0" fontId="8" fillId="0" borderId="97" xfId="197" applyFont="1" applyBorder="1" applyAlignment="1">
      <alignment horizontal="center" vertical="center"/>
    </xf>
    <xf numFmtId="0" fontId="8" fillId="0" borderId="99" xfId="197" applyFont="1" applyBorder="1" applyAlignment="1">
      <alignment horizontal="center" vertical="center"/>
    </xf>
    <xf numFmtId="0" fontId="8" fillId="0" borderId="98" xfId="197" applyFont="1" applyBorder="1" applyAlignment="1">
      <alignment horizontal="center" vertical="center"/>
    </xf>
    <xf numFmtId="0" fontId="8" fillId="0" borderId="13" xfId="197" applyFont="1" applyBorder="1" applyAlignment="1">
      <alignment horizontal="center" vertical="center"/>
    </xf>
    <xf numFmtId="0" fontId="67" fillId="0" borderId="0" xfId="197" applyFont="1" applyAlignment="1">
      <alignment horizontal="left" vertical="center" wrapText="1"/>
    </xf>
    <xf numFmtId="0" fontId="8" fillId="0" borderId="0" xfId="197" applyFont="1" applyAlignment="1">
      <alignment horizontal="left" vertical="center"/>
    </xf>
    <xf numFmtId="0" fontId="67" fillId="0" borderId="0" xfId="197" applyFont="1" applyAlignment="1">
      <alignment horizontal="left"/>
    </xf>
    <xf numFmtId="0" fontId="67" fillId="0" borderId="0" xfId="197" applyFont="1" applyBorder="1" applyAlignment="1"/>
    <xf numFmtId="0" fontId="67" fillId="0" borderId="48" xfId="197" applyFont="1" applyBorder="1" applyAlignment="1">
      <alignment horizontal="left" vertical="center" wrapText="1"/>
    </xf>
    <xf numFmtId="0" fontId="67" fillId="0" borderId="0" xfId="197" applyFont="1" applyFill="1" applyBorder="1" applyAlignment="1"/>
    <xf numFmtId="0" fontId="8" fillId="0" borderId="0" xfId="197" applyFont="1" applyFill="1" applyBorder="1" applyAlignment="1"/>
    <xf numFmtId="0" fontId="67" fillId="0" borderId="48" xfId="197" applyFont="1" applyFill="1" applyBorder="1" applyAlignment="1">
      <alignment horizontal="left" vertical="center"/>
    </xf>
    <xf numFmtId="0" fontId="82" fillId="0" borderId="0" xfId="197" applyFont="1" applyBorder="1" applyAlignment="1">
      <alignment vertical="center" wrapText="1"/>
    </xf>
    <xf numFmtId="0" fontId="67" fillId="0" borderId="0" xfId="197" applyFont="1" applyAlignment="1">
      <alignment vertical="center" wrapText="1"/>
    </xf>
    <xf numFmtId="0" fontId="67" fillId="0" borderId="48" xfId="197" applyFont="1" applyBorder="1" applyAlignment="1">
      <alignment horizontal="left"/>
    </xf>
    <xf numFmtId="0" fontId="8" fillId="0" borderId="48" xfId="197" applyFont="1" applyBorder="1" applyAlignment="1">
      <alignment horizontal="left"/>
    </xf>
    <xf numFmtId="0" fontId="67" fillId="0" borderId="0" xfId="197" applyFont="1" applyBorder="1" applyAlignment="1">
      <alignment horizontal="left"/>
    </xf>
    <xf numFmtId="0" fontId="51" fillId="0" borderId="48" xfId="197" applyFont="1" applyBorder="1" applyAlignment="1">
      <alignment horizontal="center" vertical="center"/>
    </xf>
    <xf numFmtId="0" fontId="51" fillId="0" borderId="0" xfId="197" applyFont="1" applyBorder="1" applyAlignment="1">
      <alignment horizontal="center" vertical="center"/>
    </xf>
    <xf numFmtId="0" fontId="51" fillId="0" borderId="24" xfId="197" applyFont="1" applyBorder="1" applyAlignment="1">
      <alignment horizontal="center" vertical="center"/>
    </xf>
    <xf numFmtId="0" fontId="51" fillId="0" borderId="49" xfId="197" applyFont="1" applyBorder="1" applyAlignment="1">
      <alignment horizontal="center" vertical="center"/>
    </xf>
    <xf numFmtId="0" fontId="51" fillId="0" borderId="46" xfId="197" applyFont="1" applyBorder="1" applyAlignment="1">
      <alignment horizontal="center" vertical="center"/>
    </xf>
    <xf numFmtId="0" fontId="51" fillId="0" borderId="54" xfId="197" applyFont="1" applyBorder="1" applyAlignment="1">
      <alignment horizontal="center" vertical="center"/>
    </xf>
    <xf numFmtId="0" fontId="51" fillId="0" borderId="14" xfId="197" applyFont="1" applyBorder="1" applyAlignment="1">
      <alignment horizontal="center" vertical="center"/>
    </xf>
    <xf numFmtId="0" fontId="51" fillId="0" borderId="50" xfId="197" applyFont="1" applyBorder="1" applyAlignment="1">
      <alignment horizontal="center" vertical="center"/>
    </xf>
    <xf numFmtId="0" fontId="51" fillId="0" borderId="13" xfId="197" applyFont="1" applyBorder="1" applyAlignment="1">
      <alignment horizontal="center" vertical="center"/>
    </xf>
    <xf numFmtId="0" fontId="148" fillId="0" borderId="43" xfId="197" applyFont="1" applyBorder="1" applyAlignment="1">
      <alignment horizontal="center" vertical="center"/>
    </xf>
    <xf numFmtId="0" fontId="148" fillId="0" borderId="0" xfId="197" applyFont="1" applyBorder="1" applyAlignment="1">
      <alignment horizontal="center" vertical="center"/>
    </xf>
    <xf numFmtId="0" fontId="148" fillId="0" borderId="24" xfId="197" applyFont="1" applyBorder="1" applyAlignment="1">
      <alignment horizontal="center" vertical="center"/>
    </xf>
    <xf numFmtId="0" fontId="51" fillId="0" borderId="97" xfId="197" applyFont="1" applyBorder="1" applyAlignment="1">
      <alignment horizontal="center" vertical="center"/>
    </xf>
    <xf numFmtId="0" fontId="51" fillId="0" borderId="99" xfId="197" applyFont="1" applyBorder="1" applyAlignment="1">
      <alignment horizontal="center" vertical="center"/>
    </xf>
    <xf numFmtId="0" fontId="51" fillId="0" borderId="98" xfId="197" applyFont="1" applyBorder="1" applyAlignment="1">
      <alignment horizontal="center" vertical="center"/>
    </xf>
    <xf numFmtId="0" fontId="62" fillId="0" borderId="48" xfId="197" applyFont="1" applyBorder="1" applyAlignment="1">
      <alignment horizontal="left" vertical="center"/>
    </xf>
    <xf numFmtId="0" fontId="98" fillId="0" borderId="0" xfId="197" applyFont="1" applyBorder="1" applyAlignment="1">
      <alignment horizontal="left" vertical="center"/>
    </xf>
    <xf numFmtId="0" fontId="62" fillId="0" borderId="0" xfId="197" applyFont="1" applyBorder="1" applyAlignment="1">
      <alignment horizontal="left" vertical="center"/>
    </xf>
    <xf numFmtId="0" fontId="67" fillId="0" borderId="48" xfId="197" applyFont="1" applyBorder="1" applyAlignment="1">
      <alignment vertical="center"/>
    </xf>
    <xf numFmtId="0" fontId="67" fillId="0" borderId="48" xfId="197" applyFont="1" applyBorder="1" applyAlignment="1">
      <alignment vertical="center" wrapText="1"/>
    </xf>
    <xf numFmtId="0" fontId="67" fillId="0" borderId="0" xfId="197" applyFont="1" applyBorder="1" applyAlignment="1">
      <alignment vertical="center" wrapText="1"/>
    </xf>
    <xf numFmtId="0" fontId="8" fillId="0" borderId="0" xfId="197" applyFont="1" applyBorder="1" applyAlignment="1">
      <alignment vertical="center" wrapText="1"/>
    </xf>
    <xf numFmtId="0" fontId="67" fillId="0" borderId="48" xfId="197" applyFont="1" applyBorder="1" applyAlignment="1">
      <alignment horizontal="left" wrapText="1"/>
    </xf>
    <xf numFmtId="0" fontId="62" fillId="0" borderId="0" xfId="197" applyFont="1" applyBorder="1" applyAlignment="1">
      <alignment horizontal="left" vertical="center" wrapText="1"/>
    </xf>
    <xf numFmtId="0" fontId="62" fillId="0" borderId="0" xfId="197" applyFont="1" applyBorder="1" applyAlignment="1">
      <alignment vertical="center"/>
    </xf>
    <xf numFmtId="0" fontId="62" fillId="0" borderId="0" xfId="197" applyFont="1" applyAlignment="1">
      <alignment vertical="center"/>
    </xf>
    <xf numFmtId="0" fontId="8" fillId="0" borderId="47" xfId="197" applyFont="1" applyBorder="1" applyAlignment="1"/>
    <xf numFmtId="179" fontId="63" fillId="0" borderId="0" xfId="197" applyNumberFormat="1" applyFont="1" applyAlignment="1">
      <alignment horizontal="center" vertical="center"/>
    </xf>
    <xf numFmtId="179" fontId="8" fillId="0" borderId="101" xfId="197" applyNumberFormat="1" applyFont="1" applyBorder="1" applyAlignment="1">
      <alignment horizontal="center" vertical="center" wrapText="1"/>
    </xf>
    <xf numFmtId="179" fontId="8" fillId="0" borderId="102" xfId="197" applyNumberFormat="1" applyFont="1" applyBorder="1" applyAlignment="1">
      <alignment horizontal="center" vertical="center" wrapText="1"/>
    </xf>
    <xf numFmtId="179" fontId="8" fillId="0" borderId="103" xfId="197" applyNumberFormat="1" applyFont="1" applyBorder="1" applyAlignment="1">
      <alignment horizontal="center" vertical="center" wrapText="1"/>
    </xf>
    <xf numFmtId="179" fontId="8" fillId="0" borderId="15" xfId="197" applyNumberFormat="1" applyFont="1" applyBorder="1" applyAlignment="1">
      <alignment horizontal="center" vertical="center" wrapText="1"/>
    </xf>
    <xf numFmtId="179" fontId="8" fillId="0" borderId="14" xfId="197" applyNumberFormat="1" applyFont="1" applyBorder="1" applyAlignment="1">
      <alignment horizontal="center" vertical="center" wrapText="1"/>
    </xf>
    <xf numFmtId="179" fontId="81" fillId="0" borderId="14" xfId="197" applyNumberFormat="1" applyFont="1" applyBorder="1" applyAlignment="1">
      <alignment horizontal="center" vertical="center" wrapText="1"/>
    </xf>
    <xf numFmtId="179" fontId="51" fillId="0" borderId="14" xfId="197" applyNumberFormat="1" applyFont="1" applyBorder="1" applyAlignment="1">
      <alignment horizontal="center" vertical="center" wrapText="1"/>
    </xf>
    <xf numFmtId="179" fontId="8" fillId="0" borderId="13" xfId="197" applyNumberFormat="1" applyFont="1" applyBorder="1" applyAlignment="1">
      <alignment horizontal="center" vertical="center" wrapText="1"/>
    </xf>
    <xf numFmtId="179" fontId="8" fillId="0" borderId="48" xfId="197" applyNumberFormat="1" applyFont="1" applyBorder="1" applyAlignment="1">
      <alignment horizontal="center" vertical="center" wrapText="1"/>
    </xf>
    <xf numFmtId="179" fontId="8" fillId="0" borderId="104" xfId="197" applyNumberFormat="1" applyFont="1" applyBorder="1" applyAlignment="1">
      <alignment horizontal="center" vertical="center" wrapText="1"/>
    </xf>
    <xf numFmtId="179" fontId="8" fillId="0" borderId="29" xfId="197" applyNumberFormat="1" applyFont="1" applyBorder="1" applyAlignment="1">
      <alignment horizontal="center" vertical="center" wrapText="1"/>
    </xf>
    <xf numFmtId="179" fontId="8" fillId="0" borderId="31" xfId="197" applyNumberFormat="1" applyFont="1" applyBorder="1" applyAlignment="1">
      <alignment horizontal="center" vertical="center" wrapText="1"/>
    </xf>
    <xf numFmtId="179" fontId="8" fillId="0" borderId="45" xfId="197" applyNumberFormat="1" applyFont="1" applyBorder="1" applyAlignment="1">
      <alignment horizontal="center" vertical="center" wrapText="1"/>
    </xf>
    <xf numFmtId="179" fontId="67" fillId="0" borderId="48" xfId="197" applyNumberFormat="1" applyFont="1" applyBorder="1" applyAlignment="1">
      <alignment horizontal="left" vertical="center"/>
    </xf>
    <xf numFmtId="0" fontId="8" fillId="0" borderId="0" xfId="211" applyFont="1" applyBorder="1" applyAlignment="1">
      <alignment horizontal="right" vertical="distributed"/>
    </xf>
    <xf numFmtId="0" fontId="8" fillId="0" borderId="0" xfId="211" applyFont="1" applyAlignment="1">
      <alignment horizontal="right" vertical="distributed"/>
    </xf>
    <xf numFmtId="0" fontId="63" fillId="0" borderId="0" xfId="211" applyFont="1" applyBorder="1" applyAlignment="1">
      <alignment horizontal="center" vertical="center"/>
    </xf>
    <xf numFmtId="0" fontId="63" fillId="0" borderId="0" xfId="211" applyFont="1" applyAlignment="1">
      <alignment horizontal="center" vertical="center"/>
    </xf>
    <xf numFmtId="0" fontId="63" fillId="0" borderId="0" xfId="211" applyFont="1" applyAlignment="1"/>
    <xf numFmtId="186" fontId="8" fillId="0" borderId="45" xfId="211" applyNumberFormat="1" applyFont="1" applyBorder="1" applyAlignment="1">
      <alignment horizontal="center" vertical="distributed"/>
    </xf>
    <xf numFmtId="0" fontId="8" fillId="0" borderId="45" xfId="211" applyFont="1" applyBorder="1" applyAlignment="1">
      <alignment horizontal="center" vertical="distributed"/>
    </xf>
    <xf numFmtId="0" fontId="8" fillId="0" borderId="0" xfId="211" applyFont="1" applyBorder="1" applyAlignment="1">
      <alignment horizontal="distributed" vertical="distributed"/>
    </xf>
    <xf numFmtId="0" fontId="8" fillId="0" borderId="0" xfId="211" applyFont="1" applyAlignment="1">
      <alignment horizontal="distributed" vertical="distributed"/>
    </xf>
    <xf numFmtId="0" fontId="8" fillId="0" borderId="0" xfId="211" applyFont="1" applyBorder="1" applyAlignment="1">
      <alignment horizontal="right" vertical="center"/>
    </xf>
    <xf numFmtId="0" fontId="8" fillId="0" borderId="24" xfId="211" applyFont="1" applyBorder="1" applyAlignment="1">
      <alignment horizontal="right" vertical="center"/>
    </xf>
    <xf numFmtId="0" fontId="8" fillId="0" borderId="48" xfId="211" applyFont="1" applyBorder="1" applyAlignment="1">
      <alignment horizontal="distributed" vertical="distributed"/>
    </xf>
    <xf numFmtId="0" fontId="8" fillId="0" borderId="24" xfId="211" applyFont="1" applyBorder="1" applyAlignment="1">
      <alignment horizontal="distributed" vertical="distributed"/>
    </xf>
    <xf numFmtId="0" fontId="8" fillId="0" borderId="45" xfId="211" applyFont="1" applyBorder="1" applyAlignment="1">
      <alignment horizontal="center" vertical="center"/>
    </xf>
    <xf numFmtId="0" fontId="8" fillId="0" borderId="49" xfId="211" applyFont="1" applyBorder="1" applyAlignment="1">
      <alignment horizontal="center" vertical="center"/>
    </xf>
    <xf numFmtId="0" fontId="8" fillId="0" borderId="46" xfId="211" applyFont="1" applyBorder="1" applyAlignment="1">
      <alignment horizontal="center" vertical="center"/>
    </xf>
    <xf numFmtId="0" fontId="8" fillId="0" borderId="48" xfId="211" applyFont="1" applyBorder="1" applyAlignment="1">
      <alignment horizontal="distributed" vertical="center"/>
    </xf>
    <xf numFmtId="0" fontId="8" fillId="0" borderId="48" xfId="211" applyFont="1" applyBorder="1" applyAlignment="1">
      <alignment vertical="center"/>
    </xf>
    <xf numFmtId="0" fontId="8" fillId="0" borderId="24" xfId="211" applyFont="1" applyBorder="1" applyAlignment="1">
      <alignment horizontal="distributed" vertical="center"/>
    </xf>
    <xf numFmtId="0" fontId="8" fillId="0" borderId="24" xfId="211" applyFont="1" applyBorder="1" applyAlignment="1">
      <alignment vertical="center"/>
    </xf>
    <xf numFmtId="0" fontId="8" fillId="0" borderId="45" xfId="211" applyFont="1" applyBorder="1" applyAlignment="1">
      <alignment horizontal="center" vertical="center" wrapText="1"/>
    </xf>
    <xf numFmtId="0" fontId="8" fillId="0" borderId="46" xfId="211" applyFont="1" applyBorder="1" applyAlignment="1">
      <alignment horizontal="center" vertical="center" wrapText="1"/>
    </xf>
    <xf numFmtId="0" fontId="8" fillId="0" borderId="0" xfId="211" applyFont="1" applyBorder="1" applyAlignment="1">
      <alignment horizontal="distributed" vertical="distributed" wrapText="1"/>
    </xf>
    <xf numFmtId="0" fontId="8" fillId="0" borderId="0" xfId="211" applyFont="1" applyBorder="1" applyAlignment="1">
      <alignment horizontal="distributed" vertical="center" wrapText="1"/>
    </xf>
    <xf numFmtId="0" fontId="8" fillId="0" borderId="0" xfId="211" applyFont="1" applyBorder="1" applyAlignment="1">
      <alignment horizontal="distributed"/>
    </xf>
    <xf numFmtId="0" fontId="8" fillId="0" borderId="24" xfId="211" applyFont="1" applyBorder="1" applyAlignment="1">
      <alignment horizontal="distributed"/>
    </xf>
    <xf numFmtId="0" fontId="67" fillId="0" borderId="0" xfId="211" applyFont="1" applyBorder="1" applyAlignment="1"/>
    <xf numFmtId="0" fontId="67" fillId="0" borderId="0" xfId="211" applyFont="1" applyAlignment="1"/>
    <xf numFmtId="0" fontId="63" fillId="0" borderId="0" xfId="211" applyFont="1" applyBorder="1" applyAlignment="1"/>
    <xf numFmtId="0" fontId="8" fillId="0" borderId="18" xfId="211" applyFont="1" applyBorder="1" applyAlignment="1">
      <alignment horizontal="distributed" vertical="distributed"/>
    </xf>
    <xf numFmtId="0" fontId="8" fillId="0" borderId="47" xfId="211" applyFont="1" applyBorder="1" applyAlignment="1">
      <alignment horizontal="center" vertical="distributed" textRotation="255"/>
    </xf>
    <xf numFmtId="0" fontId="8" fillId="0" borderId="18" xfId="211" applyFont="1" applyBorder="1" applyAlignment="1">
      <alignment horizontal="center" vertical="distributed" textRotation="255"/>
    </xf>
    <xf numFmtId="0" fontId="8" fillId="0" borderId="45" xfId="211" applyFont="1" applyBorder="1" applyAlignment="1">
      <alignment horizontal="distributed" vertical="center"/>
    </xf>
    <xf numFmtId="0" fontId="8" fillId="0" borderId="49" xfId="211" applyFont="1" applyBorder="1" applyAlignment="1">
      <alignment horizontal="distributed" vertical="center"/>
    </xf>
    <xf numFmtId="0" fontId="63" fillId="0" borderId="24" xfId="211" applyFont="1" applyBorder="1" applyAlignment="1">
      <alignment horizontal="center" vertical="center"/>
    </xf>
    <xf numFmtId="0" fontId="8" fillId="0" borderId="0" xfId="211" applyFont="1" applyBorder="1" applyAlignment="1">
      <alignment horizontal="left" vertical="distributed"/>
    </xf>
    <xf numFmtId="0" fontId="8" fillId="0" borderId="0" xfId="211" applyFont="1" applyAlignment="1">
      <alignment horizontal="left" vertical="distributed"/>
    </xf>
    <xf numFmtId="0" fontId="8" fillId="0" borderId="0" xfId="211" applyFont="1" applyBorder="1" applyAlignment="1">
      <alignment horizontal="left" vertical="center"/>
    </xf>
    <xf numFmtId="0" fontId="8" fillId="0" borderId="24" xfId="211" applyFont="1" applyBorder="1" applyAlignment="1">
      <alignment horizontal="left" vertical="center"/>
    </xf>
    <xf numFmtId="0" fontId="65" fillId="0" borderId="0" xfId="215" applyFont="1" applyBorder="1" applyAlignment="1">
      <alignment horizontal="center" vertical="center"/>
    </xf>
    <xf numFmtId="0" fontId="62" fillId="0" borderId="43" xfId="215" applyFont="1" applyFill="1" applyBorder="1" applyAlignment="1">
      <alignment horizontal="left" vertical="center"/>
    </xf>
    <xf numFmtId="0" fontId="62" fillId="0" borderId="0" xfId="215" applyFont="1" applyFill="1" applyBorder="1" applyAlignment="1">
      <alignment horizontal="left" vertical="center" wrapText="1"/>
    </xf>
    <xf numFmtId="0" fontId="65" fillId="0" borderId="0" xfId="215" applyFont="1" applyAlignment="1">
      <alignment horizontal="center" vertical="center"/>
    </xf>
    <xf numFmtId="0" fontId="62" fillId="0" borderId="43" xfId="215" applyFont="1" applyFill="1" applyBorder="1" applyAlignment="1">
      <alignment horizontal="left" vertical="center" wrapText="1"/>
    </xf>
    <xf numFmtId="0" fontId="63" fillId="0" borderId="0" xfId="104" applyFont="1" applyFill="1" applyAlignment="1">
      <alignment horizontal="center" vertical="center"/>
    </xf>
    <xf numFmtId="0" fontId="8" fillId="0" borderId="48" xfId="104" applyFont="1" applyFill="1" applyBorder="1" applyAlignment="1">
      <alignment horizontal="center" vertical="center"/>
    </xf>
    <xf numFmtId="0" fontId="8" fillId="0" borderId="0" xfId="104" applyFont="1" applyFill="1" applyBorder="1" applyAlignment="1">
      <alignment horizontal="center" vertical="center"/>
    </xf>
    <xf numFmtId="0" fontId="8" fillId="0" borderId="24" xfId="104" applyFont="1" applyFill="1" applyBorder="1" applyAlignment="1">
      <alignment horizontal="center" vertical="center"/>
    </xf>
    <xf numFmtId="0" fontId="8" fillId="0" borderId="50" xfId="104" applyFont="1" applyFill="1" applyBorder="1" applyAlignment="1">
      <alignment horizontal="center" vertical="center" wrapText="1"/>
    </xf>
    <xf numFmtId="0" fontId="8" fillId="0" borderId="16" xfId="104" applyFont="1" applyFill="1" applyBorder="1" applyAlignment="1">
      <alignment horizontal="center" vertical="center" wrapText="1"/>
    </xf>
    <xf numFmtId="0" fontId="8" fillId="0" borderId="13" xfId="104" applyFont="1" applyFill="1" applyBorder="1" applyAlignment="1">
      <alignment horizontal="center" vertical="center" wrapText="1"/>
    </xf>
    <xf numFmtId="0" fontId="8" fillId="0" borderId="50" xfId="104" applyFont="1" applyFill="1" applyBorder="1" applyAlignment="1">
      <alignment horizontal="center" vertical="center"/>
    </xf>
    <xf numFmtId="0" fontId="8" fillId="0" borderId="16" xfId="104" applyFont="1" applyFill="1" applyBorder="1" applyAlignment="1">
      <alignment horizontal="center" vertical="center"/>
    </xf>
    <xf numFmtId="0" fontId="8" fillId="0" borderId="13" xfId="104" applyFont="1" applyFill="1" applyBorder="1" applyAlignment="1">
      <alignment horizontal="center" vertical="center"/>
    </xf>
    <xf numFmtId="0" fontId="8" fillId="0" borderId="78" xfId="104" applyFont="1" applyFill="1" applyBorder="1" applyAlignment="1">
      <alignment horizontal="center" vertical="center"/>
    </xf>
    <xf numFmtId="0" fontId="8" fillId="0" borderId="45" xfId="104" applyFont="1" applyFill="1" applyBorder="1" applyAlignment="1">
      <alignment horizontal="center" vertical="center"/>
    </xf>
    <xf numFmtId="0" fontId="8" fillId="0" borderId="75" xfId="104" applyFont="1" applyFill="1" applyBorder="1" applyAlignment="1">
      <alignment horizontal="center" vertical="center"/>
    </xf>
    <xf numFmtId="0" fontId="8" fillId="0" borderId="74" xfId="104" applyFont="1" applyFill="1" applyBorder="1" applyAlignment="1">
      <alignment horizontal="center" vertical="center"/>
    </xf>
    <xf numFmtId="0" fontId="8" fillId="0" borderId="46" xfId="104" applyFont="1" applyFill="1" applyBorder="1" applyAlignment="1">
      <alignment horizontal="center" vertical="center"/>
    </xf>
    <xf numFmtId="0" fontId="8" fillId="0" borderId="49" xfId="104" applyFont="1" applyFill="1" applyBorder="1" applyAlignment="1">
      <alignment horizontal="center" vertical="center"/>
    </xf>
    <xf numFmtId="0" fontId="67" fillId="0" borderId="0" xfId="104" applyFont="1" applyFill="1" applyAlignment="1">
      <alignment horizontal="left" vertical="top"/>
    </xf>
    <xf numFmtId="0" fontId="67" fillId="0" borderId="0" xfId="104" applyFont="1" applyFill="1" applyAlignment="1">
      <alignment horizontal="left" vertical="center"/>
    </xf>
    <xf numFmtId="0" fontId="67" fillId="0" borderId="0" xfId="104" applyFont="1" applyFill="1" applyAlignment="1">
      <alignment horizontal="left" vertical="center" wrapText="1"/>
    </xf>
    <xf numFmtId="0" fontId="65" fillId="0" borderId="0" xfId="138" quotePrefix="1" applyFont="1" applyAlignment="1">
      <alignment horizontal="center" vertical="center"/>
    </xf>
    <xf numFmtId="0" fontId="51" fillId="0" borderId="48" xfId="138" applyFont="1" applyBorder="1" applyAlignment="1">
      <alignment horizontal="center" vertical="center"/>
    </xf>
    <xf numFmtId="0" fontId="51" fillId="0" borderId="24" xfId="138" applyFont="1" applyBorder="1" applyAlignment="1">
      <alignment horizontal="center" vertical="center"/>
    </xf>
    <xf numFmtId="0" fontId="51" fillId="0" borderId="45" xfId="138" applyFont="1" applyBorder="1" applyAlignment="1">
      <alignment horizontal="center" vertical="center"/>
    </xf>
    <xf numFmtId="0" fontId="51" fillId="0" borderId="49" xfId="138" applyFont="1" applyBorder="1" applyAlignment="1">
      <alignment horizontal="center" vertical="center"/>
    </xf>
    <xf numFmtId="0" fontId="51" fillId="0" borderId="46" xfId="138" applyFont="1" applyBorder="1" applyAlignment="1">
      <alignment horizontal="center" vertical="center"/>
    </xf>
    <xf numFmtId="0" fontId="63" fillId="0" borderId="0" xfId="138" quotePrefix="1" applyFont="1" applyAlignment="1">
      <alignment horizontal="center" vertical="center"/>
    </xf>
    <xf numFmtId="0" fontId="8" fillId="0" borderId="48" xfId="138" applyFont="1" applyBorder="1" applyAlignment="1">
      <alignment horizontal="center" vertical="center"/>
    </xf>
    <xf numFmtId="0" fontId="8" fillId="0" borderId="24" xfId="138" applyFont="1" applyBorder="1" applyAlignment="1">
      <alignment horizontal="center" vertical="center"/>
    </xf>
    <xf numFmtId="0" fontId="8" fillId="0" borderId="45" xfId="138" applyFont="1" applyBorder="1" applyAlignment="1">
      <alignment horizontal="center" vertical="center"/>
    </xf>
    <xf numFmtId="0" fontId="8" fillId="0" borderId="49" xfId="138" applyFont="1" applyBorder="1" applyAlignment="1">
      <alignment horizontal="center" vertical="center"/>
    </xf>
    <xf numFmtId="0" fontId="8" fillId="0" borderId="46" xfId="138" applyFont="1" applyBorder="1" applyAlignment="1">
      <alignment horizontal="center" vertical="center"/>
    </xf>
    <xf numFmtId="0" fontId="8" fillId="0" borderId="50" xfId="138" applyFont="1" applyFill="1" applyBorder="1" applyAlignment="1">
      <alignment horizontal="center" vertical="center" wrapText="1"/>
    </xf>
    <xf numFmtId="0" fontId="8" fillId="0" borderId="13" xfId="138" applyFont="1" applyFill="1" applyBorder="1" applyAlignment="1">
      <alignment horizontal="center" vertical="center" wrapText="1"/>
    </xf>
    <xf numFmtId="0" fontId="63" fillId="0" borderId="0" xfId="138" quotePrefix="1" applyFont="1" applyFill="1" applyAlignment="1">
      <alignment horizontal="center" vertical="center"/>
    </xf>
    <xf numFmtId="186" fontId="63" fillId="0" borderId="0" xfId="138" quotePrefix="1" applyNumberFormat="1" applyFont="1" applyFill="1" applyAlignment="1">
      <alignment horizontal="center" vertical="center"/>
    </xf>
    <xf numFmtId="0" fontId="67" fillId="0" borderId="24" xfId="138" applyFont="1" applyFill="1" applyBorder="1" applyAlignment="1">
      <alignment horizontal="right" vertical="center"/>
    </xf>
    <xf numFmtId="186" fontId="67" fillId="0" borderId="24" xfId="138" applyNumberFormat="1" applyFont="1" applyFill="1" applyBorder="1" applyAlignment="1">
      <alignment horizontal="right"/>
    </xf>
    <xf numFmtId="0" fontId="67" fillId="0" borderId="24" xfId="138" applyFont="1" applyFill="1" applyBorder="1" applyAlignment="1">
      <alignment horizontal="right"/>
    </xf>
    <xf numFmtId="186" fontId="67" fillId="0" borderId="24" xfId="138" applyNumberFormat="1" applyFont="1" applyFill="1" applyBorder="1" applyAlignment="1">
      <alignment horizontal="right" vertical="center"/>
    </xf>
    <xf numFmtId="0" fontId="8" fillId="0" borderId="48" xfId="138" applyFont="1" applyFill="1" applyBorder="1" applyAlignment="1">
      <alignment horizontal="center" vertical="center"/>
    </xf>
    <xf numFmtId="0" fontId="8" fillId="0" borderId="0" xfId="138" applyFont="1" applyFill="1" applyBorder="1" applyAlignment="1">
      <alignment horizontal="center" vertical="center"/>
    </xf>
    <xf numFmtId="0" fontId="8" fillId="0" borderId="24" xfId="138" applyFont="1" applyFill="1" applyBorder="1" applyAlignment="1">
      <alignment horizontal="center" vertical="center"/>
    </xf>
    <xf numFmtId="49" fontId="8" fillId="0" borderId="48" xfId="138" quotePrefix="1" applyNumberFormat="1" applyFont="1" applyFill="1" applyBorder="1" applyAlignment="1">
      <alignment horizontal="center" vertical="center"/>
    </xf>
    <xf numFmtId="49" fontId="8" fillId="0" borderId="0" xfId="138" quotePrefix="1" applyNumberFormat="1" applyFont="1" applyFill="1" applyBorder="1" applyAlignment="1">
      <alignment horizontal="center" vertical="center"/>
    </xf>
    <xf numFmtId="49" fontId="8" fillId="0" borderId="50" xfId="138" quotePrefix="1" applyNumberFormat="1" applyFont="1" applyFill="1" applyBorder="1" applyAlignment="1">
      <alignment horizontal="center" vertical="center"/>
    </xf>
    <xf numFmtId="49" fontId="8" fillId="0" borderId="16" xfId="138" quotePrefix="1" applyNumberFormat="1" applyFont="1" applyFill="1" applyBorder="1" applyAlignment="1">
      <alignment horizontal="center" vertical="center"/>
    </xf>
    <xf numFmtId="0" fontId="8" fillId="0" borderId="45" xfId="138" applyFont="1" applyFill="1" applyBorder="1" applyAlignment="1">
      <alignment horizontal="center" vertical="center"/>
    </xf>
    <xf numFmtId="0" fontId="8" fillId="0" borderId="91" xfId="138" applyFont="1" applyFill="1" applyBorder="1" applyAlignment="1">
      <alignment horizontal="center" vertical="center"/>
    </xf>
    <xf numFmtId="0" fontId="52" fillId="0" borderId="78" xfId="138" applyFont="1" applyFill="1" applyBorder="1" applyAlignment="1">
      <alignment horizontal="center" vertical="center"/>
    </xf>
    <xf numFmtId="0" fontId="52" fillId="0" borderId="45" xfId="138" applyFont="1" applyFill="1" applyBorder="1" applyAlignment="1">
      <alignment horizontal="center" vertical="center"/>
    </xf>
    <xf numFmtId="0" fontId="8" fillId="0" borderId="46" xfId="138" applyFont="1" applyFill="1" applyBorder="1" applyAlignment="1">
      <alignment horizontal="center" vertical="center"/>
    </xf>
    <xf numFmtId="0" fontId="52" fillId="0" borderId="91" xfId="138" applyFont="1" applyFill="1" applyBorder="1" applyAlignment="1">
      <alignment horizontal="center" vertical="center"/>
    </xf>
    <xf numFmtId="0" fontId="52" fillId="0" borderId="49" xfId="138" applyFont="1" applyFill="1" applyBorder="1" applyAlignment="1">
      <alignment horizontal="center" vertical="center"/>
    </xf>
    <xf numFmtId="0" fontId="8" fillId="0" borderId="78" xfId="138" applyFont="1" applyFill="1" applyBorder="1" applyAlignment="1">
      <alignment horizontal="center" vertical="center"/>
    </xf>
    <xf numFmtId="0" fontId="67" fillId="0" borderId="48" xfId="138" quotePrefix="1" applyFont="1" applyFill="1" applyBorder="1" applyAlignment="1">
      <alignment horizontal="left" vertical="center"/>
    </xf>
    <xf numFmtId="49" fontId="67" fillId="0" borderId="0" xfId="1" applyNumberFormat="1" applyFont="1" applyFill="1" applyAlignment="1">
      <alignment horizontal="left"/>
    </xf>
    <xf numFmtId="49" fontId="67" fillId="0" borderId="48" xfId="217" applyNumberFormat="1" applyFont="1" applyFill="1" applyBorder="1" applyAlignment="1">
      <alignment horizontal="left" vertical="center"/>
    </xf>
    <xf numFmtId="0" fontId="67" fillId="0" borderId="48" xfId="217" applyFont="1" applyFill="1" applyBorder="1" applyAlignment="1">
      <alignment horizontal="left" vertical="center"/>
    </xf>
    <xf numFmtId="0" fontId="67" fillId="0" borderId="48" xfId="217" applyFont="1" applyFill="1" applyBorder="1" applyAlignment="1">
      <alignment vertical="center"/>
    </xf>
    <xf numFmtId="49" fontId="67" fillId="0" borderId="0" xfId="217" applyNumberFormat="1" applyFont="1" applyFill="1" applyBorder="1" applyAlignment="1">
      <alignment horizontal="left" vertical="center"/>
    </xf>
    <xf numFmtId="0" fontId="67" fillId="0" borderId="0" xfId="217" applyFont="1" applyFill="1" applyAlignment="1">
      <alignment horizontal="left" vertical="center"/>
    </xf>
    <xf numFmtId="0" fontId="67" fillId="0" borderId="0" xfId="217" applyFont="1" applyFill="1" applyAlignment="1">
      <alignment vertical="center"/>
    </xf>
    <xf numFmtId="0" fontId="8" fillId="0" borderId="48" xfId="217" applyFont="1" applyFill="1" applyBorder="1" applyAlignment="1">
      <alignment horizontal="center" vertical="center"/>
    </xf>
    <xf numFmtId="0" fontId="52" fillId="0" borderId="0" xfId="217" applyFont="1" applyFill="1" applyAlignment="1">
      <alignment horizontal="center" vertical="center"/>
    </xf>
    <xf numFmtId="0" fontId="52" fillId="0" borderId="24" xfId="217" applyFont="1" applyFill="1" applyBorder="1" applyAlignment="1">
      <alignment horizontal="center" vertical="center"/>
    </xf>
    <xf numFmtId="0" fontId="8" fillId="0" borderId="54" xfId="217" applyFont="1" applyFill="1" applyBorder="1" applyAlignment="1">
      <alignment horizontal="center" vertical="center"/>
    </xf>
    <xf numFmtId="0" fontId="52" fillId="0" borderId="17" xfId="217" applyFont="1" applyFill="1" applyBorder="1" applyAlignment="1">
      <alignment horizontal="center" vertical="center"/>
    </xf>
    <xf numFmtId="0" fontId="52" fillId="0" borderId="14" xfId="217" applyFont="1" applyFill="1" applyBorder="1" applyAlignment="1">
      <alignment horizontal="center" vertical="center"/>
    </xf>
    <xf numFmtId="0" fontId="8" fillId="0" borderId="50" xfId="217" applyFont="1" applyFill="1" applyBorder="1" applyAlignment="1">
      <alignment horizontal="center" vertical="center"/>
    </xf>
    <xf numFmtId="0" fontId="8" fillId="0" borderId="13" xfId="217" applyFont="1" applyFill="1" applyBorder="1" applyAlignment="1">
      <alignment horizontal="center" vertical="center"/>
    </xf>
    <xf numFmtId="0" fontId="8" fillId="0" borderId="24" xfId="217" applyFont="1" applyFill="1" applyBorder="1" applyAlignment="1">
      <alignment horizontal="center" vertical="center"/>
    </xf>
    <xf numFmtId="0" fontId="8" fillId="0" borderId="78" xfId="217" applyFont="1" applyFill="1" applyBorder="1" applyAlignment="1">
      <alignment horizontal="center" vertical="center"/>
    </xf>
    <xf numFmtId="0" fontId="8" fillId="0" borderId="45" xfId="217" applyFont="1" applyFill="1" applyBorder="1" applyAlignment="1">
      <alignment horizontal="center" vertical="center"/>
    </xf>
    <xf numFmtId="0" fontId="8" fillId="0" borderId="46" xfId="217" applyFont="1" applyFill="1" applyBorder="1" applyAlignment="1">
      <alignment horizontal="center" vertical="center"/>
    </xf>
    <xf numFmtId="49" fontId="8" fillId="0" borderId="45" xfId="138" quotePrefix="1" applyNumberFormat="1" applyFont="1" applyBorder="1" applyAlignment="1">
      <alignment horizontal="center" vertical="center"/>
    </xf>
    <xf numFmtId="49" fontId="8" fillId="0" borderId="49" xfId="138" quotePrefix="1" applyNumberFormat="1" applyFont="1" applyBorder="1" applyAlignment="1">
      <alignment horizontal="center" vertical="center"/>
    </xf>
    <xf numFmtId="49" fontId="8" fillId="0" borderId="46" xfId="138" quotePrefix="1" applyNumberFormat="1" applyFont="1" applyBorder="1" applyAlignment="1">
      <alignment horizontal="center" vertical="center"/>
    </xf>
    <xf numFmtId="0" fontId="67" fillId="0" borderId="0" xfId="180" quotePrefix="1" applyFont="1" applyFill="1" applyAlignment="1">
      <alignment horizontal="left" vertical="center"/>
    </xf>
    <xf numFmtId="0" fontId="51" fillId="0" borderId="0" xfId="180" applyFont="1" applyFill="1" applyAlignment="1">
      <alignment horizontal="left" vertical="center"/>
    </xf>
    <xf numFmtId="0" fontId="51" fillId="0" borderId="0" xfId="180" applyFont="1" applyFill="1" applyAlignment="1">
      <alignment vertical="center"/>
    </xf>
    <xf numFmtId="186" fontId="8" fillId="0" borderId="47" xfId="104" applyNumberFormat="1" applyFont="1" applyBorder="1" applyAlignment="1">
      <alignment horizontal="center" vertical="center"/>
    </xf>
    <xf numFmtId="186" fontId="8" fillId="0" borderId="15" xfId="104" applyNumberFormat="1" applyFont="1" applyBorder="1" applyAlignment="1">
      <alignment horizontal="center" vertical="center"/>
    </xf>
    <xf numFmtId="3" fontId="8" fillId="0" borderId="0" xfId="104" applyNumberFormat="1" applyFont="1" applyBorder="1" applyAlignment="1">
      <alignment horizontal="center" vertical="center"/>
    </xf>
    <xf numFmtId="3" fontId="8" fillId="0" borderId="18" xfId="104" applyNumberFormat="1" applyFont="1" applyBorder="1" applyAlignment="1">
      <alignment horizontal="center" vertical="center"/>
    </xf>
    <xf numFmtId="49" fontId="8" fillId="0" borderId="48" xfId="106" quotePrefix="1" applyNumberFormat="1" applyFont="1" applyBorder="1" applyAlignment="1" applyProtection="1">
      <alignment horizontal="center" vertical="center"/>
      <protection locked="0"/>
    </xf>
    <xf numFmtId="49" fontId="8" fillId="0" borderId="47" xfId="106" quotePrefix="1" applyNumberFormat="1" applyFont="1" applyBorder="1" applyAlignment="1" applyProtection="1">
      <alignment horizontal="center" vertical="center"/>
      <protection locked="0"/>
    </xf>
    <xf numFmtId="0" fontId="63" fillId="0" borderId="24" xfId="104" applyFont="1" applyBorder="1" applyAlignment="1">
      <alignment horizontal="center" vertical="center"/>
    </xf>
    <xf numFmtId="0" fontId="8" fillId="0" borderId="48" xfId="219" applyFont="1" applyBorder="1" applyAlignment="1">
      <alignment horizontal="center" vertical="center"/>
    </xf>
    <xf numFmtId="0" fontId="8" fillId="0" borderId="0" xfId="219" applyFont="1" applyBorder="1" applyAlignment="1">
      <alignment horizontal="center" vertical="center"/>
    </xf>
    <xf numFmtId="0" fontId="8" fillId="0" borderId="24" xfId="219" applyFont="1" applyBorder="1" applyAlignment="1">
      <alignment horizontal="center" vertical="center"/>
    </xf>
    <xf numFmtId="0" fontId="8" fillId="0" borderId="47" xfId="219" applyFont="1" applyBorder="1" applyAlignment="1">
      <alignment horizontal="center" vertical="center"/>
    </xf>
    <xf numFmtId="0" fontId="8" fillId="0" borderId="15" xfId="219" applyFont="1" applyBorder="1" applyAlignment="1">
      <alignment horizontal="center" vertical="center"/>
    </xf>
    <xf numFmtId="0" fontId="8" fillId="0" borderId="46" xfId="219" applyFont="1" applyBorder="1" applyAlignment="1">
      <alignment horizontal="distributed" vertical="center" indent="5"/>
    </xf>
    <xf numFmtId="0" fontId="52" fillId="0" borderId="45" xfId="219" applyFont="1" applyBorder="1" applyAlignment="1">
      <alignment horizontal="distributed" vertical="center" indent="5"/>
    </xf>
    <xf numFmtId="0" fontId="52" fillId="0" borderId="49" xfId="219" applyFont="1" applyBorder="1" applyAlignment="1">
      <alignment horizontal="distributed" vertical="center" indent="5"/>
    </xf>
    <xf numFmtId="0" fontId="8" fillId="0" borderId="46" xfId="219" applyFont="1" applyBorder="1" applyAlignment="1">
      <alignment horizontal="distributed" vertical="center" indent="3"/>
    </xf>
    <xf numFmtId="0" fontId="52" fillId="0" borderId="45" xfId="219" applyFont="1" applyBorder="1" applyAlignment="1">
      <alignment horizontal="distributed" vertical="center" indent="3"/>
    </xf>
    <xf numFmtId="0" fontId="52" fillId="0" borderId="49" xfId="219" applyFont="1" applyBorder="1" applyAlignment="1">
      <alignment horizontal="distributed" vertical="center" indent="3"/>
    </xf>
    <xf numFmtId="0" fontId="8" fillId="0" borderId="46" xfId="219" applyFont="1" applyFill="1" applyBorder="1" applyAlignment="1">
      <alignment horizontal="distributed" vertical="center" indent="5"/>
    </xf>
    <xf numFmtId="0" fontId="52" fillId="0" borderId="45" xfId="219" applyFont="1" applyFill="1" applyBorder="1" applyAlignment="1">
      <alignment horizontal="distributed" vertical="center" indent="5"/>
    </xf>
    <xf numFmtId="0" fontId="52" fillId="0" borderId="49" xfId="219" applyFont="1" applyFill="1" applyBorder="1" applyAlignment="1">
      <alignment horizontal="distributed" vertical="center" indent="5"/>
    </xf>
    <xf numFmtId="0" fontId="8" fillId="0" borderId="50" xfId="219" applyFont="1" applyFill="1" applyBorder="1" applyAlignment="1">
      <alignment horizontal="distributed" vertical="center" indent="1"/>
    </xf>
    <xf numFmtId="0" fontId="52" fillId="0" borderId="48" xfId="219" applyFont="1" applyFill="1" applyBorder="1" applyAlignment="1">
      <alignment horizontal="distributed" vertical="center" indent="1"/>
    </xf>
    <xf numFmtId="0" fontId="52" fillId="0" borderId="13" xfId="219" applyFont="1" applyFill="1" applyBorder="1" applyAlignment="1">
      <alignment horizontal="distributed" vertical="center" indent="1"/>
    </xf>
    <xf numFmtId="0" fontId="52" fillId="0" borderId="24" xfId="219" applyFont="1" applyFill="1" applyBorder="1" applyAlignment="1">
      <alignment horizontal="distributed" vertical="center" indent="1"/>
    </xf>
    <xf numFmtId="0" fontId="8" fillId="0" borderId="46" xfId="219" applyFont="1" applyBorder="1" applyAlignment="1">
      <alignment horizontal="distributed" vertical="center"/>
    </xf>
    <xf numFmtId="0" fontId="8" fillId="0" borderId="45" xfId="219" applyFont="1" applyBorder="1" applyAlignment="1">
      <alignment horizontal="distributed" vertical="center"/>
    </xf>
    <xf numFmtId="0" fontId="67" fillId="0" borderId="0" xfId="217" quotePrefix="1" applyFont="1" applyBorder="1" applyAlignment="1">
      <alignment horizontal="left" vertical="center"/>
    </xf>
    <xf numFmtId="0" fontId="67" fillId="0" borderId="48" xfId="138" quotePrefix="1" applyFont="1" applyBorder="1" applyAlignment="1">
      <alignment horizontal="left" vertical="center"/>
    </xf>
    <xf numFmtId="0" fontId="67" fillId="0" borderId="0" xfId="138" quotePrefix="1" applyFont="1" applyBorder="1" applyAlignment="1">
      <alignment horizontal="left" vertical="center"/>
    </xf>
    <xf numFmtId="0" fontId="8" fillId="0" borderId="48" xfId="138" quotePrefix="1" applyFont="1" applyBorder="1" applyAlignment="1">
      <alignment horizontal="center" vertical="center"/>
    </xf>
    <xf numFmtId="0" fontId="8" fillId="0" borderId="0" xfId="138" quotePrefix="1" applyFont="1" applyBorder="1" applyAlignment="1">
      <alignment horizontal="center" vertical="center"/>
    </xf>
    <xf numFmtId="0" fontId="8" fillId="0" borderId="24" xfId="138" quotePrefix="1" applyFont="1" applyBorder="1" applyAlignment="1">
      <alignment horizontal="center" vertical="center"/>
    </xf>
    <xf numFmtId="0" fontId="8" fillId="0" borderId="78" xfId="138" applyFont="1" applyBorder="1" applyAlignment="1">
      <alignment horizontal="center" vertical="center"/>
    </xf>
    <xf numFmtId="0" fontId="8" fillId="0" borderId="49" xfId="138" applyFont="1" applyFill="1" applyBorder="1" applyAlignment="1">
      <alignment horizontal="center" vertical="center"/>
    </xf>
    <xf numFmtId="0" fontId="8" fillId="0" borderId="50" xfId="138" applyFont="1" applyFill="1" applyBorder="1" applyAlignment="1">
      <alignment horizontal="center" vertical="center"/>
    </xf>
    <xf numFmtId="0" fontId="8" fillId="0" borderId="51" xfId="138" applyFont="1" applyFill="1" applyBorder="1" applyAlignment="1">
      <alignment horizontal="center" vertical="center"/>
    </xf>
    <xf numFmtId="0" fontId="8" fillId="0" borderId="13" xfId="138" applyFont="1" applyFill="1" applyBorder="1" applyAlignment="1">
      <alignment horizontal="center" vertical="center"/>
    </xf>
    <xf numFmtId="0" fontId="8" fillId="0" borderId="92" xfId="138" applyFont="1" applyFill="1" applyBorder="1" applyAlignment="1">
      <alignment horizontal="center" vertical="center"/>
    </xf>
    <xf numFmtId="0" fontId="52" fillId="0" borderId="75" xfId="138" applyFont="1" applyFill="1" applyBorder="1" applyAlignment="1">
      <alignment horizontal="center" vertical="center" wrapText="1"/>
    </xf>
    <xf numFmtId="0" fontId="52" fillId="0" borderId="48" xfId="138" applyFont="1" applyFill="1" applyBorder="1" applyAlignment="1">
      <alignment horizontal="center" vertical="center"/>
    </xf>
    <xf numFmtId="0" fontId="52" fillId="0" borderId="74" xfId="138" applyFont="1" applyFill="1" applyBorder="1" applyAlignment="1">
      <alignment horizontal="center" vertical="center"/>
    </xf>
    <xf numFmtId="0" fontId="52" fillId="0" borderId="24" xfId="138" applyFont="1" applyFill="1" applyBorder="1" applyAlignment="1">
      <alignment horizontal="center" vertical="center"/>
    </xf>
    <xf numFmtId="49" fontId="62" fillId="0" borderId="0" xfId="1" applyNumberFormat="1" applyFont="1" applyAlignment="1"/>
    <xf numFmtId="0" fontId="51" fillId="0" borderId="0" xfId="219" applyFont="1" applyAlignment="1">
      <alignment vertical="center"/>
    </xf>
    <xf numFmtId="0" fontId="51" fillId="0" borderId="0" xfId="138" applyFont="1" applyAlignment="1">
      <alignment vertical="center"/>
    </xf>
    <xf numFmtId="0" fontId="51" fillId="0" borderId="48" xfId="219" applyFont="1" applyBorder="1" applyAlignment="1">
      <alignment horizontal="center" vertical="center"/>
    </xf>
    <xf numFmtId="0" fontId="51" fillId="0" borderId="24" xfId="219" applyFont="1" applyBorder="1" applyAlignment="1">
      <alignment horizontal="center" vertical="center"/>
    </xf>
    <xf numFmtId="0" fontId="51" fillId="0" borderId="65" xfId="219" applyFont="1" applyBorder="1" applyAlignment="1">
      <alignment horizontal="center" vertical="center"/>
    </xf>
    <xf numFmtId="0" fontId="51" fillId="0" borderId="46" xfId="219" applyFont="1" applyBorder="1" applyAlignment="1">
      <alignment horizontal="center" vertical="center"/>
    </xf>
    <xf numFmtId="0" fontId="67" fillId="0" borderId="0" xfId="219" quotePrefix="1" applyFont="1" applyBorder="1" applyAlignment="1">
      <alignment horizontal="left" vertical="center"/>
    </xf>
    <xf numFmtId="0" fontId="8" fillId="0" borderId="0" xfId="138" applyFont="1" applyBorder="1" applyAlignment="1">
      <alignment vertical="center"/>
    </xf>
    <xf numFmtId="0" fontId="63" fillId="0" borderId="0" xfId="138" applyFont="1" applyAlignment="1">
      <alignment horizontal="center" vertical="center"/>
    </xf>
    <xf numFmtId="0" fontId="67" fillId="0" borderId="0" xfId="138" applyFont="1" applyAlignment="1">
      <alignment horizontal="left" vertical="center"/>
    </xf>
    <xf numFmtId="0" fontId="67" fillId="0" borderId="0" xfId="167" applyFont="1" applyAlignment="1">
      <alignment horizontal="left" vertical="center"/>
    </xf>
    <xf numFmtId="0" fontId="8" fillId="0" borderId="47" xfId="167" applyFont="1" applyBorder="1" applyAlignment="1">
      <alignment horizontal="center" vertical="center"/>
    </xf>
    <xf numFmtId="0" fontId="8" fillId="0" borderId="15" xfId="167" applyFont="1" applyBorder="1" applyAlignment="1">
      <alignment horizontal="center" vertical="center"/>
    </xf>
    <xf numFmtId="49" fontId="8" fillId="0" borderId="50" xfId="138" quotePrefix="1" applyNumberFormat="1" applyFont="1" applyBorder="1" applyAlignment="1">
      <alignment horizontal="center" vertical="center"/>
    </xf>
    <xf numFmtId="49" fontId="8" fillId="0" borderId="47" xfId="138" quotePrefix="1" applyNumberFormat="1" applyFont="1" applyBorder="1" applyAlignment="1">
      <alignment horizontal="center" vertical="center"/>
    </xf>
    <xf numFmtId="49" fontId="8" fillId="0" borderId="48" xfId="138" quotePrefix="1" applyNumberFormat="1" applyFont="1" applyBorder="1" applyAlignment="1">
      <alignment horizontal="center" vertical="center"/>
    </xf>
    <xf numFmtId="0" fontId="51" fillId="0" borderId="65" xfId="213" applyFont="1" applyBorder="1" applyAlignment="1">
      <alignment horizontal="center" vertical="center"/>
    </xf>
    <xf numFmtId="0" fontId="51" fillId="0" borderId="45" xfId="213" applyFont="1" applyBorder="1" applyAlignment="1">
      <alignment horizontal="center" vertical="center"/>
    </xf>
    <xf numFmtId="0" fontId="101" fillId="0" borderId="48" xfId="213" applyFont="1" applyBorder="1" applyAlignment="1">
      <alignment horizontal="right" vertical="center" indent="1"/>
    </xf>
    <xf numFmtId="0" fontId="51" fillId="0" borderId="48" xfId="213" applyFont="1" applyBorder="1" applyAlignment="1">
      <alignment horizontal="right" vertical="center" indent="1"/>
    </xf>
    <xf numFmtId="0" fontId="1" fillId="0" borderId="0" xfId="213" applyFill="1" applyBorder="1" applyAlignment="1">
      <alignment horizontal="right" vertical="center" indent="1"/>
    </xf>
    <xf numFmtId="0" fontId="65" fillId="0" borderId="0" xfId="213" applyFont="1" applyBorder="1" applyAlignment="1">
      <alignment horizontal="center" vertical="center"/>
    </xf>
    <xf numFmtId="0" fontId="51" fillId="0" borderId="24" xfId="213" applyFont="1" applyBorder="1" applyAlignment="1">
      <alignment horizontal="center" vertical="center"/>
    </xf>
    <xf numFmtId="0" fontId="51" fillId="0" borderId="0" xfId="213" applyFont="1" applyAlignment="1">
      <alignment horizontal="left" vertical="center"/>
    </xf>
    <xf numFmtId="0" fontId="1" fillId="0" borderId="24" xfId="213" applyFill="1" applyBorder="1" applyAlignment="1">
      <alignment horizontal="right" vertical="center" indent="1"/>
    </xf>
    <xf numFmtId="0" fontId="62" fillId="0" borderId="0" xfId="213" applyFont="1" applyAlignment="1">
      <alignment horizontal="left" vertical="center"/>
    </xf>
    <xf numFmtId="0" fontId="160" fillId="0" borderId="0" xfId="213" applyFont="1" applyAlignment="1">
      <alignment horizontal="left" vertical="center" wrapText="1"/>
    </xf>
    <xf numFmtId="186" fontId="63" fillId="0" borderId="0" xfId="213" applyNumberFormat="1" applyFont="1" applyBorder="1" applyAlignment="1">
      <alignment horizontal="center" vertical="center"/>
    </xf>
    <xf numFmtId="186" fontId="8" fillId="0" borderId="24" xfId="213" applyNumberFormat="1" applyFont="1" applyBorder="1" applyAlignment="1">
      <alignment horizontal="right" vertical="center"/>
    </xf>
    <xf numFmtId="186" fontId="8" fillId="0" borderId="48" xfId="213" applyNumberFormat="1" applyFont="1" applyBorder="1" applyAlignment="1">
      <alignment horizontal="center" vertical="center"/>
    </xf>
    <xf numFmtId="186" fontId="8" fillId="0" borderId="24" xfId="213" applyNumberFormat="1" applyFont="1" applyBorder="1" applyAlignment="1">
      <alignment horizontal="center" vertical="center"/>
    </xf>
    <xf numFmtId="186" fontId="8" fillId="0" borderId="45" xfId="213" applyNumberFormat="1" applyFont="1" applyBorder="1" applyAlignment="1">
      <alignment horizontal="center" vertical="center"/>
    </xf>
    <xf numFmtId="186" fontId="8" fillId="0" borderId="49" xfId="213" applyNumberFormat="1" applyFont="1" applyBorder="1" applyAlignment="1">
      <alignment horizontal="center" vertical="center"/>
    </xf>
    <xf numFmtId="186" fontId="8" fillId="0" borderId="46" xfId="213" applyNumberFormat="1" applyFont="1" applyBorder="1" applyAlignment="1">
      <alignment horizontal="center" vertical="center"/>
    </xf>
    <xf numFmtId="186" fontId="67" fillId="0" borderId="0" xfId="213" applyNumberFormat="1" applyFont="1" applyAlignment="1">
      <alignment horizontal="left" vertical="center"/>
    </xf>
    <xf numFmtId="186" fontId="67" fillId="0" borderId="0" xfId="213" applyNumberFormat="1" applyFont="1" applyAlignment="1">
      <alignment horizontal="left" vertical="center" wrapText="1"/>
    </xf>
    <xf numFmtId="0" fontId="49" fillId="0" borderId="0" xfId="48" applyFont="1" applyBorder="1" applyAlignment="1">
      <alignment horizontal="left" vertical="center"/>
    </xf>
    <xf numFmtId="0" fontId="49" fillId="0" borderId="0" xfId="220" applyFont="1" applyAlignment="1">
      <alignment horizontal="left" vertical="center" wrapText="1"/>
    </xf>
    <xf numFmtId="0" fontId="49" fillId="0" borderId="0" xfId="220" applyFont="1" applyAlignment="1">
      <alignment horizontal="left" vertical="center"/>
    </xf>
    <xf numFmtId="0" fontId="8" fillId="0" borderId="0" xfId="221" applyFont="1" applyAlignment="1">
      <alignment vertical="center"/>
    </xf>
    <xf numFmtId="0" fontId="63" fillId="0" borderId="0" xfId="220" applyFont="1" applyAlignment="1">
      <alignment horizontal="center" vertical="center"/>
    </xf>
    <xf numFmtId="0" fontId="49" fillId="0" borderId="24" xfId="220" applyFont="1" applyBorder="1" applyAlignment="1">
      <alignment horizontal="right" vertical="center"/>
    </xf>
    <xf numFmtId="0" fontId="49" fillId="0" borderId="48" xfId="220" applyFont="1" applyBorder="1" applyAlignment="1">
      <alignment horizontal="center" vertical="center"/>
    </xf>
    <xf numFmtId="0" fontId="49" fillId="0" borderId="24" xfId="220" applyFont="1" applyBorder="1" applyAlignment="1">
      <alignment horizontal="center" vertical="center"/>
    </xf>
    <xf numFmtId="0" fontId="49" fillId="0" borderId="48" xfId="220" applyFont="1" applyBorder="1" applyAlignment="1">
      <alignment horizontal="center" vertical="center" wrapText="1"/>
    </xf>
    <xf numFmtId="0" fontId="49" fillId="0" borderId="24" xfId="220" applyFont="1" applyBorder="1" applyAlignment="1">
      <alignment horizontal="center" vertical="center" wrapText="1"/>
    </xf>
    <xf numFmtId="0" fontId="49" fillId="0" borderId="47" xfId="220" applyFont="1" applyBorder="1" applyAlignment="1">
      <alignment horizontal="center" vertical="center" wrapText="1"/>
    </xf>
    <xf numFmtId="0" fontId="49" fillId="0" borderId="50" xfId="220" applyFont="1" applyBorder="1" applyAlignment="1">
      <alignment horizontal="center" vertical="center" wrapText="1"/>
    </xf>
    <xf numFmtId="0" fontId="49" fillId="0" borderId="45" xfId="220" applyFont="1" applyBorder="1" applyAlignment="1">
      <alignment horizontal="center" vertical="center" wrapText="1"/>
    </xf>
    <xf numFmtId="0" fontId="49" fillId="0" borderId="49" xfId="220" applyFont="1" applyBorder="1" applyAlignment="1">
      <alignment horizontal="center" vertical="center" wrapText="1"/>
    </xf>
    <xf numFmtId="0" fontId="101" fillId="0" borderId="0" xfId="138" applyFont="1" applyAlignment="1">
      <alignment horizontal="right" vertical="center"/>
    </xf>
    <xf numFmtId="38" fontId="63" fillId="0" borderId="24" xfId="222" applyNumberFormat="1" applyFont="1" applyFill="1" applyBorder="1" applyAlignment="1">
      <alignment horizontal="center" vertical="center"/>
    </xf>
    <xf numFmtId="38" fontId="8" fillId="0" borderId="45" xfId="138" applyNumberFormat="1" applyFont="1" applyFill="1" applyBorder="1" applyAlignment="1">
      <alignment horizontal="center" vertical="center" wrapText="1"/>
    </xf>
    <xf numFmtId="38" fontId="8" fillId="0" borderId="48" xfId="138" applyNumberFormat="1" applyFont="1" applyFill="1" applyBorder="1" applyAlignment="1">
      <alignment horizontal="right" vertical="top" wrapText="1"/>
    </xf>
    <xf numFmtId="38" fontId="8" fillId="0" borderId="0" xfId="138" applyNumberFormat="1" applyFont="1" applyFill="1" applyBorder="1" applyAlignment="1">
      <alignment horizontal="right" vertical="top" wrapText="1"/>
    </xf>
    <xf numFmtId="41" fontId="51" fillId="0" borderId="0" xfId="138" applyNumberFormat="1" applyFont="1" applyFill="1" applyBorder="1" applyAlignment="1">
      <alignment horizontal="right" vertical="center"/>
    </xf>
    <xf numFmtId="41" fontId="51" fillId="0" borderId="18" xfId="138" applyNumberFormat="1" applyFont="1" applyFill="1" applyBorder="1" applyAlignment="1">
      <alignment horizontal="right" vertical="center"/>
    </xf>
    <xf numFmtId="41" fontId="67" fillId="0" borderId="48" xfId="138" applyNumberFormat="1" applyFont="1" applyFill="1" applyBorder="1" applyAlignment="1">
      <alignment horizontal="left" vertical="center" wrapText="1"/>
    </xf>
    <xf numFmtId="0" fontId="67" fillId="0" borderId="0" xfId="138" applyFont="1" applyAlignment="1">
      <alignment horizontal="left" vertical="center" wrapText="1"/>
    </xf>
    <xf numFmtId="0" fontId="8" fillId="0" borderId="54" xfId="222" applyFont="1" applyBorder="1" applyAlignment="1">
      <alignment horizontal="center" vertical="center"/>
    </xf>
    <xf numFmtId="0" fontId="8" fillId="0" borderId="14" xfId="222" applyFont="1" applyBorder="1" applyAlignment="1">
      <alignment horizontal="center" vertical="center"/>
    </xf>
    <xf numFmtId="0" fontId="8" fillId="0" borderId="50" xfId="222" applyFont="1" applyBorder="1" applyAlignment="1">
      <alignment horizontal="center" vertical="center"/>
    </xf>
    <xf numFmtId="0" fontId="8" fillId="0" borderId="13" xfId="222" applyFont="1" applyBorder="1" applyAlignment="1">
      <alignment horizontal="center" vertical="center"/>
    </xf>
    <xf numFmtId="0" fontId="63" fillId="0" borderId="0" xfId="222" applyFont="1" applyAlignment="1">
      <alignment horizontal="center" vertical="center"/>
    </xf>
    <xf numFmtId="0" fontId="8" fillId="0" borderId="48" xfId="222" applyFont="1" applyBorder="1" applyAlignment="1">
      <alignment horizontal="center" vertical="center"/>
    </xf>
    <xf numFmtId="0" fontId="8" fillId="0" borderId="24" xfId="222" applyFont="1" applyBorder="1"/>
    <xf numFmtId="0" fontId="8" fillId="0" borderId="47" xfId="222" applyFont="1" applyBorder="1" applyAlignment="1">
      <alignment horizontal="center" vertical="center"/>
    </xf>
    <xf numFmtId="0" fontId="8" fillId="0" borderId="15" xfId="222" applyFont="1" applyBorder="1" applyAlignment="1">
      <alignment horizontal="center" vertical="center"/>
    </xf>
    <xf numFmtId="0" fontId="8" fillId="0" borderId="24" xfId="222" applyFont="1" applyBorder="1" applyAlignment="1">
      <alignment horizontal="center"/>
    </xf>
    <xf numFmtId="0" fontId="8" fillId="0" borderId="24" xfId="222" applyFont="1" applyBorder="1" applyAlignment="1">
      <alignment horizontal="center" vertical="center"/>
    </xf>
    <xf numFmtId="0" fontId="63" fillId="0" borderId="0" xfId="222" quotePrefix="1" applyFont="1" applyAlignment="1">
      <alignment horizontal="center" vertical="center"/>
    </xf>
    <xf numFmtId="0" fontId="63" fillId="0" borderId="0" xfId="222" applyFont="1" applyBorder="1" applyAlignment="1">
      <alignment horizontal="center" vertical="center"/>
    </xf>
    <xf numFmtId="0" fontId="8" fillId="0" borderId="45" xfId="138" applyFont="1" applyBorder="1" applyAlignment="1">
      <alignment horizontal="center" vertical="center" wrapText="1"/>
    </xf>
    <xf numFmtId="0" fontId="8" fillId="0" borderId="49" xfId="138" applyFont="1" applyBorder="1" applyAlignment="1">
      <alignment horizontal="center" vertical="center" wrapText="1"/>
    </xf>
    <xf numFmtId="0" fontId="8" fillId="0" borderId="46" xfId="138" applyFont="1" applyBorder="1" applyAlignment="1">
      <alignment horizontal="center" vertical="center" wrapText="1"/>
    </xf>
  </cellXfs>
  <cellStyles count="223">
    <cellStyle name="20% - 輔色1 2" xfId="2"/>
    <cellStyle name="20% - 輔色1 2 2" xfId="3"/>
    <cellStyle name="20% - 輔色2 2" xfId="4"/>
    <cellStyle name="20% - 輔色2 2 2" xfId="5"/>
    <cellStyle name="20% - 輔色3 2" xfId="6"/>
    <cellStyle name="20% - 輔色3 2 2" xfId="7"/>
    <cellStyle name="20% - 輔色4 2" xfId="8"/>
    <cellStyle name="20% - 輔色4 2 2" xfId="9"/>
    <cellStyle name="20% - 輔色5 2" xfId="10"/>
    <cellStyle name="20% - 輔色5 2 2" xfId="11"/>
    <cellStyle name="20% - 輔色6 2" xfId="12"/>
    <cellStyle name="20% - 輔色6 2 2" xfId="13"/>
    <cellStyle name="40% - 輔色1 2" xfId="14"/>
    <cellStyle name="40% - 輔色1 2 2" xfId="15"/>
    <cellStyle name="40% - 輔色2 2" xfId="16"/>
    <cellStyle name="40% - 輔色2 2 2" xfId="17"/>
    <cellStyle name="40% - 輔色3 2" xfId="18"/>
    <cellStyle name="40% - 輔色3 2 2" xfId="19"/>
    <cellStyle name="40% - 輔色4 2" xfId="20"/>
    <cellStyle name="40% - 輔色4 2 2" xfId="21"/>
    <cellStyle name="40% - 輔色5 2" xfId="22"/>
    <cellStyle name="40% - 輔色5 2 2" xfId="23"/>
    <cellStyle name="40% - 輔色6 2" xfId="24"/>
    <cellStyle name="40% - 輔色6 2 2" xfId="25"/>
    <cellStyle name="60% - 輔色1 2" xfId="26"/>
    <cellStyle name="60% - 輔色1 2 2" xfId="27"/>
    <cellStyle name="60% - 輔色2 2" xfId="28"/>
    <cellStyle name="60% - 輔色2 2 2" xfId="29"/>
    <cellStyle name="60% - 輔色3 2" xfId="30"/>
    <cellStyle name="60% - 輔色3 2 2" xfId="31"/>
    <cellStyle name="60% - 輔色4 2" xfId="32"/>
    <cellStyle name="60% - 輔色4 2 2" xfId="33"/>
    <cellStyle name="60% - 輔色5 2" xfId="34"/>
    <cellStyle name="60% - 輔色5 2 2" xfId="35"/>
    <cellStyle name="60% - 輔色6 2" xfId="36"/>
    <cellStyle name="60% - 輔色6 2 2" xfId="37"/>
    <cellStyle name="Normal_1-2" xfId="137"/>
    <cellStyle name="一般" xfId="0" builtinId="0"/>
    <cellStyle name="一般 10" xfId="213"/>
    <cellStyle name="一般 10 2" xfId="221"/>
    <cellStyle name="一般 2" xfId="38"/>
    <cellStyle name="一般 2 2" xfId="142"/>
    <cellStyle name="一般 2 2 2" xfId="160"/>
    <cellStyle name="一般 2 3" xfId="138"/>
    <cellStyle name="一般 2 4" xfId="197"/>
    <cellStyle name="一般 2 6" xfId="215"/>
    <cellStyle name="一般 3" xfId="39"/>
    <cellStyle name="一般 3 2" xfId="40"/>
    <cellStyle name="一般 3 2 2" xfId="181"/>
    <cellStyle name="一般 3 3" xfId="41"/>
    <cellStyle name="一般 3 3 2" xfId="150"/>
    <cellStyle name="一般 3 3 2 2" xfId="217"/>
    <cellStyle name="一般 3 4" xfId="185"/>
    <cellStyle name="一般 4" xfId="42"/>
    <cellStyle name="一般 4 2" xfId="105"/>
    <cellStyle name="一般 4 2 2" xfId="162"/>
    <cellStyle name="一般 4 2 2 2" xfId="214"/>
    <cellStyle name="一般 5" xfId="43"/>
    <cellStyle name="一般 5 2" xfId="109"/>
    <cellStyle name="一般 5 2 2" xfId="219"/>
    <cellStyle name="一般 6" xfId="44"/>
    <cellStyle name="一般 6 2" xfId="145"/>
    <cellStyle name="一般 6 3" xfId="180"/>
    <cellStyle name="一般_05月報(表(01-13)" xfId="207"/>
    <cellStyle name="一般_2_99年(終)部長參考指標(矯正)" xfId="201"/>
    <cellStyle name="一般_221" xfId="45"/>
    <cellStyle name="一般_2210" xfId="147"/>
    <cellStyle name="一般_223" xfId="46"/>
    <cellStyle name="一般_4-1 矯正統計(監獄)" xfId="191"/>
    <cellStyle name="一般_4-2 矯正統計(院、所)_1" xfId="194"/>
    <cellStyle name="一般_90年搜索票_智慧財產權案件" xfId="173"/>
    <cellStyle name="一般_91出獄再犯率" xfId="198"/>
    <cellStyle name="一般_91年" xfId="158"/>
    <cellStyle name="一般_92出獄再犯率" xfId="200"/>
    <cellStyle name="一般_9310侵害智慧財產權" xfId="174"/>
    <cellStyle name="一般_940421勒戒明細" xfId="202"/>
    <cellStyle name="一般_95年終部長重要指標簡短(矯正)" xfId="190"/>
    <cellStyle name="一般_95部長參考指標(檢察)_表3-1-10-表3-1-23" xfId="153"/>
    <cellStyle name="一般_98年(終)部長參考指標(司法保護及行政執行)" xfId="208"/>
    <cellStyle name="一般_9992_9801-9812_30071X" xfId="151"/>
    <cellStyle name="一般_Book2" xfId="171"/>
    <cellStyle name="一般_Book2 2" xfId="176"/>
    <cellStyle name="一般_C01_C2-2-56-C2-2-57_101" xfId="141"/>
    <cellStyle name="一般_C1-1-1" xfId="169"/>
    <cellStyle name="一般_c3-1-1" xfId="146"/>
    <cellStyle name="一般_C3-1-18" xfId="159"/>
    <cellStyle name="一般_C3-3-1-(99)" xfId="179"/>
    <cellStyle name="一般_C3-4-4" xfId="187"/>
    <cellStyle name="一般_C3-4-6(098)" xfId="188"/>
    <cellStyle name="一般_d-1" xfId="108"/>
    <cellStyle name="一般_DIGEST-1" xfId="192"/>
    <cellStyle name="一般_M053" xfId="196"/>
    <cellStyle name="一般_p010-023" xfId="163"/>
    <cellStyle name="一般_p048-071" xfId="177"/>
    <cellStyle name="一般_p092-113" xfId="165"/>
    <cellStyle name="一般_p094-115" xfId="164"/>
    <cellStyle name="一般_p124-133" xfId="106"/>
    <cellStyle name="一般_p134-143" xfId="178"/>
    <cellStyle name="一般_Sheet1" xfId="172"/>
    <cellStyle name="一般_Sheet1 2" xfId="220"/>
    <cellStyle name="一般_月報(empty)" xfId="47"/>
    <cellStyle name="一般_月報(表42-61)" xfId="195"/>
    <cellStyle name="一般_月報(表42-62)" xfId="182"/>
    <cellStyle name="一般_表(44)" xfId="183"/>
    <cellStyle name="一般_表1-1-1-表1-3-4" xfId="1"/>
    <cellStyle name="一般_表111-表135" xfId="170"/>
    <cellStyle name="一般_表2-2-20~表2-2-29_a" xfId="111"/>
    <cellStyle name="一般_表2-2-30~40" xfId="48"/>
    <cellStyle name="一般_表2-2-41~51" xfId="49"/>
    <cellStyle name="一般_表2-3-1-表2-5-3" xfId="167"/>
    <cellStyle name="一般_表2-6-1~3(監獄)" xfId="161"/>
    <cellStyle name="一般_表3-1-01~10" xfId="107"/>
    <cellStyle name="一般_表3-1-01~10_C3-1-7_C3-1-7new" xfId="149"/>
    <cellStyle name="一般_表3-1-11~23" xfId="104"/>
    <cellStyle name="一般_表3-2-1-表3-3-6" xfId="175"/>
    <cellStyle name="一般_表3-3-6-1社會勞動" xfId="209"/>
    <cellStyle name="一般_表3-4-1~9(監獄)" xfId="184"/>
    <cellStyle name="一般_表3-4-14~16觀勒戒治保安" xfId="203"/>
    <cellStyle name="一般_表4-3-5~16少輔" xfId="211"/>
    <cellStyle name="一般_表5-1-1-表5-2-5被害補償" xfId="222"/>
    <cellStyle name="一般_近三年資料統計表_表3-1-10-表3-1-23" xfId="155"/>
    <cellStyle name="一般_金門地83" xfId="166"/>
    <cellStyle name="一般_起訴定罪(人new)" xfId="157"/>
    <cellStyle name="一般_統計月年報用圖表" xfId="205"/>
    <cellStyle name="一般_提要分析(觀護、更保)" xfId="206"/>
    <cellStyle name="一般_新收偵查罪名及前十大84-93" xfId="189"/>
    <cellStyle name="一般_摘要--檢察部分(第2頁)更新版99" xfId="168"/>
    <cellStyle name="一般_緩起訴應遵守事項計九款(91-9407)" xfId="154"/>
    <cellStyle name="一般_緩起訴應遵守事項計九款(91-9407)_99年(中)部長參考指標(檢察)" xfId="156"/>
    <cellStyle name="一般_緩起訴應遵守事項計九款(91-9407)_表3-1-10-表3-1-23" xfId="152"/>
    <cellStyle name="一般_矯正統計摘要表(新10003)" xfId="193"/>
    <cellStyle name="千分位" xfId="101" builtinId="3"/>
    <cellStyle name="千分位 10" xfId="218"/>
    <cellStyle name="千分位 2" xfId="50"/>
    <cellStyle name="千分位 2 2" xfId="51"/>
    <cellStyle name="千分位 3" xfId="52"/>
    <cellStyle name="千分位 4" xfId="53"/>
    <cellStyle name="千分位 5" xfId="136"/>
    <cellStyle name="千分位 5 2" xfId="143"/>
    <cellStyle name="千分位 6" xfId="148"/>
    <cellStyle name="千分位 6 2" xfId="140"/>
    <cellStyle name="千分位 7" xfId="139"/>
    <cellStyle name="千分位 8" xfId="210"/>
    <cellStyle name="千分位 9" xfId="144"/>
    <cellStyle name="千分位[0]_表3-4-1~9(監獄)" xfId="186"/>
    <cellStyle name="千分位[0]_表4-3-5~16少輔" xfId="212"/>
    <cellStyle name="千分位_表3-4-14~16觀勒戒治保安" xfId="204"/>
    <cellStyle name="已瀏覽過的超連結" xfId="112" builtinId="9" hidden="1"/>
    <cellStyle name="已瀏覽過的超連結" xfId="113" builtinId="9" hidden="1"/>
    <cellStyle name="已瀏覽過的超連結" xfId="114" builtinId="9" hidden="1"/>
    <cellStyle name="已瀏覽過的超連結" xfId="115" builtinId="9" hidden="1"/>
    <cellStyle name="已瀏覽過的超連結" xfId="116" builtinId="9" hidden="1"/>
    <cellStyle name="已瀏覽過的超連結" xfId="117" builtinId="9" hidden="1"/>
    <cellStyle name="已瀏覽過的超連結" xfId="118" builtinId="9" hidden="1"/>
    <cellStyle name="已瀏覽過的超連結" xfId="119" builtinId="9" hidden="1"/>
    <cellStyle name="已瀏覽過的超連結" xfId="120" builtinId="9" hidden="1"/>
    <cellStyle name="已瀏覽過的超連結" xfId="121" builtinId="9" hidden="1"/>
    <cellStyle name="已瀏覽過的超連結" xfId="122" builtinId="9" hidden="1"/>
    <cellStyle name="已瀏覽過的超連結" xfId="123" builtinId="9" hidden="1"/>
    <cellStyle name="已瀏覽過的超連結" xfId="124" builtinId="9" hidden="1"/>
    <cellStyle name="已瀏覽過的超連結" xfId="125" builtinId="9" hidden="1"/>
    <cellStyle name="已瀏覽過的超連結" xfId="126" builtinId="9" hidden="1"/>
    <cellStyle name="已瀏覽過的超連結" xfId="127" builtinId="9" hidden="1"/>
    <cellStyle name="已瀏覽過的超連結" xfId="128" builtinId="9" hidden="1"/>
    <cellStyle name="已瀏覽過的超連結" xfId="129" builtinId="9" hidden="1"/>
    <cellStyle name="已瀏覽過的超連結" xfId="130" builtinId="9" hidden="1"/>
    <cellStyle name="已瀏覽過的超連結" xfId="131" builtinId="9" hidden="1"/>
    <cellStyle name="已瀏覽過的超連結" xfId="132" builtinId="9" hidden="1"/>
    <cellStyle name="已瀏覽過的超連結" xfId="133" builtinId="9" hidden="1"/>
    <cellStyle name="已瀏覽過的超連結" xfId="134" builtinId="9" hidden="1"/>
    <cellStyle name="已瀏覽過的超連結" xfId="135" builtinId="9" hidden="1"/>
    <cellStyle name="中等 2" xfId="54"/>
    <cellStyle name="中等 2 2" xfId="55"/>
    <cellStyle name="內文" xfId="102"/>
    <cellStyle name="合計 2" xfId="56"/>
    <cellStyle name="合計 2 2" xfId="57"/>
    <cellStyle name="好 2" xfId="58"/>
    <cellStyle name="好 2 2" xfId="59"/>
    <cellStyle name="計算方式 2" xfId="60"/>
    <cellStyle name="計算方式 2 2" xfId="61"/>
    <cellStyle name="貨幣 2" xfId="199"/>
    <cellStyle name="貨幣 3" xfId="216"/>
    <cellStyle name="貨幣[0]_Sheet1" xfId="110"/>
    <cellStyle name="連結的儲存格 2" xfId="62"/>
    <cellStyle name="連結的儲存格 2 2" xfId="63"/>
    <cellStyle name="備註 2" xfId="64"/>
    <cellStyle name="備註 2 2" xfId="65"/>
    <cellStyle name="超連結" xfId="100" builtinId="8"/>
    <cellStyle name="超連結 2" xfId="66"/>
    <cellStyle name="說明文字 2" xfId="67"/>
    <cellStyle name="說明文字 2 2" xfId="68"/>
    <cellStyle name="輔色1 2" xfId="69"/>
    <cellStyle name="輔色1 2 2" xfId="70"/>
    <cellStyle name="輔色2 2" xfId="71"/>
    <cellStyle name="輔色2 2 2" xfId="72"/>
    <cellStyle name="輔色3 2" xfId="73"/>
    <cellStyle name="輔色3 2 2" xfId="74"/>
    <cellStyle name="輔色4 2" xfId="75"/>
    <cellStyle name="輔色4 2 2" xfId="76"/>
    <cellStyle name="輔色5 2" xfId="77"/>
    <cellStyle name="輔色5 2 2" xfId="78"/>
    <cellStyle name="輔色6 2" xfId="79"/>
    <cellStyle name="輔色6 2 2" xfId="80"/>
    <cellStyle name="標準_Ⅰ-１-１-３図　刑法犯の主要罪名別認知件数・検挙件数・検挙人員検挙率付" xfId="103"/>
    <cellStyle name="標題 1 2" xfId="81"/>
    <cellStyle name="標題 1 2 2" xfId="82"/>
    <cellStyle name="標題 2 2" xfId="83"/>
    <cellStyle name="標題 2 2 2" xfId="84"/>
    <cellStyle name="標題 3 2" xfId="85"/>
    <cellStyle name="標題 3 2 2" xfId="86"/>
    <cellStyle name="標題 4 2" xfId="87"/>
    <cellStyle name="標題 4 2 2" xfId="88"/>
    <cellStyle name="標題 5" xfId="89"/>
    <cellStyle name="輸入 2" xfId="90"/>
    <cellStyle name="輸入 2 2" xfId="91"/>
    <cellStyle name="輸出 2" xfId="92"/>
    <cellStyle name="輸出 2 2" xfId="93"/>
    <cellStyle name="檢查儲存格 2" xfId="94"/>
    <cellStyle name="檢查儲存格 2 2" xfId="95"/>
    <cellStyle name="壞 2" xfId="96"/>
    <cellStyle name="壞 2 2" xfId="97"/>
    <cellStyle name="警告文字 2" xfId="98"/>
    <cellStyle name="警告文字 2 2" xfId="99"/>
  </cellStyles>
  <dxfs count="0"/>
  <tableStyles count="0" defaultTableStyle="TableStyleMedium9" defaultPivotStyle="PivotStyleLight16"/>
  <colors>
    <mruColors>
      <color rgb="FFFF00FF"/>
      <color rgb="FF00FFFF"/>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drawings/drawing1.xml><?xml version="1.0" encoding="utf-8"?>
<xdr:wsDr xmlns:xdr="http://schemas.openxmlformats.org/drawingml/2006/spreadsheetDrawing" xmlns:a="http://schemas.openxmlformats.org/drawingml/2006/main">
  <xdr:twoCellAnchor>
    <xdr:from>
      <xdr:col>0</xdr:col>
      <xdr:colOff>66675</xdr:colOff>
      <xdr:row>4</xdr:row>
      <xdr:rowOff>276225</xdr:rowOff>
    </xdr:from>
    <xdr:to>
      <xdr:col>0</xdr:col>
      <xdr:colOff>361950</xdr:colOff>
      <xdr:row>9</xdr:row>
      <xdr:rowOff>123825</xdr:rowOff>
    </xdr:to>
    <xdr:sp macro="" textlink="">
      <xdr:nvSpPr>
        <xdr:cNvPr id="2" name="Text Box 1">
          <a:extLst>
            <a:ext uri="{FF2B5EF4-FFF2-40B4-BE49-F238E27FC236}">
              <a16:creationId xmlns:a16="http://schemas.microsoft.com/office/drawing/2014/main" xmlns="" id="{00000000-0008-0000-0000-000002000000}"/>
            </a:ext>
          </a:extLst>
        </xdr:cNvPr>
        <xdr:cNvSpPr txBox="1">
          <a:spLocks noChangeArrowheads="1"/>
        </xdr:cNvSpPr>
      </xdr:nvSpPr>
      <xdr:spPr bwMode="auto">
        <a:xfrm>
          <a:off x="66675" y="1990725"/>
          <a:ext cx="295275" cy="2705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27432" tIns="0" rIns="27432" bIns="0" anchor="ctr" upright="1"/>
        <a:lstStyle/>
        <a:p>
          <a:pPr algn="dist" rtl="0">
            <a:defRPr sz="1000"/>
          </a:pPr>
          <a:r>
            <a:rPr lang="zh-TW" altLang="en-US" sz="1200" b="0" i="0" u="none" strike="noStrike" baseline="0">
              <a:solidFill>
                <a:srgbClr val="000000"/>
              </a:solidFill>
              <a:latin typeface="新細明體" panose="02020500000000000000" pitchFamily="18" charset="-120"/>
              <a:ea typeface="新細明體" panose="02020500000000000000" pitchFamily="18" charset="-120"/>
            </a:rPr>
            <a:t>一般偵查</a:t>
          </a:r>
          <a:endParaRPr lang="zh-TW" altLang="en-US">
            <a:latin typeface="新細明體" panose="02020500000000000000" pitchFamily="18" charset="-120"/>
            <a:ea typeface="新細明體" panose="02020500000000000000" pitchFamily="18" charset="-120"/>
          </a:endParaRPr>
        </a:p>
      </xdr:txBody>
    </xdr:sp>
    <xdr:clientData/>
  </xdr:twoCellAnchor>
  <xdr:twoCellAnchor>
    <xdr:from>
      <xdr:col>0</xdr:col>
      <xdr:colOff>333375</xdr:colOff>
      <xdr:row>4</xdr:row>
      <xdr:rowOff>219075</xdr:rowOff>
    </xdr:from>
    <xdr:to>
      <xdr:col>0</xdr:col>
      <xdr:colOff>485775</xdr:colOff>
      <xdr:row>9</xdr:row>
      <xdr:rowOff>333375</xdr:rowOff>
    </xdr:to>
    <xdr:sp macro="" textlink="">
      <xdr:nvSpPr>
        <xdr:cNvPr id="3" name="AutoShape 3">
          <a:extLst>
            <a:ext uri="{FF2B5EF4-FFF2-40B4-BE49-F238E27FC236}">
              <a16:creationId xmlns:a16="http://schemas.microsoft.com/office/drawing/2014/main" xmlns="" id="{00000000-0008-0000-0000-000004000000}"/>
            </a:ext>
          </a:extLst>
        </xdr:cNvPr>
        <xdr:cNvSpPr>
          <a:spLocks/>
        </xdr:cNvSpPr>
      </xdr:nvSpPr>
      <xdr:spPr bwMode="auto">
        <a:xfrm>
          <a:off x="333375" y="1933575"/>
          <a:ext cx="152400" cy="2971800"/>
        </a:xfrm>
        <a:prstGeom prst="leftBrace">
          <a:avLst>
            <a:gd name="adj1" fmla="val 13125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333375</xdr:colOff>
      <xdr:row>4</xdr:row>
      <xdr:rowOff>219075</xdr:rowOff>
    </xdr:from>
    <xdr:to>
      <xdr:col>0</xdr:col>
      <xdr:colOff>485775</xdr:colOff>
      <xdr:row>9</xdr:row>
      <xdr:rowOff>333375</xdr:rowOff>
    </xdr:to>
    <xdr:sp macro="" textlink="">
      <xdr:nvSpPr>
        <xdr:cNvPr id="4" name="AutoShape 3">
          <a:extLst>
            <a:ext uri="{FF2B5EF4-FFF2-40B4-BE49-F238E27FC236}">
              <a16:creationId xmlns:a16="http://schemas.microsoft.com/office/drawing/2014/main" xmlns="" id="{00000000-0008-0000-0000-00000A000000}"/>
            </a:ext>
          </a:extLst>
        </xdr:cNvPr>
        <xdr:cNvSpPr>
          <a:spLocks/>
        </xdr:cNvSpPr>
      </xdr:nvSpPr>
      <xdr:spPr bwMode="auto">
        <a:xfrm>
          <a:off x="333375" y="1933575"/>
          <a:ext cx="152400" cy="2971800"/>
        </a:xfrm>
        <a:prstGeom prst="leftBrace">
          <a:avLst>
            <a:gd name="adj1" fmla="val 13125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0</xdr:colOff>
      <xdr:row>2</xdr:row>
      <xdr:rowOff>57150</xdr:rowOff>
    </xdr:from>
    <xdr:to>
      <xdr:col>14</xdr:col>
      <xdr:colOff>0</xdr:colOff>
      <xdr:row>6</xdr:row>
      <xdr:rowOff>238125</xdr:rowOff>
    </xdr:to>
    <xdr:sp macro="" textlink="">
      <xdr:nvSpPr>
        <xdr:cNvPr id="2" name="文字 4">
          <a:extLst>
            <a:ext uri="{FF2B5EF4-FFF2-40B4-BE49-F238E27FC236}">
              <a16:creationId xmlns:a16="http://schemas.microsoft.com/office/drawing/2014/main" xmlns="" id="{00000000-0008-0000-1400-000002000000}"/>
            </a:ext>
          </a:extLst>
        </xdr:cNvPr>
        <xdr:cNvSpPr txBox="1">
          <a:spLocks noChangeArrowheads="1"/>
        </xdr:cNvSpPr>
      </xdr:nvSpPr>
      <xdr:spPr bwMode="auto">
        <a:xfrm>
          <a:off x="9067800" y="647700"/>
          <a:ext cx="0" cy="15716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細明體"/>
              <a:ea typeface="細明體"/>
            </a:rPr>
            <a:t>肅清煙毒</a:t>
          </a:r>
          <a:endParaRPr lang="zh-TW" altLang="en-US"/>
        </a:p>
      </xdr:txBody>
    </xdr:sp>
    <xdr:clientData/>
  </xdr:twoCellAnchor>
  <xdr:twoCellAnchor>
    <xdr:from>
      <xdr:col>14</xdr:col>
      <xdr:colOff>0</xdr:colOff>
      <xdr:row>2</xdr:row>
      <xdr:rowOff>47625</xdr:rowOff>
    </xdr:from>
    <xdr:to>
      <xdr:col>14</xdr:col>
      <xdr:colOff>0</xdr:colOff>
      <xdr:row>6</xdr:row>
      <xdr:rowOff>228600</xdr:rowOff>
    </xdr:to>
    <xdr:sp macro="" textlink="">
      <xdr:nvSpPr>
        <xdr:cNvPr id="3" name="文字 5">
          <a:extLst>
            <a:ext uri="{FF2B5EF4-FFF2-40B4-BE49-F238E27FC236}">
              <a16:creationId xmlns:a16="http://schemas.microsoft.com/office/drawing/2014/main" xmlns="" id="{00000000-0008-0000-1400-000003000000}"/>
            </a:ext>
          </a:extLst>
        </xdr:cNvPr>
        <xdr:cNvSpPr txBox="1">
          <a:spLocks noChangeArrowheads="1"/>
        </xdr:cNvSpPr>
      </xdr:nvSpPr>
      <xdr:spPr bwMode="auto">
        <a:xfrm>
          <a:off x="9067800" y="638175"/>
          <a:ext cx="0" cy="15811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500"/>
            </a:lnSpc>
            <a:defRPr sz="1000"/>
          </a:pPr>
          <a:r>
            <a:rPr lang="zh-TW" altLang="en-US" sz="1200" b="0" i="0" u="none" strike="noStrike" baseline="0">
              <a:solidFill>
                <a:srgbClr val="000000"/>
              </a:solidFill>
              <a:latin typeface="細明體"/>
              <a:ea typeface="細明體"/>
            </a:rPr>
            <a:t>條例</a:t>
          </a:r>
          <a:endParaRPr lang="zh-TW" altLang="en-US"/>
        </a:p>
      </xdr:txBody>
    </xdr:sp>
    <xdr:clientData/>
  </xdr:twoCellAnchor>
  <xdr:twoCellAnchor>
    <xdr:from>
      <xdr:col>10</xdr:col>
      <xdr:colOff>0</xdr:colOff>
      <xdr:row>27</xdr:row>
      <xdr:rowOff>57150</xdr:rowOff>
    </xdr:from>
    <xdr:to>
      <xdr:col>10</xdr:col>
      <xdr:colOff>0</xdr:colOff>
      <xdr:row>31</xdr:row>
      <xdr:rowOff>238125</xdr:rowOff>
    </xdr:to>
    <xdr:sp macro="" textlink="">
      <xdr:nvSpPr>
        <xdr:cNvPr id="4" name="文字 4">
          <a:extLst>
            <a:ext uri="{FF2B5EF4-FFF2-40B4-BE49-F238E27FC236}">
              <a16:creationId xmlns:a16="http://schemas.microsoft.com/office/drawing/2014/main" xmlns="" id="{00000000-0008-0000-1400-000004000000}"/>
            </a:ext>
          </a:extLst>
        </xdr:cNvPr>
        <xdr:cNvSpPr txBox="1">
          <a:spLocks noChangeArrowheads="1"/>
        </xdr:cNvSpPr>
      </xdr:nvSpPr>
      <xdr:spPr bwMode="auto">
        <a:xfrm>
          <a:off x="6515100" y="63436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肅清煙毒</a:t>
          </a:r>
          <a:endParaRPr lang="zh-TW" altLang="en-US"/>
        </a:p>
      </xdr:txBody>
    </xdr:sp>
    <xdr:clientData/>
  </xdr:twoCellAnchor>
  <xdr:twoCellAnchor>
    <xdr:from>
      <xdr:col>10</xdr:col>
      <xdr:colOff>0</xdr:colOff>
      <xdr:row>27</xdr:row>
      <xdr:rowOff>47625</xdr:rowOff>
    </xdr:from>
    <xdr:to>
      <xdr:col>10</xdr:col>
      <xdr:colOff>0</xdr:colOff>
      <xdr:row>31</xdr:row>
      <xdr:rowOff>228600</xdr:rowOff>
    </xdr:to>
    <xdr:sp macro="" textlink="">
      <xdr:nvSpPr>
        <xdr:cNvPr id="5" name="文字 5">
          <a:extLst>
            <a:ext uri="{FF2B5EF4-FFF2-40B4-BE49-F238E27FC236}">
              <a16:creationId xmlns:a16="http://schemas.microsoft.com/office/drawing/2014/main" xmlns="" id="{00000000-0008-0000-1400-000005000000}"/>
            </a:ext>
          </a:extLst>
        </xdr:cNvPr>
        <xdr:cNvSpPr txBox="1">
          <a:spLocks noChangeArrowheads="1"/>
        </xdr:cNvSpPr>
      </xdr:nvSpPr>
      <xdr:spPr bwMode="auto">
        <a:xfrm>
          <a:off x="6515100" y="63436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細明體"/>
              <a:ea typeface="細明體"/>
            </a:rPr>
            <a:t>條例</a:t>
          </a:r>
          <a:endParaRPr lang="zh-TW" altLang="en-US"/>
        </a:p>
      </xdr:txBody>
    </xdr:sp>
    <xdr:clientData/>
  </xdr:twoCellAnchor>
  <xdr:twoCellAnchor>
    <xdr:from>
      <xdr:col>5</xdr:col>
      <xdr:colOff>0</xdr:colOff>
      <xdr:row>2</xdr:row>
      <xdr:rowOff>9525</xdr:rowOff>
    </xdr:from>
    <xdr:to>
      <xdr:col>5</xdr:col>
      <xdr:colOff>0</xdr:colOff>
      <xdr:row>6</xdr:row>
      <xdr:rowOff>295275</xdr:rowOff>
    </xdr:to>
    <xdr:sp macro="" textlink="">
      <xdr:nvSpPr>
        <xdr:cNvPr id="6" name="文字 2">
          <a:extLst>
            <a:ext uri="{FF2B5EF4-FFF2-40B4-BE49-F238E27FC236}">
              <a16:creationId xmlns:a16="http://schemas.microsoft.com/office/drawing/2014/main" xmlns="" id="{00000000-0008-0000-1400-000006000000}"/>
            </a:ext>
          </a:extLst>
        </xdr:cNvPr>
        <xdr:cNvSpPr txBox="1">
          <a:spLocks noChangeArrowheads="1"/>
        </xdr:cNvSpPr>
      </xdr:nvSpPr>
      <xdr:spPr bwMode="auto">
        <a:xfrm>
          <a:off x="3324225" y="600075"/>
          <a:ext cx="0" cy="1619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36576" tIns="0" rIns="36576" bIns="0" anchor="ctr" upright="1"/>
        <a:lstStyle/>
        <a:p>
          <a:pPr algn="dist" rtl="0">
            <a:defRPr sz="1000"/>
          </a:pPr>
          <a:r>
            <a:rPr lang="zh-TW" altLang="en-US" sz="1400" b="0" i="0" u="none" strike="noStrike" baseline="0">
              <a:solidFill>
                <a:srgbClr val="000000"/>
              </a:solidFill>
              <a:latin typeface="華康中黑體"/>
              <a:ea typeface="華康中黑體"/>
            </a:rPr>
            <a:t>條例</a:t>
          </a:r>
        </a:p>
        <a:p>
          <a:pPr algn="dist" rtl="0">
            <a:defRPr sz="1000"/>
          </a:pPr>
          <a:r>
            <a:rPr lang="zh-TW" altLang="en-US" sz="1400" b="0" i="0" u="none" strike="noStrike" baseline="0">
              <a:solidFill>
                <a:srgbClr val="000000"/>
              </a:solidFill>
              <a:latin typeface="華康中黑體"/>
              <a:ea typeface="華康中黑體"/>
            </a:rPr>
            <a:t>肅清煙毒</a:t>
          </a:r>
          <a:endParaRPr lang="zh-TW" altLang="en-US"/>
        </a:p>
      </xdr:txBody>
    </xdr:sp>
    <xdr:clientData/>
  </xdr:twoCellAnchor>
  <xdr:twoCellAnchor>
    <xdr:from>
      <xdr:col>5</xdr:col>
      <xdr:colOff>0</xdr:colOff>
      <xdr:row>2</xdr:row>
      <xdr:rowOff>20262</xdr:rowOff>
    </xdr:from>
    <xdr:to>
      <xdr:col>5</xdr:col>
      <xdr:colOff>0</xdr:colOff>
      <xdr:row>6</xdr:row>
      <xdr:rowOff>212151</xdr:rowOff>
    </xdr:to>
    <xdr:sp macro="" textlink="">
      <xdr:nvSpPr>
        <xdr:cNvPr id="7" name="文字 2">
          <a:extLst>
            <a:ext uri="{FF2B5EF4-FFF2-40B4-BE49-F238E27FC236}">
              <a16:creationId xmlns:a16="http://schemas.microsoft.com/office/drawing/2014/main" xmlns="" id="{00000000-0008-0000-1400-000007000000}"/>
            </a:ext>
          </a:extLst>
        </xdr:cNvPr>
        <xdr:cNvSpPr txBox="1">
          <a:spLocks noChangeArrowheads="1"/>
        </xdr:cNvSpPr>
      </xdr:nvSpPr>
      <xdr:spPr bwMode="auto">
        <a:xfrm>
          <a:off x="3324225" y="610812"/>
          <a:ext cx="0" cy="16015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27432" tIns="0" rIns="27432" bIns="0" anchor="ctr" upright="1"/>
        <a:lstStyle/>
        <a:p>
          <a:pPr algn="dist" rtl="0">
            <a:defRPr sz="1000"/>
          </a:pPr>
          <a:r>
            <a:rPr lang="zh-TW" altLang="en-US" sz="1400" b="0" i="0" u="none" strike="noStrike" baseline="0">
              <a:solidFill>
                <a:srgbClr val="000000"/>
              </a:solidFill>
              <a:latin typeface="華康中黑體"/>
              <a:ea typeface="華康中黑體"/>
            </a:rPr>
            <a:t>條例</a:t>
          </a:r>
        </a:p>
        <a:p>
          <a:pPr algn="dist" rtl="0">
            <a:defRPr sz="1000"/>
          </a:pPr>
          <a:r>
            <a:rPr lang="zh-TW" altLang="en-US" sz="1400" b="0" i="0" u="none" strike="noStrike" baseline="0">
              <a:solidFill>
                <a:srgbClr val="000000"/>
              </a:solidFill>
              <a:latin typeface="華康中黑體"/>
              <a:ea typeface="華康中黑體"/>
            </a:rPr>
            <a:t>肅清煙毒</a:t>
          </a:r>
          <a:endParaRPr lang="zh-TW" altLang="en-US"/>
        </a:p>
      </xdr:txBody>
    </xdr:sp>
    <xdr:clientData/>
  </xdr:twoCellAnchor>
  <xdr:twoCellAnchor>
    <xdr:from>
      <xdr:col>14</xdr:col>
      <xdr:colOff>0</xdr:colOff>
      <xdr:row>2</xdr:row>
      <xdr:rowOff>57150</xdr:rowOff>
    </xdr:from>
    <xdr:to>
      <xdr:col>14</xdr:col>
      <xdr:colOff>0</xdr:colOff>
      <xdr:row>6</xdr:row>
      <xdr:rowOff>238125</xdr:rowOff>
    </xdr:to>
    <xdr:sp macro="" textlink="">
      <xdr:nvSpPr>
        <xdr:cNvPr id="8" name="文字 4">
          <a:extLst>
            <a:ext uri="{FF2B5EF4-FFF2-40B4-BE49-F238E27FC236}">
              <a16:creationId xmlns:a16="http://schemas.microsoft.com/office/drawing/2014/main" xmlns="" id="{00000000-0008-0000-1400-000008000000}"/>
            </a:ext>
          </a:extLst>
        </xdr:cNvPr>
        <xdr:cNvSpPr txBox="1">
          <a:spLocks noChangeArrowheads="1"/>
        </xdr:cNvSpPr>
      </xdr:nvSpPr>
      <xdr:spPr bwMode="auto">
        <a:xfrm>
          <a:off x="9067800" y="647700"/>
          <a:ext cx="0" cy="15716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細明體"/>
              <a:ea typeface="細明體"/>
            </a:rPr>
            <a:t>肅清煙毒</a:t>
          </a:r>
          <a:endParaRPr lang="zh-TW" altLang="en-US"/>
        </a:p>
      </xdr:txBody>
    </xdr:sp>
    <xdr:clientData/>
  </xdr:twoCellAnchor>
  <xdr:twoCellAnchor>
    <xdr:from>
      <xdr:col>14</xdr:col>
      <xdr:colOff>0</xdr:colOff>
      <xdr:row>2</xdr:row>
      <xdr:rowOff>47625</xdr:rowOff>
    </xdr:from>
    <xdr:to>
      <xdr:col>14</xdr:col>
      <xdr:colOff>0</xdr:colOff>
      <xdr:row>6</xdr:row>
      <xdr:rowOff>228600</xdr:rowOff>
    </xdr:to>
    <xdr:sp macro="" textlink="">
      <xdr:nvSpPr>
        <xdr:cNvPr id="9" name="文字 5">
          <a:extLst>
            <a:ext uri="{FF2B5EF4-FFF2-40B4-BE49-F238E27FC236}">
              <a16:creationId xmlns:a16="http://schemas.microsoft.com/office/drawing/2014/main" xmlns="" id="{00000000-0008-0000-1400-000009000000}"/>
            </a:ext>
          </a:extLst>
        </xdr:cNvPr>
        <xdr:cNvSpPr txBox="1">
          <a:spLocks noChangeArrowheads="1"/>
        </xdr:cNvSpPr>
      </xdr:nvSpPr>
      <xdr:spPr bwMode="auto">
        <a:xfrm>
          <a:off x="9067800" y="638175"/>
          <a:ext cx="0" cy="15811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500"/>
            </a:lnSpc>
            <a:defRPr sz="1000"/>
          </a:pPr>
          <a:r>
            <a:rPr lang="zh-TW" altLang="en-US" sz="1200" b="0" i="0" u="none" strike="noStrike" baseline="0">
              <a:solidFill>
                <a:srgbClr val="000000"/>
              </a:solidFill>
              <a:latin typeface="細明體"/>
              <a:ea typeface="細明體"/>
            </a:rPr>
            <a:t>條例</a:t>
          </a:r>
          <a:endParaRPr lang="zh-TW" altLang="en-US"/>
        </a:p>
      </xdr:txBody>
    </xdr:sp>
    <xdr:clientData/>
  </xdr:twoCellAnchor>
  <xdr:twoCellAnchor>
    <xdr:from>
      <xdr:col>10</xdr:col>
      <xdr:colOff>0</xdr:colOff>
      <xdr:row>27</xdr:row>
      <xdr:rowOff>57150</xdr:rowOff>
    </xdr:from>
    <xdr:to>
      <xdr:col>10</xdr:col>
      <xdr:colOff>0</xdr:colOff>
      <xdr:row>31</xdr:row>
      <xdr:rowOff>238125</xdr:rowOff>
    </xdr:to>
    <xdr:sp macro="" textlink="">
      <xdr:nvSpPr>
        <xdr:cNvPr id="10" name="文字 4">
          <a:extLst>
            <a:ext uri="{FF2B5EF4-FFF2-40B4-BE49-F238E27FC236}">
              <a16:creationId xmlns:a16="http://schemas.microsoft.com/office/drawing/2014/main" xmlns="" id="{00000000-0008-0000-1400-00000A000000}"/>
            </a:ext>
          </a:extLst>
        </xdr:cNvPr>
        <xdr:cNvSpPr txBox="1">
          <a:spLocks noChangeArrowheads="1"/>
        </xdr:cNvSpPr>
      </xdr:nvSpPr>
      <xdr:spPr bwMode="auto">
        <a:xfrm>
          <a:off x="6515100" y="63436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肅清煙毒</a:t>
          </a:r>
          <a:endParaRPr lang="zh-TW" altLang="en-US"/>
        </a:p>
      </xdr:txBody>
    </xdr:sp>
    <xdr:clientData/>
  </xdr:twoCellAnchor>
  <xdr:twoCellAnchor>
    <xdr:from>
      <xdr:col>10</xdr:col>
      <xdr:colOff>0</xdr:colOff>
      <xdr:row>27</xdr:row>
      <xdr:rowOff>47625</xdr:rowOff>
    </xdr:from>
    <xdr:to>
      <xdr:col>10</xdr:col>
      <xdr:colOff>0</xdr:colOff>
      <xdr:row>31</xdr:row>
      <xdr:rowOff>228600</xdr:rowOff>
    </xdr:to>
    <xdr:sp macro="" textlink="">
      <xdr:nvSpPr>
        <xdr:cNvPr id="11" name="文字 5">
          <a:extLst>
            <a:ext uri="{FF2B5EF4-FFF2-40B4-BE49-F238E27FC236}">
              <a16:creationId xmlns:a16="http://schemas.microsoft.com/office/drawing/2014/main" xmlns="" id="{00000000-0008-0000-1400-00000B000000}"/>
            </a:ext>
          </a:extLst>
        </xdr:cNvPr>
        <xdr:cNvSpPr txBox="1">
          <a:spLocks noChangeArrowheads="1"/>
        </xdr:cNvSpPr>
      </xdr:nvSpPr>
      <xdr:spPr bwMode="auto">
        <a:xfrm>
          <a:off x="6515100" y="63436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細明體"/>
              <a:ea typeface="細明體"/>
            </a:rPr>
            <a:t>條例</a:t>
          </a:r>
          <a:endParaRPr lang="zh-TW" altLang="en-US"/>
        </a:p>
      </xdr:txBody>
    </xdr:sp>
    <xdr:clientData/>
  </xdr:twoCellAnchor>
  <xdr:twoCellAnchor>
    <xdr:from>
      <xdr:col>5</xdr:col>
      <xdr:colOff>0</xdr:colOff>
      <xdr:row>2</xdr:row>
      <xdr:rowOff>9525</xdr:rowOff>
    </xdr:from>
    <xdr:to>
      <xdr:col>5</xdr:col>
      <xdr:colOff>0</xdr:colOff>
      <xdr:row>6</xdr:row>
      <xdr:rowOff>295275</xdr:rowOff>
    </xdr:to>
    <xdr:sp macro="" textlink="">
      <xdr:nvSpPr>
        <xdr:cNvPr id="12" name="文字 2">
          <a:extLst>
            <a:ext uri="{FF2B5EF4-FFF2-40B4-BE49-F238E27FC236}">
              <a16:creationId xmlns:a16="http://schemas.microsoft.com/office/drawing/2014/main" xmlns="" id="{00000000-0008-0000-1400-00000C000000}"/>
            </a:ext>
          </a:extLst>
        </xdr:cNvPr>
        <xdr:cNvSpPr txBox="1">
          <a:spLocks noChangeArrowheads="1"/>
        </xdr:cNvSpPr>
      </xdr:nvSpPr>
      <xdr:spPr bwMode="auto">
        <a:xfrm>
          <a:off x="3324225" y="600075"/>
          <a:ext cx="0" cy="1619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36576" tIns="0" rIns="36576" bIns="0" anchor="ctr" upright="1"/>
        <a:lstStyle/>
        <a:p>
          <a:pPr algn="dist" rtl="0">
            <a:defRPr sz="1000"/>
          </a:pPr>
          <a:r>
            <a:rPr lang="zh-TW" altLang="en-US" sz="1400" b="0" i="0" u="none" strike="noStrike" baseline="0">
              <a:solidFill>
                <a:srgbClr val="000000"/>
              </a:solidFill>
              <a:latin typeface="華康中黑體"/>
              <a:ea typeface="華康中黑體"/>
            </a:rPr>
            <a:t>條例</a:t>
          </a:r>
        </a:p>
        <a:p>
          <a:pPr algn="dist" rtl="0">
            <a:defRPr sz="1000"/>
          </a:pPr>
          <a:r>
            <a:rPr lang="zh-TW" altLang="en-US" sz="1400" b="0" i="0" u="none" strike="noStrike" baseline="0">
              <a:solidFill>
                <a:srgbClr val="000000"/>
              </a:solidFill>
              <a:latin typeface="華康中黑體"/>
              <a:ea typeface="華康中黑體"/>
            </a:rPr>
            <a:t>肅清煙毒</a:t>
          </a:r>
          <a:endParaRPr lang="zh-TW" altLang="en-US"/>
        </a:p>
      </xdr:txBody>
    </xdr:sp>
    <xdr:clientData/>
  </xdr:twoCellAnchor>
  <xdr:twoCellAnchor>
    <xdr:from>
      <xdr:col>5</xdr:col>
      <xdr:colOff>0</xdr:colOff>
      <xdr:row>2</xdr:row>
      <xdr:rowOff>20262</xdr:rowOff>
    </xdr:from>
    <xdr:to>
      <xdr:col>5</xdr:col>
      <xdr:colOff>0</xdr:colOff>
      <xdr:row>6</xdr:row>
      <xdr:rowOff>212151</xdr:rowOff>
    </xdr:to>
    <xdr:sp macro="" textlink="">
      <xdr:nvSpPr>
        <xdr:cNvPr id="13" name="文字 2">
          <a:extLst>
            <a:ext uri="{FF2B5EF4-FFF2-40B4-BE49-F238E27FC236}">
              <a16:creationId xmlns:a16="http://schemas.microsoft.com/office/drawing/2014/main" xmlns="" id="{00000000-0008-0000-1400-00000D000000}"/>
            </a:ext>
          </a:extLst>
        </xdr:cNvPr>
        <xdr:cNvSpPr txBox="1">
          <a:spLocks noChangeArrowheads="1"/>
        </xdr:cNvSpPr>
      </xdr:nvSpPr>
      <xdr:spPr bwMode="auto">
        <a:xfrm>
          <a:off x="3324225" y="610812"/>
          <a:ext cx="0" cy="16015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27432" tIns="0" rIns="27432" bIns="0" anchor="ctr" upright="1"/>
        <a:lstStyle/>
        <a:p>
          <a:pPr algn="dist" rtl="0">
            <a:defRPr sz="1000"/>
          </a:pPr>
          <a:r>
            <a:rPr lang="zh-TW" altLang="en-US" sz="1400" b="0" i="0" u="none" strike="noStrike" baseline="0">
              <a:solidFill>
                <a:srgbClr val="000000"/>
              </a:solidFill>
              <a:latin typeface="華康中黑體"/>
              <a:ea typeface="華康中黑體"/>
            </a:rPr>
            <a:t>條例</a:t>
          </a:r>
        </a:p>
        <a:p>
          <a:pPr algn="dist" rtl="0">
            <a:defRPr sz="1000"/>
          </a:pPr>
          <a:r>
            <a:rPr lang="zh-TW" altLang="en-US" sz="1400" b="0" i="0" u="none" strike="noStrike" baseline="0">
              <a:solidFill>
                <a:srgbClr val="000000"/>
              </a:solidFill>
              <a:latin typeface="華康中黑體"/>
              <a:ea typeface="華康中黑體"/>
            </a:rPr>
            <a:t>肅清煙毒</a:t>
          </a:r>
          <a:endParaRPr lang="zh-TW" altLang="en-US"/>
        </a:p>
      </xdr:txBody>
    </xdr:sp>
    <xdr:clientData/>
  </xdr:twoCellAnchor>
  <xdr:twoCellAnchor>
    <xdr:from>
      <xdr:col>11</xdr:col>
      <xdr:colOff>0</xdr:colOff>
      <xdr:row>2</xdr:row>
      <xdr:rowOff>49530</xdr:rowOff>
    </xdr:from>
    <xdr:to>
      <xdr:col>11</xdr:col>
      <xdr:colOff>0</xdr:colOff>
      <xdr:row>7</xdr:row>
      <xdr:rowOff>0</xdr:rowOff>
    </xdr:to>
    <xdr:sp macro="" textlink="">
      <xdr:nvSpPr>
        <xdr:cNvPr id="14" name="文字 4">
          <a:extLst>
            <a:ext uri="{FF2B5EF4-FFF2-40B4-BE49-F238E27FC236}">
              <a16:creationId xmlns:a16="http://schemas.microsoft.com/office/drawing/2014/main" xmlns="" id="{00000000-0008-0000-1400-00000E000000}"/>
            </a:ext>
          </a:extLst>
        </xdr:cNvPr>
        <xdr:cNvSpPr txBox="1">
          <a:spLocks noChangeArrowheads="1"/>
        </xdr:cNvSpPr>
      </xdr:nvSpPr>
      <xdr:spPr bwMode="auto">
        <a:xfrm>
          <a:off x="7153275" y="640080"/>
          <a:ext cx="0" cy="157924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細明體"/>
              <a:ea typeface="細明體"/>
            </a:rPr>
            <a:t>肅清煙毒</a:t>
          </a:r>
          <a:endParaRPr lang="zh-TW" altLang="en-US"/>
        </a:p>
      </xdr:txBody>
    </xdr:sp>
    <xdr:clientData/>
  </xdr:twoCellAnchor>
  <xdr:twoCellAnchor>
    <xdr:from>
      <xdr:col>11</xdr:col>
      <xdr:colOff>0</xdr:colOff>
      <xdr:row>2</xdr:row>
      <xdr:rowOff>47625</xdr:rowOff>
    </xdr:from>
    <xdr:to>
      <xdr:col>11</xdr:col>
      <xdr:colOff>0</xdr:colOff>
      <xdr:row>6</xdr:row>
      <xdr:rowOff>228600</xdr:rowOff>
    </xdr:to>
    <xdr:sp macro="" textlink="">
      <xdr:nvSpPr>
        <xdr:cNvPr id="15" name="文字 5">
          <a:extLst>
            <a:ext uri="{FF2B5EF4-FFF2-40B4-BE49-F238E27FC236}">
              <a16:creationId xmlns:a16="http://schemas.microsoft.com/office/drawing/2014/main" xmlns="" id="{00000000-0008-0000-1400-00000F000000}"/>
            </a:ext>
          </a:extLst>
        </xdr:cNvPr>
        <xdr:cNvSpPr txBox="1">
          <a:spLocks noChangeArrowheads="1"/>
        </xdr:cNvSpPr>
      </xdr:nvSpPr>
      <xdr:spPr bwMode="auto">
        <a:xfrm>
          <a:off x="7153275" y="638175"/>
          <a:ext cx="0" cy="15811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500"/>
            </a:lnSpc>
            <a:defRPr sz="1000"/>
          </a:pPr>
          <a:r>
            <a:rPr lang="zh-TW" altLang="en-US" sz="1200" b="0" i="0" u="none" strike="noStrike" baseline="0">
              <a:solidFill>
                <a:srgbClr val="000000"/>
              </a:solidFill>
              <a:latin typeface="細明體"/>
              <a:ea typeface="細明體"/>
            </a:rPr>
            <a:t>條例</a:t>
          </a:r>
          <a:endParaRPr lang="zh-TW" altLang="en-US"/>
        </a:p>
      </xdr:txBody>
    </xdr:sp>
    <xdr:clientData/>
  </xdr:twoCellAnchor>
  <xdr:twoCellAnchor>
    <xdr:from>
      <xdr:col>10</xdr:col>
      <xdr:colOff>0</xdr:colOff>
      <xdr:row>2</xdr:row>
      <xdr:rowOff>9525</xdr:rowOff>
    </xdr:from>
    <xdr:to>
      <xdr:col>10</xdr:col>
      <xdr:colOff>0</xdr:colOff>
      <xdr:row>6</xdr:row>
      <xdr:rowOff>295275</xdr:rowOff>
    </xdr:to>
    <xdr:sp macro="" textlink="">
      <xdr:nvSpPr>
        <xdr:cNvPr id="16" name="文字 2">
          <a:extLst>
            <a:ext uri="{FF2B5EF4-FFF2-40B4-BE49-F238E27FC236}">
              <a16:creationId xmlns:a16="http://schemas.microsoft.com/office/drawing/2014/main" xmlns="" id="{00000000-0008-0000-1400-000010000000}"/>
            </a:ext>
          </a:extLst>
        </xdr:cNvPr>
        <xdr:cNvSpPr txBox="1">
          <a:spLocks noChangeArrowheads="1"/>
        </xdr:cNvSpPr>
      </xdr:nvSpPr>
      <xdr:spPr bwMode="auto">
        <a:xfrm>
          <a:off x="6515100" y="600075"/>
          <a:ext cx="0" cy="1619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36576" tIns="0" rIns="36576" bIns="0" anchor="ctr" upright="1"/>
        <a:lstStyle/>
        <a:p>
          <a:pPr algn="dist" rtl="0">
            <a:defRPr sz="1000"/>
          </a:pPr>
          <a:r>
            <a:rPr lang="zh-TW" altLang="en-US" sz="1400" b="0" i="0" u="none" strike="noStrike" baseline="0">
              <a:solidFill>
                <a:srgbClr val="000000"/>
              </a:solidFill>
              <a:latin typeface="華康中黑體"/>
              <a:ea typeface="華康中黑體"/>
            </a:rPr>
            <a:t>條例</a:t>
          </a:r>
        </a:p>
        <a:p>
          <a:pPr algn="dist" rtl="0">
            <a:defRPr sz="1000"/>
          </a:pPr>
          <a:r>
            <a:rPr lang="zh-TW" altLang="en-US" sz="1400" b="0" i="0" u="none" strike="noStrike" baseline="0">
              <a:solidFill>
                <a:srgbClr val="000000"/>
              </a:solidFill>
              <a:latin typeface="華康中黑體"/>
              <a:ea typeface="華康中黑體"/>
            </a:rPr>
            <a:t>肅清煙毒</a:t>
          </a:r>
          <a:endParaRPr lang="zh-TW" altLang="en-US"/>
        </a:p>
      </xdr:txBody>
    </xdr:sp>
    <xdr:clientData/>
  </xdr:twoCellAnchor>
  <xdr:twoCellAnchor>
    <xdr:from>
      <xdr:col>10</xdr:col>
      <xdr:colOff>0</xdr:colOff>
      <xdr:row>2</xdr:row>
      <xdr:rowOff>20262</xdr:rowOff>
    </xdr:from>
    <xdr:to>
      <xdr:col>10</xdr:col>
      <xdr:colOff>0</xdr:colOff>
      <xdr:row>6</xdr:row>
      <xdr:rowOff>204524</xdr:rowOff>
    </xdr:to>
    <xdr:sp macro="" textlink="">
      <xdr:nvSpPr>
        <xdr:cNvPr id="17" name="文字 2">
          <a:extLst>
            <a:ext uri="{FF2B5EF4-FFF2-40B4-BE49-F238E27FC236}">
              <a16:creationId xmlns:a16="http://schemas.microsoft.com/office/drawing/2014/main" xmlns="" id="{00000000-0008-0000-1400-000011000000}"/>
            </a:ext>
          </a:extLst>
        </xdr:cNvPr>
        <xdr:cNvSpPr txBox="1">
          <a:spLocks noChangeArrowheads="1"/>
        </xdr:cNvSpPr>
      </xdr:nvSpPr>
      <xdr:spPr bwMode="auto">
        <a:xfrm>
          <a:off x="6515100" y="610812"/>
          <a:ext cx="0" cy="15939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27432" tIns="0" rIns="27432" bIns="0" anchor="ctr" upright="1"/>
        <a:lstStyle/>
        <a:p>
          <a:pPr algn="dist" rtl="0">
            <a:defRPr sz="1000"/>
          </a:pPr>
          <a:r>
            <a:rPr lang="zh-TW" altLang="en-US" sz="1400" b="0" i="0" u="none" strike="noStrike" baseline="0">
              <a:solidFill>
                <a:srgbClr val="000000"/>
              </a:solidFill>
              <a:latin typeface="華康中黑體"/>
              <a:ea typeface="華康中黑體"/>
            </a:rPr>
            <a:t>條例</a:t>
          </a:r>
        </a:p>
        <a:p>
          <a:pPr algn="dist" rtl="0">
            <a:defRPr sz="1000"/>
          </a:pPr>
          <a:r>
            <a:rPr lang="zh-TW" altLang="en-US" sz="1400" b="0" i="0" u="none" strike="noStrike" baseline="0">
              <a:solidFill>
                <a:srgbClr val="000000"/>
              </a:solidFill>
              <a:latin typeface="華康中黑體"/>
              <a:ea typeface="華康中黑體"/>
            </a:rPr>
            <a:t>肅清煙毒</a:t>
          </a:r>
          <a:endParaRPr lang="zh-TW"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0</xdr:colOff>
      <xdr:row>2</xdr:row>
      <xdr:rowOff>0</xdr:rowOff>
    </xdr:to>
    <xdr:sp macro="" textlink="">
      <xdr:nvSpPr>
        <xdr:cNvPr id="2" name="文字 1">
          <a:extLst>
            <a:ext uri="{FF2B5EF4-FFF2-40B4-BE49-F238E27FC236}">
              <a16:creationId xmlns:a16="http://schemas.microsoft.com/office/drawing/2014/main" xmlns="" id="{00000000-0008-0000-1600-000002000000}"/>
            </a:ext>
          </a:extLst>
        </xdr:cNvPr>
        <xdr:cNvSpPr txBox="1">
          <a:spLocks noChangeArrowheads="1"/>
        </xdr:cNvSpPr>
      </xdr:nvSpPr>
      <xdr:spPr bwMode="auto">
        <a:xfrm>
          <a:off x="2371725" y="7810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36576" bIns="32004" anchor="ctr" upright="1"/>
        <a:lstStyle/>
        <a:p>
          <a:pPr algn="ctr" rtl="0">
            <a:defRPr sz="1000"/>
          </a:pPr>
          <a:r>
            <a:rPr lang="zh-TW" altLang="en-US" sz="1400" b="0" i="0" u="none" strike="noStrike" baseline="0">
              <a:solidFill>
                <a:srgbClr val="000000"/>
              </a:solidFill>
              <a:latin typeface="華康中黑體"/>
            </a:rPr>
            <a:t>無</a:t>
          </a:r>
        </a:p>
        <a:p>
          <a:pPr algn="ctr" rtl="0">
            <a:defRPr sz="1000"/>
          </a:pPr>
          <a:r>
            <a:rPr lang="zh-TW" altLang="en-US" sz="1400" b="0" i="0" u="none" strike="noStrike" baseline="0">
              <a:solidFill>
                <a:srgbClr val="000000"/>
              </a:solidFill>
              <a:latin typeface="華康中黑體"/>
            </a:rPr>
            <a:t>期</a:t>
          </a:r>
        </a:p>
        <a:p>
          <a:pPr algn="ctr" rtl="0">
            <a:defRPr sz="1000"/>
          </a:pPr>
          <a:r>
            <a:rPr lang="zh-TW" altLang="en-US" sz="1400" b="0" i="0" u="none" strike="noStrike" baseline="0">
              <a:solidFill>
                <a:srgbClr val="000000"/>
              </a:solidFill>
              <a:latin typeface="華康中黑體"/>
            </a:rPr>
            <a:t>徒</a:t>
          </a:r>
        </a:p>
        <a:p>
          <a:pPr algn="ctr" rtl="0">
            <a:defRPr sz="1000"/>
          </a:pPr>
          <a:r>
            <a:rPr lang="zh-TW" altLang="en-US" sz="1400" b="0" i="0" u="none" strike="noStrike" baseline="0">
              <a:solidFill>
                <a:srgbClr val="000000"/>
              </a:solidFill>
              <a:latin typeface="華康中黑體"/>
            </a:rPr>
            <a:t>刑</a:t>
          </a:r>
        </a:p>
      </xdr:txBody>
    </xdr:sp>
    <xdr:clientData/>
  </xdr:twoCellAnchor>
  <xdr:twoCellAnchor>
    <xdr:from>
      <xdr:col>1</xdr:col>
      <xdr:colOff>0</xdr:colOff>
      <xdr:row>2</xdr:row>
      <xdr:rowOff>0</xdr:rowOff>
    </xdr:from>
    <xdr:to>
      <xdr:col>1</xdr:col>
      <xdr:colOff>0</xdr:colOff>
      <xdr:row>2</xdr:row>
      <xdr:rowOff>0</xdr:rowOff>
    </xdr:to>
    <xdr:sp macro="" textlink="">
      <xdr:nvSpPr>
        <xdr:cNvPr id="3" name="文字 2">
          <a:extLst>
            <a:ext uri="{FF2B5EF4-FFF2-40B4-BE49-F238E27FC236}">
              <a16:creationId xmlns:a16="http://schemas.microsoft.com/office/drawing/2014/main" xmlns="" id="{00000000-0008-0000-1600-000003000000}"/>
            </a:ext>
          </a:extLst>
        </xdr:cNvPr>
        <xdr:cNvSpPr txBox="1">
          <a:spLocks noChangeArrowheads="1"/>
        </xdr:cNvSpPr>
      </xdr:nvSpPr>
      <xdr:spPr bwMode="auto">
        <a:xfrm>
          <a:off x="2371725" y="7810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400" b="0" i="0" u="none" strike="noStrike" baseline="0">
              <a:solidFill>
                <a:srgbClr val="000000"/>
              </a:solidFill>
              <a:latin typeface="華康中黑體"/>
            </a:rPr>
            <a:t>二</a:t>
          </a:r>
        </a:p>
        <a:p>
          <a:pPr algn="ctr" rtl="0">
            <a:defRPr sz="1000"/>
          </a:pPr>
          <a:r>
            <a:rPr lang="zh-TW" altLang="en-US" sz="1400" b="0" i="0" u="none" strike="noStrike" baseline="0">
              <a:solidFill>
                <a:srgbClr val="000000"/>
              </a:solidFill>
              <a:latin typeface="華康中黑體"/>
            </a:rPr>
            <a:t>年</a:t>
          </a:r>
        </a:p>
        <a:p>
          <a:pPr algn="ctr" rtl="0">
            <a:defRPr sz="1000"/>
          </a:pPr>
          <a:r>
            <a:rPr lang="zh-TW" altLang="en-US" sz="1400" b="0" i="0" u="none" strike="noStrike" baseline="0">
              <a:solidFill>
                <a:srgbClr val="000000"/>
              </a:solidFill>
              <a:latin typeface="華康中黑體"/>
            </a:rPr>
            <a:t>未</a:t>
          </a:r>
        </a:p>
        <a:p>
          <a:pPr algn="ctr" rtl="0">
            <a:defRPr sz="1000"/>
          </a:pPr>
          <a:r>
            <a:rPr lang="zh-TW" altLang="en-US" sz="1400" b="0" i="0" u="none" strike="noStrike" baseline="0">
              <a:solidFill>
                <a:srgbClr val="000000"/>
              </a:solidFill>
              <a:latin typeface="華康中黑體"/>
            </a:rPr>
            <a:t>滿</a:t>
          </a:r>
        </a:p>
      </xdr:txBody>
    </xdr:sp>
    <xdr:clientData/>
  </xdr:twoCellAnchor>
  <xdr:twoCellAnchor>
    <xdr:from>
      <xdr:col>1</xdr:col>
      <xdr:colOff>0</xdr:colOff>
      <xdr:row>2</xdr:row>
      <xdr:rowOff>0</xdr:rowOff>
    </xdr:from>
    <xdr:to>
      <xdr:col>1</xdr:col>
      <xdr:colOff>0</xdr:colOff>
      <xdr:row>2</xdr:row>
      <xdr:rowOff>0</xdr:rowOff>
    </xdr:to>
    <xdr:sp macro="" textlink="">
      <xdr:nvSpPr>
        <xdr:cNvPr id="4" name="文字 3">
          <a:extLst>
            <a:ext uri="{FF2B5EF4-FFF2-40B4-BE49-F238E27FC236}">
              <a16:creationId xmlns:a16="http://schemas.microsoft.com/office/drawing/2014/main" xmlns="" id="{00000000-0008-0000-1600-000004000000}"/>
            </a:ext>
          </a:extLst>
        </xdr:cNvPr>
        <xdr:cNvSpPr txBox="1">
          <a:spLocks noChangeArrowheads="1"/>
        </xdr:cNvSpPr>
      </xdr:nvSpPr>
      <xdr:spPr bwMode="auto">
        <a:xfrm>
          <a:off x="2371725" y="7810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dist" rtl="0">
            <a:defRPr sz="1000"/>
          </a:pPr>
          <a:r>
            <a:rPr lang="zh-TW" altLang="en-US" sz="1400" b="0" i="0" u="none" strike="noStrike" baseline="0">
              <a:solidFill>
                <a:srgbClr val="000000"/>
              </a:solidFill>
              <a:latin typeface="華康中黑體"/>
            </a:rPr>
            <a:t>二三</a:t>
          </a:r>
        </a:p>
        <a:p>
          <a:pPr algn="dist" rtl="0">
            <a:defRPr sz="1000"/>
          </a:pPr>
          <a:r>
            <a:rPr lang="zh-TW" altLang="en-US" sz="1400" b="0" i="0" u="none" strike="noStrike" baseline="0">
              <a:solidFill>
                <a:srgbClr val="000000"/>
              </a:solidFill>
              <a:latin typeface="華康中黑體"/>
            </a:rPr>
            <a:t>年年以未</a:t>
          </a:r>
        </a:p>
        <a:p>
          <a:pPr algn="dist" rtl="0">
            <a:defRPr sz="1000"/>
          </a:pPr>
          <a:r>
            <a:rPr lang="zh-TW" altLang="en-US" sz="1400" b="0" i="0" u="none" strike="noStrike" baseline="0">
              <a:solidFill>
                <a:srgbClr val="000000"/>
              </a:solidFill>
              <a:latin typeface="華康中黑體"/>
            </a:rPr>
            <a:t>上滿</a:t>
          </a:r>
        </a:p>
      </xdr:txBody>
    </xdr:sp>
    <xdr:clientData/>
  </xdr:twoCellAnchor>
  <xdr:twoCellAnchor>
    <xdr:from>
      <xdr:col>1</xdr:col>
      <xdr:colOff>0</xdr:colOff>
      <xdr:row>2</xdr:row>
      <xdr:rowOff>0</xdr:rowOff>
    </xdr:from>
    <xdr:to>
      <xdr:col>1</xdr:col>
      <xdr:colOff>0</xdr:colOff>
      <xdr:row>2</xdr:row>
      <xdr:rowOff>0</xdr:rowOff>
    </xdr:to>
    <xdr:sp macro="" textlink="">
      <xdr:nvSpPr>
        <xdr:cNvPr id="5" name="文字 11">
          <a:extLst>
            <a:ext uri="{FF2B5EF4-FFF2-40B4-BE49-F238E27FC236}">
              <a16:creationId xmlns:a16="http://schemas.microsoft.com/office/drawing/2014/main" xmlns="" id="{00000000-0008-0000-1600-000005000000}"/>
            </a:ext>
          </a:extLst>
        </xdr:cNvPr>
        <xdr:cNvSpPr txBox="1">
          <a:spLocks noChangeArrowheads="1"/>
        </xdr:cNvSpPr>
      </xdr:nvSpPr>
      <xdr:spPr bwMode="auto">
        <a:xfrm>
          <a:off x="2371725" y="7810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dist" rtl="0">
            <a:defRPr sz="1000"/>
          </a:pPr>
          <a:r>
            <a:rPr lang="zh-TW" altLang="en-US" sz="1400" b="0" i="0" u="none" strike="noStrike" baseline="0">
              <a:solidFill>
                <a:srgbClr val="000000"/>
              </a:solidFill>
              <a:latin typeface="華康中黑體"/>
            </a:rPr>
            <a:t>三</a:t>
          </a:r>
        </a:p>
        <a:p>
          <a:pPr algn="dist" rtl="0">
            <a:defRPr sz="1000"/>
          </a:pPr>
          <a:r>
            <a:rPr lang="zh-TW" altLang="en-US" sz="1400" b="0" i="0" u="none" strike="noStrike" baseline="0">
              <a:solidFill>
                <a:srgbClr val="000000"/>
              </a:solidFill>
              <a:latin typeface="華康中黑體"/>
            </a:rPr>
            <a:t>年</a:t>
          </a:r>
        </a:p>
      </xdr:txBody>
    </xdr:sp>
    <xdr:clientData/>
  </xdr:twoCellAnchor>
  <xdr:twoCellAnchor>
    <xdr:from>
      <xdr:col>1</xdr:col>
      <xdr:colOff>0</xdr:colOff>
      <xdr:row>2</xdr:row>
      <xdr:rowOff>0</xdr:rowOff>
    </xdr:from>
    <xdr:to>
      <xdr:col>1</xdr:col>
      <xdr:colOff>0</xdr:colOff>
      <xdr:row>2</xdr:row>
      <xdr:rowOff>0</xdr:rowOff>
    </xdr:to>
    <xdr:sp macro="" textlink="">
      <xdr:nvSpPr>
        <xdr:cNvPr id="6" name="文字 12">
          <a:extLst>
            <a:ext uri="{FF2B5EF4-FFF2-40B4-BE49-F238E27FC236}">
              <a16:creationId xmlns:a16="http://schemas.microsoft.com/office/drawing/2014/main" xmlns="" id="{00000000-0008-0000-1600-000006000000}"/>
            </a:ext>
          </a:extLst>
        </xdr:cNvPr>
        <xdr:cNvSpPr txBox="1">
          <a:spLocks noChangeArrowheads="1"/>
        </xdr:cNvSpPr>
      </xdr:nvSpPr>
      <xdr:spPr bwMode="auto">
        <a:xfrm>
          <a:off x="2371725" y="7810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dist" rtl="0">
            <a:defRPr sz="1000"/>
          </a:pPr>
          <a:r>
            <a:rPr lang="zh-TW" altLang="en-US" sz="1400" b="0" i="0" u="none" strike="noStrike" baseline="0">
              <a:solidFill>
                <a:srgbClr val="000000"/>
              </a:solidFill>
              <a:latin typeface="華康中黑體"/>
            </a:rPr>
            <a:t>三五</a:t>
          </a:r>
        </a:p>
        <a:p>
          <a:pPr algn="dist" rtl="0">
            <a:defRPr sz="1000"/>
          </a:pPr>
          <a:r>
            <a:rPr lang="zh-TW" altLang="en-US" sz="1400" b="0" i="0" u="none" strike="noStrike" baseline="0">
              <a:solidFill>
                <a:srgbClr val="000000"/>
              </a:solidFill>
              <a:latin typeface="華康中黑體"/>
            </a:rPr>
            <a:t>年年</a:t>
          </a:r>
        </a:p>
        <a:p>
          <a:pPr algn="dist" rtl="0">
            <a:defRPr sz="1000"/>
          </a:pPr>
          <a:r>
            <a:rPr lang="zh-TW" altLang="en-US" sz="1400" b="0" i="0" u="none" strike="noStrike" baseline="0">
              <a:solidFill>
                <a:srgbClr val="000000"/>
              </a:solidFill>
              <a:latin typeface="華康中黑體"/>
            </a:rPr>
            <a:t>以未</a:t>
          </a:r>
        </a:p>
        <a:p>
          <a:pPr algn="dist" rtl="0">
            <a:defRPr sz="1000"/>
          </a:pPr>
          <a:r>
            <a:rPr lang="zh-TW" altLang="en-US" sz="1400" b="0" i="0" u="none" strike="noStrike" baseline="0">
              <a:solidFill>
                <a:srgbClr val="000000"/>
              </a:solidFill>
              <a:latin typeface="華康中黑體"/>
            </a:rPr>
            <a:t>上滿</a:t>
          </a:r>
        </a:p>
      </xdr:txBody>
    </xdr:sp>
    <xdr:clientData/>
  </xdr:twoCellAnchor>
  <xdr:twoCellAnchor>
    <xdr:from>
      <xdr:col>1</xdr:col>
      <xdr:colOff>0</xdr:colOff>
      <xdr:row>2</xdr:row>
      <xdr:rowOff>0</xdr:rowOff>
    </xdr:from>
    <xdr:to>
      <xdr:col>1</xdr:col>
      <xdr:colOff>0</xdr:colOff>
      <xdr:row>2</xdr:row>
      <xdr:rowOff>0</xdr:rowOff>
    </xdr:to>
    <xdr:sp macro="" textlink="">
      <xdr:nvSpPr>
        <xdr:cNvPr id="7" name="文字 13">
          <a:extLst>
            <a:ext uri="{FF2B5EF4-FFF2-40B4-BE49-F238E27FC236}">
              <a16:creationId xmlns:a16="http://schemas.microsoft.com/office/drawing/2014/main" xmlns="" id="{00000000-0008-0000-1600-000007000000}"/>
            </a:ext>
          </a:extLst>
        </xdr:cNvPr>
        <xdr:cNvSpPr txBox="1">
          <a:spLocks noChangeArrowheads="1"/>
        </xdr:cNvSpPr>
      </xdr:nvSpPr>
      <xdr:spPr bwMode="auto">
        <a:xfrm>
          <a:off x="2371725" y="7810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400" b="0" i="0" u="none" strike="noStrike" baseline="0">
              <a:solidFill>
                <a:srgbClr val="000000"/>
              </a:solidFill>
              <a:latin typeface="華康中黑體"/>
            </a:rPr>
            <a:t>五七</a:t>
          </a:r>
        </a:p>
        <a:p>
          <a:pPr algn="ctr" rtl="0">
            <a:defRPr sz="1000"/>
          </a:pPr>
          <a:r>
            <a:rPr lang="zh-TW" altLang="en-US" sz="1400" b="0" i="0" u="none" strike="noStrike" baseline="0">
              <a:solidFill>
                <a:srgbClr val="000000"/>
              </a:solidFill>
              <a:latin typeface="華康中黑體"/>
            </a:rPr>
            <a:t>年年</a:t>
          </a:r>
        </a:p>
        <a:p>
          <a:pPr algn="ctr" rtl="0">
            <a:defRPr sz="1000"/>
          </a:pPr>
          <a:r>
            <a:rPr lang="zh-TW" altLang="en-US" sz="1400" b="0" i="0" u="none" strike="noStrike" baseline="0">
              <a:solidFill>
                <a:srgbClr val="000000"/>
              </a:solidFill>
              <a:latin typeface="華康中黑體"/>
            </a:rPr>
            <a:t>以未</a:t>
          </a:r>
        </a:p>
        <a:p>
          <a:pPr algn="ctr" rtl="0">
            <a:defRPr sz="1000"/>
          </a:pPr>
          <a:r>
            <a:rPr lang="zh-TW" altLang="en-US" sz="1400" b="0" i="0" u="none" strike="noStrike" baseline="0">
              <a:solidFill>
                <a:srgbClr val="000000"/>
              </a:solidFill>
              <a:latin typeface="華康中黑體"/>
            </a:rPr>
            <a:t>上滿</a:t>
          </a:r>
        </a:p>
      </xdr:txBody>
    </xdr:sp>
    <xdr:clientData/>
  </xdr:twoCellAnchor>
  <xdr:twoCellAnchor>
    <xdr:from>
      <xdr:col>1</xdr:col>
      <xdr:colOff>0</xdr:colOff>
      <xdr:row>2</xdr:row>
      <xdr:rowOff>0</xdr:rowOff>
    </xdr:from>
    <xdr:to>
      <xdr:col>1</xdr:col>
      <xdr:colOff>0</xdr:colOff>
      <xdr:row>2</xdr:row>
      <xdr:rowOff>0</xdr:rowOff>
    </xdr:to>
    <xdr:sp macro="" textlink="">
      <xdr:nvSpPr>
        <xdr:cNvPr id="8" name="文字 14">
          <a:extLst>
            <a:ext uri="{FF2B5EF4-FFF2-40B4-BE49-F238E27FC236}">
              <a16:creationId xmlns:a16="http://schemas.microsoft.com/office/drawing/2014/main" xmlns="" id="{00000000-0008-0000-1600-000008000000}"/>
            </a:ext>
          </a:extLst>
        </xdr:cNvPr>
        <xdr:cNvSpPr txBox="1">
          <a:spLocks noChangeArrowheads="1"/>
        </xdr:cNvSpPr>
      </xdr:nvSpPr>
      <xdr:spPr bwMode="auto">
        <a:xfrm>
          <a:off x="2371725" y="7810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400" b="0" i="0" u="none" strike="noStrike" baseline="0">
              <a:solidFill>
                <a:srgbClr val="000000"/>
              </a:solidFill>
              <a:latin typeface="華康中黑體"/>
            </a:rPr>
            <a:t>七十</a:t>
          </a:r>
        </a:p>
        <a:p>
          <a:pPr algn="ctr" rtl="0">
            <a:defRPr sz="1000"/>
          </a:pPr>
          <a:r>
            <a:rPr lang="zh-TW" altLang="en-US" sz="1400" b="0" i="0" u="none" strike="noStrike" baseline="0">
              <a:solidFill>
                <a:srgbClr val="000000"/>
              </a:solidFill>
              <a:latin typeface="華康中黑體"/>
            </a:rPr>
            <a:t>年年</a:t>
          </a:r>
        </a:p>
        <a:p>
          <a:pPr algn="ctr" rtl="0">
            <a:defRPr sz="1000"/>
          </a:pPr>
          <a:r>
            <a:rPr lang="zh-TW" altLang="en-US" sz="1400" b="0" i="0" u="none" strike="noStrike" baseline="0">
              <a:solidFill>
                <a:srgbClr val="000000"/>
              </a:solidFill>
              <a:latin typeface="華康中黑體"/>
            </a:rPr>
            <a:t>以未</a:t>
          </a:r>
        </a:p>
        <a:p>
          <a:pPr algn="ctr" rtl="0">
            <a:defRPr sz="1000"/>
          </a:pPr>
          <a:r>
            <a:rPr lang="zh-TW" altLang="en-US" sz="1400" b="0" i="0" u="none" strike="noStrike" baseline="0">
              <a:solidFill>
                <a:srgbClr val="000000"/>
              </a:solidFill>
              <a:latin typeface="華康中黑體"/>
            </a:rPr>
            <a:t>上滿</a:t>
          </a:r>
        </a:p>
      </xdr:txBody>
    </xdr:sp>
    <xdr:clientData/>
  </xdr:twoCellAnchor>
  <xdr:twoCellAnchor>
    <xdr:from>
      <xdr:col>1</xdr:col>
      <xdr:colOff>0</xdr:colOff>
      <xdr:row>2</xdr:row>
      <xdr:rowOff>0</xdr:rowOff>
    </xdr:from>
    <xdr:to>
      <xdr:col>1</xdr:col>
      <xdr:colOff>0</xdr:colOff>
      <xdr:row>2</xdr:row>
      <xdr:rowOff>0</xdr:rowOff>
    </xdr:to>
    <xdr:sp macro="" textlink="">
      <xdr:nvSpPr>
        <xdr:cNvPr id="9" name="文字 16">
          <a:extLst>
            <a:ext uri="{FF2B5EF4-FFF2-40B4-BE49-F238E27FC236}">
              <a16:creationId xmlns:a16="http://schemas.microsoft.com/office/drawing/2014/main" xmlns="" id="{00000000-0008-0000-1600-000009000000}"/>
            </a:ext>
          </a:extLst>
        </xdr:cNvPr>
        <xdr:cNvSpPr txBox="1">
          <a:spLocks noChangeArrowheads="1"/>
        </xdr:cNvSpPr>
      </xdr:nvSpPr>
      <xdr:spPr bwMode="auto">
        <a:xfrm>
          <a:off x="2371725" y="7810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dist" rtl="0">
            <a:defRPr sz="1000"/>
          </a:pPr>
          <a:r>
            <a:rPr lang="zh-TW" altLang="en-US" sz="1400" b="0" i="0" u="none" strike="noStrike" baseline="0">
              <a:solidFill>
                <a:srgbClr val="000000"/>
              </a:solidFill>
              <a:latin typeface="華康中黑體"/>
            </a:rPr>
            <a:t>逾</a:t>
          </a:r>
        </a:p>
        <a:p>
          <a:pPr algn="dist" rtl="0">
            <a:defRPr sz="1000"/>
          </a:pPr>
          <a:r>
            <a:rPr lang="zh-TW" altLang="en-US" sz="1400" b="0" i="0" u="none" strike="noStrike" baseline="0">
              <a:solidFill>
                <a:srgbClr val="000000"/>
              </a:solidFill>
              <a:latin typeface="華康中黑體"/>
            </a:rPr>
            <a:t>十</a:t>
          </a:r>
        </a:p>
        <a:p>
          <a:pPr algn="dist" rtl="0">
            <a:defRPr sz="1000"/>
          </a:pPr>
          <a:r>
            <a:rPr lang="zh-TW" altLang="en-US" sz="1400" b="0" i="0" u="none" strike="noStrike" baseline="0">
              <a:solidFill>
                <a:srgbClr val="000000"/>
              </a:solidFill>
              <a:latin typeface="華康中黑體"/>
            </a:rPr>
            <a:t>五</a:t>
          </a:r>
        </a:p>
        <a:p>
          <a:pPr algn="dist" rtl="0">
            <a:defRPr sz="1000"/>
          </a:pPr>
          <a:r>
            <a:rPr lang="zh-TW" altLang="en-US" sz="1400" b="0" i="0" u="none" strike="noStrike" baseline="0">
              <a:solidFill>
                <a:srgbClr val="000000"/>
              </a:solidFill>
              <a:latin typeface="華康中黑體"/>
            </a:rPr>
            <a:t>年</a:t>
          </a:r>
        </a:p>
      </xdr:txBody>
    </xdr:sp>
    <xdr:clientData/>
  </xdr:twoCellAnchor>
  <xdr:twoCellAnchor>
    <xdr:from>
      <xdr:col>1</xdr:col>
      <xdr:colOff>0</xdr:colOff>
      <xdr:row>2</xdr:row>
      <xdr:rowOff>0</xdr:rowOff>
    </xdr:from>
    <xdr:to>
      <xdr:col>1</xdr:col>
      <xdr:colOff>0</xdr:colOff>
      <xdr:row>2</xdr:row>
      <xdr:rowOff>0</xdr:rowOff>
    </xdr:to>
    <xdr:sp macro="" textlink="">
      <xdr:nvSpPr>
        <xdr:cNvPr id="10" name="文字 1">
          <a:extLst>
            <a:ext uri="{FF2B5EF4-FFF2-40B4-BE49-F238E27FC236}">
              <a16:creationId xmlns:a16="http://schemas.microsoft.com/office/drawing/2014/main" xmlns="" id="{00000000-0008-0000-1600-00000A000000}"/>
            </a:ext>
          </a:extLst>
        </xdr:cNvPr>
        <xdr:cNvSpPr txBox="1">
          <a:spLocks noChangeArrowheads="1"/>
        </xdr:cNvSpPr>
      </xdr:nvSpPr>
      <xdr:spPr bwMode="auto">
        <a:xfrm>
          <a:off x="2371725" y="7810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36576" bIns="32004" anchor="ctr" upright="1"/>
        <a:lstStyle/>
        <a:p>
          <a:pPr algn="ctr" rtl="0">
            <a:defRPr sz="1000"/>
          </a:pPr>
          <a:r>
            <a:rPr lang="zh-TW" altLang="en-US" sz="1400" b="0" i="0" u="none" strike="noStrike" baseline="0">
              <a:solidFill>
                <a:srgbClr val="000000"/>
              </a:solidFill>
              <a:latin typeface="華康中黑體"/>
            </a:rPr>
            <a:t>無</a:t>
          </a:r>
        </a:p>
        <a:p>
          <a:pPr algn="ctr" rtl="0">
            <a:defRPr sz="1000"/>
          </a:pPr>
          <a:r>
            <a:rPr lang="zh-TW" altLang="en-US" sz="1400" b="0" i="0" u="none" strike="noStrike" baseline="0">
              <a:solidFill>
                <a:srgbClr val="000000"/>
              </a:solidFill>
              <a:latin typeface="華康中黑體"/>
            </a:rPr>
            <a:t>期</a:t>
          </a:r>
        </a:p>
        <a:p>
          <a:pPr algn="ctr" rtl="0">
            <a:defRPr sz="1000"/>
          </a:pPr>
          <a:r>
            <a:rPr lang="zh-TW" altLang="en-US" sz="1400" b="0" i="0" u="none" strike="noStrike" baseline="0">
              <a:solidFill>
                <a:srgbClr val="000000"/>
              </a:solidFill>
              <a:latin typeface="華康中黑體"/>
            </a:rPr>
            <a:t>徒</a:t>
          </a:r>
        </a:p>
        <a:p>
          <a:pPr algn="ctr" rtl="0">
            <a:defRPr sz="1000"/>
          </a:pPr>
          <a:r>
            <a:rPr lang="zh-TW" altLang="en-US" sz="1400" b="0" i="0" u="none" strike="noStrike" baseline="0">
              <a:solidFill>
                <a:srgbClr val="000000"/>
              </a:solidFill>
              <a:latin typeface="華康中黑體"/>
            </a:rPr>
            <a:t>刑</a:t>
          </a:r>
        </a:p>
      </xdr:txBody>
    </xdr:sp>
    <xdr:clientData/>
  </xdr:twoCellAnchor>
  <xdr:twoCellAnchor>
    <xdr:from>
      <xdr:col>1</xdr:col>
      <xdr:colOff>0</xdr:colOff>
      <xdr:row>2</xdr:row>
      <xdr:rowOff>0</xdr:rowOff>
    </xdr:from>
    <xdr:to>
      <xdr:col>1</xdr:col>
      <xdr:colOff>0</xdr:colOff>
      <xdr:row>2</xdr:row>
      <xdr:rowOff>0</xdr:rowOff>
    </xdr:to>
    <xdr:sp macro="" textlink="">
      <xdr:nvSpPr>
        <xdr:cNvPr id="11" name="文字 2">
          <a:extLst>
            <a:ext uri="{FF2B5EF4-FFF2-40B4-BE49-F238E27FC236}">
              <a16:creationId xmlns:a16="http://schemas.microsoft.com/office/drawing/2014/main" xmlns="" id="{00000000-0008-0000-1600-00000B000000}"/>
            </a:ext>
          </a:extLst>
        </xdr:cNvPr>
        <xdr:cNvSpPr txBox="1">
          <a:spLocks noChangeArrowheads="1"/>
        </xdr:cNvSpPr>
      </xdr:nvSpPr>
      <xdr:spPr bwMode="auto">
        <a:xfrm>
          <a:off x="2371725" y="7810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400" b="0" i="0" u="none" strike="noStrike" baseline="0">
              <a:solidFill>
                <a:srgbClr val="000000"/>
              </a:solidFill>
              <a:latin typeface="華康中黑體"/>
            </a:rPr>
            <a:t>二</a:t>
          </a:r>
        </a:p>
        <a:p>
          <a:pPr algn="ctr" rtl="0">
            <a:defRPr sz="1000"/>
          </a:pPr>
          <a:r>
            <a:rPr lang="zh-TW" altLang="en-US" sz="1400" b="0" i="0" u="none" strike="noStrike" baseline="0">
              <a:solidFill>
                <a:srgbClr val="000000"/>
              </a:solidFill>
              <a:latin typeface="華康中黑體"/>
            </a:rPr>
            <a:t>年</a:t>
          </a:r>
        </a:p>
        <a:p>
          <a:pPr algn="ctr" rtl="0">
            <a:defRPr sz="1000"/>
          </a:pPr>
          <a:r>
            <a:rPr lang="zh-TW" altLang="en-US" sz="1400" b="0" i="0" u="none" strike="noStrike" baseline="0">
              <a:solidFill>
                <a:srgbClr val="000000"/>
              </a:solidFill>
              <a:latin typeface="華康中黑體"/>
            </a:rPr>
            <a:t>未</a:t>
          </a:r>
        </a:p>
        <a:p>
          <a:pPr algn="ctr" rtl="0">
            <a:defRPr sz="1000"/>
          </a:pPr>
          <a:r>
            <a:rPr lang="zh-TW" altLang="en-US" sz="1400" b="0" i="0" u="none" strike="noStrike" baseline="0">
              <a:solidFill>
                <a:srgbClr val="000000"/>
              </a:solidFill>
              <a:latin typeface="華康中黑體"/>
            </a:rPr>
            <a:t>滿</a:t>
          </a:r>
        </a:p>
      </xdr:txBody>
    </xdr:sp>
    <xdr:clientData/>
  </xdr:twoCellAnchor>
  <xdr:twoCellAnchor>
    <xdr:from>
      <xdr:col>1</xdr:col>
      <xdr:colOff>0</xdr:colOff>
      <xdr:row>2</xdr:row>
      <xdr:rowOff>0</xdr:rowOff>
    </xdr:from>
    <xdr:to>
      <xdr:col>1</xdr:col>
      <xdr:colOff>0</xdr:colOff>
      <xdr:row>2</xdr:row>
      <xdr:rowOff>0</xdr:rowOff>
    </xdr:to>
    <xdr:sp macro="" textlink="">
      <xdr:nvSpPr>
        <xdr:cNvPr id="12" name="文字 3">
          <a:extLst>
            <a:ext uri="{FF2B5EF4-FFF2-40B4-BE49-F238E27FC236}">
              <a16:creationId xmlns:a16="http://schemas.microsoft.com/office/drawing/2014/main" xmlns="" id="{00000000-0008-0000-1600-00000C000000}"/>
            </a:ext>
          </a:extLst>
        </xdr:cNvPr>
        <xdr:cNvSpPr txBox="1">
          <a:spLocks noChangeArrowheads="1"/>
        </xdr:cNvSpPr>
      </xdr:nvSpPr>
      <xdr:spPr bwMode="auto">
        <a:xfrm>
          <a:off x="2371725" y="7810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dist" rtl="0">
            <a:defRPr sz="1000"/>
          </a:pPr>
          <a:r>
            <a:rPr lang="zh-TW" altLang="en-US" sz="1400" b="0" i="0" u="none" strike="noStrike" baseline="0">
              <a:solidFill>
                <a:srgbClr val="000000"/>
              </a:solidFill>
              <a:latin typeface="華康中黑體"/>
            </a:rPr>
            <a:t>二三</a:t>
          </a:r>
        </a:p>
        <a:p>
          <a:pPr algn="dist" rtl="0">
            <a:defRPr sz="1000"/>
          </a:pPr>
          <a:r>
            <a:rPr lang="zh-TW" altLang="en-US" sz="1400" b="0" i="0" u="none" strike="noStrike" baseline="0">
              <a:solidFill>
                <a:srgbClr val="000000"/>
              </a:solidFill>
              <a:latin typeface="華康中黑體"/>
            </a:rPr>
            <a:t>年年以未</a:t>
          </a:r>
        </a:p>
        <a:p>
          <a:pPr algn="dist" rtl="0">
            <a:defRPr sz="1000"/>
          </a:pPr>
          <a:r>
            <a:rPr lang="zh-TW" altLang="en-US" sz="1400" b="0" i="0" u="none" strike="noStrike" baseline="0">
              <a:solidFill>
                <a:srgbClr val="000000"/>
              </a:solidFill>
              <a:latin typeface="華康中黑體"/>
            </a:rPr>
            <a:t>上滿</a:t>
          </a:r>
        </a:p>
      </xdr:txBody>
    </xdr:sp>
    <xdr:clientData/>
  </xdr:twoCellAnchor>
  <xdr:twoCellAnchor>
    <xdr:from>
      <xdr:col>1</xdr:col>
      <xdr:colOff>0</xdr:colOff>
      <xdr:row>2</xdr:row>
      <xdr:rowOff>0</xdr:rowOff>
    </xdr:from>
    <xdr:to>
      <xdr:col>1</xdr:col>
      <xdr:colOff>0</xdr:colOff>
      <xdr:row>2</xdr:row>
      <xdr:rowOff>0</xdr:rowOff>
    </xdr:to>
    <xdr:sp macro="" textlink="">
      <xdr:nvSpPr>
        <xdr:cNvPr id="13" name="文字 11">
          <a:extLst>
            <a:ext uri="{FF2B5EF4-FFF2-40B4-BE49-F238E27FC236}">
              <a16:creationId xmlns:a16="http://schemas.microsoft.com/office/drawing/2014/main" xmlns="" id="{00000000-0008-0000-1600-00000D000000}"/>
            </a:ext>
          </a:extLst>
        </xdr:cNvPr>
        <xdr:cNvSpPr txBox="1">
          <a:spLocks noChangeArrowheads="1"/>
        </xdr:cNvSpPr>
      </xdr:nvSpPr>
      <xdr:spPr bwMode="auto">
        <a:xfrm>
          <a:off x="2371725" y="7810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dist" rtl="0">
            <a:defRPr sz="1000"/>
          </a:pPr>
          <a:r>
            <a:rPr lang="zh-TW" altLang="en-US" sz="1400" b="0" i="0" u="none" strike="noStrike" baseline="0">
              <a:solidFill>
                <a:srgbClr val="000000"/>
              </a:solidFill>
              <a:latin typeface="華康中黑體"/>
            </a:rPr>
            <a:t>三</a:t>
          </a:r>
        </a:p>
        <a:p>
          <a:pPr algn="dist" rtl="0">
            <a:defRPr sz="1000"/>
          </a:pPr>
          <a:r>
            <a:rPr lang="zh-TW" altLang="en-US" sz="1400" b="0" i="0" u="none" strike="noStrike" baseline="0">
              <a:solidFill>
                <a:srgbClr val="000000"/>
              </a:solidFill>
              <a:latin typeface="華康中黑體"/>
            </a:rPr>
            <a:t>年</a:t>
          </a:r>
        </a:p>
      </xdr:txBody>
    </xdr:sp>
    <xdr:clientData/>
  </xdr:twoCellAnchor>
  <xdr:twoCellAnchor>
    <xdr:from>
      <xdr:col>1</xdr:col>
      <xdr:colOff>0</xdr:colOff>
      <xdr:row>2</xdr:row>
      <xdr:rowOff>0</xdr:rowOff>
    </xdr:from>
    <xdr:to>
      <xdr:col>1</xdr:col>
      <xdr:colOff>0</xdr:colOff>
      <xdr:row>2</xdr:row>
      <xdr:rowOff>0</xdr:rowOff>
    </xdr:to>
    <xdr:sp macro="" textlink="">
      <xdr:nvSpPr>
        <xdr:cNvPr id="14" name="文字 12">
          <a:extLst>
            <a:ext uri="{FF2B5EF4-FFF2-40B4-BE49-F238E27FC236}">
              <a16:creationId xmlns:a16="http://schemas.microsoft.com/office/drawing/2014/main" xmlns="" id="{00000000-0008-0000-1600-00000E000000}"/>
            </a:ext>
          </a:extLst>
        </xdr:cNvPr>
        <xdr:cNvSpPr txBox="1">
          <a:spLocks noChangeArrowheads="1"/>
        </xdr:cNvSpPr>
      </xdr:nvSpPr>
      <xdr:spPr bwMode="auto">
        <a:xfrm>
          <a:off x="2371725" y="7810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dist" rtl="0">
            <a:defRPr sz="1000"/>
          </a:pPr>
          <a:r>
            <a:rPr lang="zh-TW" altLang="en-US" sz="1400" b="0" i="0" u="none" strike="noStrike" baseline="0">
              <a:solidFill>
                <a:srgbClr val="000000"/>
              </a:solidFill>
              <a:latin typeface="華康中黑體"/>
            </a:rPr>
            <a:t>三五</a:t>
          </a:r>
        </a:p>
        <a:p>
          <a:pPr algn="dist" rtl="0">
            <a:defRPr sz="1000"/>
          </a:pPr>
          <a:r>
            <a:rPr lang="zh-TW" altLang="en-US" sz="1400" b="0" i="0" u="none" strike="noStrike" baseline="0">
              <a:solidFill>
                <a:srgbClr val="000000"/>
              </a:solidFill>
              <a:latin typeface="華康中黑體"/>
            </a:rPr>
            <a:t>年年</a:t>
          </a:r>
        </a:p>
        <a:p>
          <a:pPr algn="dist" rtl="0">
            <a:defRPr sz="1000"/>
          </a:pPr>
          <a:r>
            <a:rPr lang="zh-TW" altLang="en-US" sz="1400" b="0" i="0" u="none" strike="noStrike" baseline="0">
              <a:solidFill>
                <a:srgbClr val="000000"/>
              </a:solidFill>
              <a:latin typeface="華康中黑體"/>
            </a:rPr>
            <a:t>以未</a:t>
          </a:r>
        </a:p>
        <a:p>
          <a:pPr algn="dist" rtl="0">
            <a:defRPr sz="1000"/>
          </a:pPr>
          <a:r>
            <a:rPr lang="zh-TW" altLang="en-US" sz="1400" b="0" i="0" u="none" strike="noStrike" baseline="0">
              <a:solidFill>
                <a:srgbClr val="000000"/>
              </a:solidFill>
              <a:latin typeface="華康中黑體"/>
            </a:rPr>
            <a:t>上滿</a:t>
          </a:r>
        </a:p>
      </xdr:txBody>
    </xdr:sp>
    <xdr:clientData/>
  </xdr:twoCellAnchor>
  <xdr:twoCellAnchor>
    <xdr:from>
      <xdr:col>1</xdr:col>
      <xdr:colOff>0</xdr:colOff>
      <xdr:row>2</xdr:row>
      <xdr:rowOff>0</xdr:rowOff>
    </xdr:from>
    <xdr:to>
      <xdr:col>1</xdr:col>
      <xdr:colOff>0</xdr:colOff>
      <xdr:row>2</xdr:row>
      <xdr:rowOff>0</xdr:rowOff>
    </xdr:to>
    <xdr:sp macro="" textlink="">
      <xdr:nvSpPr>
        <xdr:cNvPr id="15" name="文字 13">
          <a:extLst>
            <a:ext uri="{FF2B5EF4-FFF2-40B4-BE49-F238E27FC236}">
              <a16:creationId xmlns:a16="http://schemas.microsoft.com/office/drawing/2014/main" xmlns="" id="{00000000-0008-0000-1600-00000F000000}"/>
            </a:ext>
          </a:extLst>
        </xdr:cNvPr>
        <xdr:cNvSpPr txBox="1">
          <a:spLocks noChangeArrowheads="1"/>
        </xdr:cNvSpPr>
      </xdr:nvSpPr>
      <xdr:spPr bwMode="auto">
        <a:xfrm>
          <a:off x="2371725" y="7810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400" b="0" i="0" u="none" strike="noStrike" baseline="0">
              <a:solidFill>
                <a:srgbClr val="000000"/>
              </a:solidFill>
              <a:latin typeface="華康中黑體"/>
            </a:rPr>
            <a:t>五七</a:t>
          </a:r>
        </a:p>
        <a:p>
          <a:pPr algn="ctr" rtl="0">
            <a:defRPr sz="1000"/>
          </a:pPr>
          <a:r>
            <a:rPr lang="zh-TW" altLang="en-US" sz="1400" b="0" i="0" u="none" strike="noStrike" baseline="0">
              <a:solidFill>
                <a:srgbClr val="000000"/>
              </a:solidFill>
              <a:latin typeface="華康中黑體"/>
            </a:rPr>
            <a:t>年年</a:t>
          </a:r>
        </a:p>
        <a:p>
          <a:pPr algn="ctr" rtl="0">
            <a:defRPr sz="1000"/>
          </a:pPr>
          <a:r>
            <a:rPr lang="zh-TW" altLang="en-US" sz="1400" b="0" i="0" u="none" strike="noStrike" baseline="0">
              <a:solidFill>
                <a:srgbClr val="000000"/>
              </a:solidFill>
              <a:latin typeface="華康中黑體"/>
            </a:rPr>
            <a:t>以未</a:t>
          </a:r>
        </a:p>
        <a:p>
          <a:pPr algn="ctr" rtl="0">
            <a:defRPr sz="1000"/>
          </a:pPr>
          <a:r>
            <a:rPr lang="zh-TW" altLang="en-US" sz="1400" b="0" i="0" u="none" strike="noStrike" baseline="0">
              <a:solidFill>
                <a:srgbClr val="000000"/>
              </a:solidFill>
              <a:latin typeface="華康中黑體"/>
            </a:rPr>
            <a:t>上滿</a:t>
          </a:r>
        </a:p>
      </xdr:txBody>
    </xdr:sp>
    <xdr:clientData/>
  </xdr:twoCellAnchor>
  <xdr:twoCellAnchor>
    <xdr:from>
      <xdr:col>1</xdr:col>
      <xdr:colOff>0</xdr:colOff>
      <xdr:row>2</xdr:row>
      <xdr:rowOff>0</xdr:rowOff>
    </xdr:from>
    <xdr:to>
      <xdr:col>1</xdr:col>
      <xdr:colOff>0</xdr:colOff>
      <xdr:row>2</xdr:row>
      <xdr:rowOff>0</xdr:rowOff>
    </xdr:to>
    <xdr:sp macro="" textlink="">
      <xdr:nvSpPr>
        <xdr:cNvPr id="16" name="文字 14">
          <a:extLst>
            <a:ext uri="{FF2B5EF4-FFF2-40B4-BE49-F238E27FC236}">
              <a16:creationId xmlns:a16="http://schemas.microsoft.com/office/drawing/2014/main" xmlns="" id="{00000000-0008-0000-1600-000010000000}"/>
            </a:ext>
          </a:extLst>
        </xdr:cNvPr>
        <xdr:cNvSpPr txBox="1">
          <a:spLocks noChangeArrowheads="1"/>
        </xdr:cNvSpPr>
      </xdr:nvSpPr>
      <xdr:spPr bwMode="auto">
        <a:xfrm>
          <a:off x="2371725" y="7810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400" b="0" i="0" u="none" strike="noStrike" baseline="0">
              <a:solidFill>
                <a:srgbClr val="000000"/>
              </a:solidFill>
              <a:latin typeface="華康中黑體"/>
            </a:rPr>
            <a:t>七十</a:t>
          </a:r>
        </a:p>
        <a:p>
          <a:pPr algn="ctr" rtl="0">
            <a:defRPr sz="1000"/>
          </a:pPr>
          <a:r>
            <a:rPr lang="zh-TW" altLang="en-US" sz="1400" b="0" i="0" u="none" strike="noStrike" baseline="0">
              <a:solidFill>
                <a:srgbClr val="000000"/>
              </a:solidFill>
              <a:latin typeface="華康中黑體"/>
            </a:rPr>
            <a:t>年年</a:t>
          </a:r>
        </a:p>
        <a:p>
          <a:pPr algn="ctr" rtl="0">
            <a:defRPr sz="1000"/>
          </a:pPr>
          <a:r>
            <a:rPr lang="zh-TW" altLang="en-US" sz="1400" b="0" i="0" u="none" strike="noStrike" baseline="0">
              <a:solidFill>
                <a:srgbClr val="000000"/>
              </a:solidFill>
              <a:latin typeface="華康中黑體"/>
            </a:rPr>
            <a:t>以未</a:t>
          </a:r>
        </a:p>
        <a:p>
          <a:pPr algn="ctr" rtl="0">
            <a:defRPr sz="1000"/>
          </a:pPr>
          <a:r>
            <a:rPr lang="zh-TW" altLang="en-US" sz="1400" b="0" i="0" u="none" strike="noStrike" baseline="0">
              <a:solidFill>
                <a:srgbClr val="000000"/>
              </a:solidFill>
              <a:latin typeface="華康中黑體"/>
            </a:rPr>
            <a:t>上滿</a:t>
          </a:r>
        </a:p>
      </xdr:txBody>
    </xdr:sp>
    <xdr:clientData/>
  </xdr:twoCellAnchor>
  <xdr:twoCellAnchor>
    <xdr:from>
      <xdr:col>1</xdr:col>
      <xdr:colOff>0</xdr:colOff>
      <xdr:row>2</xdr:row>
      <xdr:rowOff>0</xdr:rowOff>
    </xdr:from>
    <xdr:to>
      <xdr:col>1</xdr:col>
      <xdr:colOff>0</xdr:colOff>
      <xdr:row>2</xdr:row>
      <xdr:rowOff>0</xdr:rowOff>
    </xdr:to>
    <xdr:sp macro="" textlink="">
      <xdr:nvSpPr>
        <xdr:cNvPr id="17" name="文字 16">
          <a:extLst>
            <a:ext uri="{FF2B5EF4-FFF2-40B4-BE49-F238E27FC236}">
              <a16:creationId xmlns:a16="http://schemas.microsoft.com/office/drawing/2014/main" xmlns="" id="{00000000-0008-0000-1600-000011000000}"/>
            </a:ext>
          </a:extLst>
        </xdr:cNvPr>
        <xdr:cNvSpPr txBox="1">
          <a:spLocks noChangeArrowheads="1"/>
        </xdr:cNvSpPr>
      </xdr:nvSpPr>
      <xdr:spPr bwMode="auto">
        <a:xfrm>
          <a:off x="2371725" y="7810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dist" rtl="0">
            <a:defRPr sz="1000"/>
          </a:pPr>
          <a:r>
            <a:rPr lang="zh-TW" altLang="en-US" sz="1400" b="0" i="0" u="none" strike="noStrike" baseline="0">
              <a:solidFill>
                <a:srgbClr val="000000"/>
              </a:solidFill>
              <a:latin typeface="華康中黑體"/>
            </a:rPr>
            <a:t>逾</a:t>
          </a:r>
        </a:p>
        <a:p>
          <a:pPr algn="dist" rtl="0">
            <a:defRPr sz="1000"/>
          </a:pPr>
          <a:r>
            <a:rPr lang="zh-TW" altLang="en-US" sz="1400" b="0" i="0" u="none" strike="noStrike" baseline="0">
              <a:solidFill>
                <a:srgbClr val="000000"/>
              </a:solidFill>
              <a:latin typeface="華康中黑體"/>
            </a:rPr>
            <a:t>十</a:t>
          </a:r>
        </a:p>
        <a:p>
          <a:pPr algn="dist" rtl="0">
            <a:defRPr sz="1000"/>
          </a:pPr>
          <a:r>
            <a:rPr lang="zh-TW" altLang="en-US" sz="1400" b="0" i="0" u="none" strike="noStrike" baseline="0">
              <a:solidFill>
                <a:srgbClr val="000000"/>
              </a:solidFill>
              <a:latin typeface="華康中黑體"/>
            </a:rPr>
            <a:t>五</a:t>
          </a:r>
        </a:p>
        <a:p>
          <a:pPr algn="dist" rtl="0">
            <a:defRPr sz="1000"/>
          </a:pPr>
          <a:r>
            <a:rPr lang="zh-TW" altLang="en-US" sz="1400" b="0" i="0" u="none" strike="noStrike" baseline="0">
              <a:solidFill>
                <a:srgbClr val="000000"/>
              </a:solidFill>
              <a:latin typeface="華康中黑體"/>
            </a:rPr>
            <a:t>年</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0</xdr:colOff>
      <xdr:row>2</xdr:row>
      <xdr:rowOff>0</xdr:rowOff>
    </xdr:to>
    <xdr:sp macro="" textlink="">
      <xdr:nvSpPr>
        <xdr:cNvPr id="2" name="文字 1">
          <a:extLst>
            <a:ext uri="{FF2B5EF4-FFF2-40B4-BE49-F238E27FC236}">
              <a16:creationId xmlns:a16="http://schemas.microsoft.com/office/drawing/2014/main" xmlns="" id="{00000000-0008-0000-1500-000002000000}"/>
            </a:ext>
          </a:extLst>
        </xdr:cNvPr>
        <xdr:cNvSpPr txBox="1">
          <a:spLocks noChangeArrowheads="1"/>
        </xdr:cNvSpPr>
      </xdr:nvSpPr>
      <xdr:spPr bwMode="auto">
        <a:xfrm>
          <a:off x="3209925"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zh-TW" altLang="en-US" sz="1400" b="0" i="0" u="none" strike="noStrike" baseline="0">
              <a:solidFill>
                <a:srgbClr val="000000"/>
              </a:solidFill>
              <a:latin typeface="華康中黑體"/>
              <a:ea typeface="華康中黑體"/>
            </a:rPr>
            <a:t>無</a:t>
          </a:r>
        </a:p>
        <a:p>
          <a:pPr algn="ctr" rtl="0">
            <a:defRPr sz="1000"/>
          </a:pPr>
          <a:r>
            <a:rPr lang="zh-TW" altLang="en-US" sz="1400" b="0" i="0" u="none" strike="noStrike" baseline="0">
              <a:solidFill>
                <a:srgbClr val="000000"/>
              </a:solidFill>
              <a:latin typeface="華康中黑體"/>
              <a:ea typeface="華康中黑體"/>
            </a:rPr>
            <a:t>期</a:t>
          </a:r>
        </a:p>
        <a:p>
          <a:pPr algn="ctr" rtl="0">
            <a:defRPr sz="1000"/>
          </a:pPr>
          <a:r>
            <a:rPr lang="zh-TW" altLang="en-US" sz="1400" b="0" i="0" u="none" strike="noStrike" baseline="0">
              <a:solidFill>
                <a:srgbClr val="000000"/>
              </a:solidFill>
              <a:latin typeface="華康中黑體"/>
              <a:ea typeface="華康中黑體"/>
            </a:rPr>
            <a:t>徒</a:t>
          </a:r>
        </a:p>
        <a:p>
          <a:pPr algn="ctr" rtl="0">
            <a:defRPr sz="1000"/>
          </a:pPr>
          <a:r>
            <a:rPr lang="zh-TW" altLang="en-US" sz="1400" b="0" i="0" u="none" strike="noStrike" baseline="0">
              <a:solidFill>
                <a:srgbClr val="000000"/>
              </a:solidFill>
              <a:latin typeface="華康中黑體"/>
              <a:ea typeface="華康中黑體"/>
            </a:rPr>
            <a:t>刑</a:t>
          </a:r>
          <a:endParaRPr lang="zh-TW" altLang="en-US"/>
        </a:p>
      </xdr:txBody>
    </xdr:sp>
    <xdr:clientData/>
  </xdr:twoCellAnchor>
  <xdr:twoCellAnchor>
    <xdr:from>
      <xdr:col>1</xdr:col>
      <xdr:colOff>0</xdr:colOff>
      <xdr:row>2</xdr:row>
      <xdr:rowOff>0</xdr:rowOff>
    </xdr:from>
    <xdr:to>
      <xdr:col>1</xdr:col>
      <xdr:colOff>0</xdr:colOff>
      <xdr:row>2</xdr:row>
      <xdr:rowOff>0</xdr:rowOff>
    </xdr:to>
    <xdr:sp macro="" textlink="">
      <xdr:nvSpPr>
        <xdr:cNvPr id="3" name="文字 2">
          <a:extLst>
            <a:ext uri="{FF2B5EF4-FFF2-40B4-BE49-F238E27FC236}">
              <a16:creationId xmlns:a16="http://schemas.microsoft.com/office/drawing/2014/main" xmlns="" id="{00000000-0008-0000-1500-000003000000}"/>
            </a:ext>
          </a:extLst>
        </xdr:cNvPr>
        <xdr:cNvSpPr txBox="1">
          <a:spLocks noChangeArrowheads="1"/>
        </xdr:cNvSpPr>
      </xdr:nvSpPr>
      <xdr:spPr bwMode="auto">
        <a:xfrm>
          <a:off x="3209925"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zh-TW" altLang="en-US" sz="1400" b="0" i="0" u="none" strike="noStrike" baseline="0">
              <a:solidFill>
                <a:srgbClr val="000000"/>
              </a:solidFill>
              <a:latin typeface="華康中黑體"/>
              <a:ea typeface="華康中黑體"/>
            </a:rPr>
            <a:t>二</a:t>
          </a:r>
        </a:p>
        <a:p>
          <a:pPr algn="ctr" rtl="0">
            <a:defRPr sz="1000"/>
          </a:pPr>
          <a:r>
            <a:rPr lang="zh-TW" altLang="en-US" sz="1400" b="0" i="0" u="none" strike="noStrike" baseline="0">
              <a:solidFill>
                <a:srgbClr val="000000"/>
              </a:solidFill>
              <a:latin typeface="華康中黑體"/>
              <a:ea typeface="華康中黑體"/>
            </a:rPr>
            <a:t>年</a:t>
          </a:r>
        </a:p>
        <a:p>
          <a:pPr algn="ctr" rtl="0">
            <a:defRPr sz="1000"/>
          </a:pPr>
          <a:r>
            <a:rPr lang="zh-TW" altLang="en-US" sz="1400" b="0" i="0" u="none" strike="noStrike" baseline="0">
              <a:solidFill>
                <a:srgbClr val="000000"/>
              </a:solidFill>
              <a:latin typeface="華康中黑體"/>
              <a:ea typeface="華康中黑體"/>
            </a:rPr>
            <a:t>未</a:t>
          </a:r>
        </a:p>
        <a:p>
          <a:pPr algn="ctr" rtl="0">
            <a:defRPr sz="1000"/>
          </a:pPr>
          <a:r>
            <a:rPr lang="zh-TW" altLang="en-US" sz="1400" b="0" i="0" u="none" strike="noStrike" baseline="0">
              <a:solidFill>
                <a:srgbClr val="000000"/>
              </a:solidFill>
              <a:latin typeface="華康中黑體"/>
              <a:ea typeface="華康中黑體"/>
            </a:rPr>
            <a:t>滿</a:t>
          </a:r>
          <a:endParaRPr lang="zh-TW" altLang="en-US"/>
        </a:p>
      </xdr:txBody>
    </xdr:sp>
    <xdr:clientData/>
  </xdr:twoCellAnchor>
  <xdr:twoCellAnchor>
    <xdr:from>
      <xdr:col>1</xdr:col>
      <xdr:colOff>0</xdr:colOff>
      <xdr:row>2</xdr:row>
      <xdr:rowOff>0</xdr:rowOff>
    </xdr:from>
    <xdr:to>
      <xdr:col>1</xdr:col>
      <xdr:colOff>0</xdr:colOff>
      <xdr:row>2</xdr:row>
      <xdr:rowOff>0</xdr:rowOff>
    </xdr:to>
    <xdr:sp macro="" textlink="">
      <xdr:nvSpPr>
        <xdr:cNvPr id="4" name="文字 3">
          <a:extLst>
            <a:ext uri="{FF2B5EF4-FFF2-40B4-BE49-F238E27FC236}">
              <a16:creationId xmlns:a16="http://schemas.microsoft.com/office/drawing/2014/main" xmlns="" id="{00000000-0008-0000-1500-000004000000}"/>
            </a:ext>
          </a:extLst>
        </xdr:cNvPr>
        <xdr:cNvSpPr txBox="1">
          <a:spLocks noChangeArrowheads="1"/>
        </xdr:cNvSpPr>
      </xdr:nvSpPr>
      <xdr:spPr bwMode="auto">
        <a:xfrm>
          <a:off x="3209925"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dist" rtl="0">
            <a:defRPr sz="1000"/>
          </a:pPr>
          <a:r>
            <a:rPr lang="zh-TW" altLang="en-US" sz="1400" b="0" i="0" u="none" strike="noStrike" baseline="0">
              <a:solidFill>
                <a:srgbClr val="000000"/>
              </a:solidFill>
              <a:latin typeface="華康中黑體"/>
              <a:ea typeface="華康中黑體"/>
            </a:rPr>
            <a:t>二三</a:t>
          </a:r>
        </a:p>
        <a:p>
          <a:pPr algn="dist" rtl="0">
            <a:defRPr sz="1000"/>
          </a:pPr>
          <a:r>
            <a:rPr lang="zh-TW" altLang="en-US" sz="1400" b="0" i="0" u="none" strike="noStrike" baseline="0">
              <a:solidFill>
                <a:srgbClr val="000000"/>
              </a:solidFill>
              <a:latin typeface="華康中黑體"/>
              <a:ea typeface="華康中黑體"/>
            </a:rPr>
            <a:t>年年以未</a:t>
          </a:r>
        </a:p>
        <a:p>
          <a:pPr algn="dist" rtl="0">
            <a:defRPr sz="1000"/>
          </a:pPr>
          <a:r>
            <a:rPr lang="zh-TW" altLang="en-US" sz="1400" b="0" i="0" u="none" strike="noStrike" baseline="0">
              <a:solidFill>
                <a:srgbClr val="000000"/>
              </a:solidFill>
              <a:latin typeface="華康中黑體"/>
              <a:ea typeface="華康中黑體"/>
            </a:rPr>
            <a:t>上滿</a:t>
          </a:r>
          <a:endParaRPr lang="zh-TW" altLang="en-US"/>
        </a:p>
      </xdr:txBody>
    </xdr:sp>
    <xdr:clientData/>
  </xdr:twoCellAnchor>
  <xdr:twoCellAnchor>
    <xdr:from>
      <xdr:col>1</xdr:col>
      <xdr:colOff>0</xdr:colOff>
      <xdr:row>2</xdr:row>
      <xdr:rowOff>0</xdr:rowOff>
    </xdr:from>
    <xdr:to>
      <xdr:col>1</xdr:col>
      <xdr:colOff>0</xdr:colOff>
      <xdr:row>2</xdr:row>
      <xdr:rowOff>0</xdr:rowOff>
    </xdr:to>
    <xdr:sp macro="" textlink="">
      <xdr:nvSpPr>
        <xdr:cNvPr id="5" name="文字 11">
          <a:extLst>
            <a:ext uri="{FF2B5EF4-FFF2-40B4-BE49-F238E27FC236}">
              <a16:creationId xmlns:a16="http://schemas.microsoft.com/office/drawing/2014/main" xmlns="" id="{00000000-0008-0000-1500-000005000000}"/>
            </a:ext>
          </a:extLst>
        </xdr:cNvPr>
        <xdr:cNvSpPr txBox="1">
          <a:spLocks noChangeArrowheads="1"/>
        </xdr:cNvSpPr>
      </xdr:nvSpPr>
      <xdr:spPr bwMode="auto">
        <a:xfrm>
          <a:off x="3209925"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dist" rtl="0">
            <a:defRPr sz="1000"/>
          </a:pPr>
          <a:r>
            <a:rPr lang="zh-TW" altLang="en-US" sz="1400" b="0" i="0" u="none" strike="noStrike" baseline="0">
              <a:solidFill>
                <a:srgbClr val="000000"/>
              </a:solidFill>
              <a:latin typeface="華康中黑體"/>
              <a:ea typeface="華康中黑體"/>
            </a:rPr>
            <a:t>三</a:t>
          </a:r>
        </a:p>
        <a:p>
          <a:pPr algn="dist" rtl="0">
            <a:defRPr sz="1000"/>
          </a:pPr>
          <a:r>
            <a:rPr lang="zh-TW" altLang="en-US" sz="1400" b="0" i="0" u="none" strike="noStrike" baseline="0">
              <a:solidFill>
                <a:srgbClr val="000000"/>
              </a:solidFill>
              <a:latin typeface="華康中黑體"/>
              <a:ea typeface="華康中黑體"/>
            </a:rPr>
            <a:t>年</a:t>
          </a:r>
          <a:endParaRPr lang="zh-TW" altLang="en-US"/>
        </a:p>
      </xdr:txBody>
    </xdr:sp>
    <xdr:clientData/>
  </xdr:twoCellAnchor>
  <xdr:twoCellAnchor>
    <xdr:from>
      <xdr:col>1</xdr:col>
      <xdr:colOff>0</xdr:colOff>
      <xdr:row>2</xdr:row>
      <xdr:rowOff>0</xdr:rowOff>
    </xdr:from>
    <xdr:to>
      <xdr:col>1</xdr:col>
      <xdr:colOff>0</xdr:colOff>
      <xdr:row>2</xdr:row>
      <xdr:rowOff>0</xdr:rowOff>
    </xdr:to>
    <xdr:sp macro="" textlink="">
      <xdr:nvSpPr>
        <xdr:cNvPr id="6" name="文字 12">
          <a:extLst>
            <a:ext uri="{FF2B5EF4-FFF2-40B4-BE49-F238E27FC236}">
              <a16:creationId xmlns:a16="http://schemas.microsoft.com/office/drawing/2014/main" xmlns="" id="{00000000-0008-0000-1500-000006000000}"/>
            </a:ext>
          </a:extLst>
        </xdr:cNvPr>
        <xdr:cNvSpPr txBox="1">
          <a:spLocks noChangeArrowheads="1"/>
        </xdr:cNvSpPr>
      </xdr:nvSpPr>
      <xdr:spPr bwMode="auto">
        <a:xfrm>
          <a:off x="3209925"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dist" rtl="0">
            <a:defRPr sz="1000"/>
          </a:pPr>
          <a:r>
            <a:rPr lang="zh-TW" altLang="en-US" sz="1400" b="0" i="0" u="none" strike="noStrike" baseline="0">
              <a:solidFill>
                <a:srgbClr val="000000"/>
              </a:solidFill>
              <a:latin typeface="華康中黑體"/>
              <a:ea typeface="華康中黑體"/>
            </a:rPr>
            <a:t>三五</a:t>
          </a:r>
        </a:p>
        <a:p>
          <a:pPr algn="dist" rtl="0">
            <a:defRPr sz="1000"/>
          </a:pPr>
          <a:r>
            <a:rPr lang="zh-TW" altLang="en-US" sz="1400" b="0" i="0" u="none" strike="noStrike" baseline="0">
              <a:solidFill>
                <a:srgbClr val="000000"/>
              </a:solidFill>
              <a:latin typeface="華康中黑體"/>
              <a:ea typeface="華康中黑體"/>
            </a:rPr>
            <a:t>年年</a:t>
          </a:r>
        </a:p>
        <a:p>
          <a:pPr algn="dist" rtl="0">
            <a:defRPr sz="1000"/>
          </a:pPr>
          <a:r>
            <a:rPr lang="zh-TW" altLang="en-US" sz="1400" b="0" i="0" u="none" strike="noStrike" baseline="0">
              <a:solidFill>
                <a:srgbClr val="000000"/>
              </a:solidFill>
              <a:latin typeface="華康中黑體"/>
              <a:ea typeface="華康中黑體"/>
            </a:rPr>
            <a:t>以未</a:t>
          </a:r>
        </a:p>
        <a:p>
          <a:pPr algn="dist" rtl="0">
            <a:defRPr sz="1000"/>
          </a:pPr>
          <a:r>
            <a:rPr lang="zh-TW" altLang="en-US" sz="1400" b="0" i="0" u="none" strike="noStrike" baseline="0">
              <a:solidFill>
                <a:srgbClr val="000000"/>
              </a:solidFill>
              <a:latin typeface="華康中黑體"/>
              <a:ea typeface="華康中黑體"/>
            </a:rPr>
            <a:t>上滿</a:t>
          </a:r>
          <a:endParaRPr lang="zh-TW" altLang="en-US"/>
        </a:p>
      </xdr:txBody>
    </xdr:sp>
    <xdr:clientData/>
  </xdr:twoCellAnchor>
  <xdr:twoCellAnchor>
    <xdr:from>
      <xdr:col>1</xdr:col>
      <xdr:colOff>0</xdr:colOff>
      <xdr:row>2</xdr:row>
      <xdr:rowOff>0</xdr:rowOff>
    </xdr:from>
    <xdr:to>
      <xdr:col>1</xdr:col>
      <xdr:colOff>0</xdr:colOff>
      <xdr:row>2</xdr:row>
      <xdr:rowOff>0</xdr:rowOff>
    </xdr:to>
    <xdr:sp macro="" textlink="">
      <xdr:nvSpPr>
        <xdr:cNvPr id="7" name="文字 13">
          <a:extLst>
            <a:ext uri="{FF2B5EF4-FFF2-40B4-BE49-F238E27FC236}">
              <a16:creationId xmlns:a16="http://schemas.microsoft.com/office/drawing/2014/main" xmlns="" id="{00000000-0008-0000-1500-000007000000}"/>
            </a:ext>
          </a:extLst>
        </xdr:cNvPr>
        <xdr:cNvSpPr txBox="1">
          <a:spLocks noChangeArrowheads="1"/>
        </xdr:cNvSpPr>
      </xdr:nvSpPr>
      <xdr:spPr bwMode="auto">
        <a:xfrm>
          <a:off x="3209925"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zh-TW" altLang="en-US" sz="1400" b="0" i="0" u="none" strike="noStrike" baseline="0">
              <a:solidFill>
                <a:srgbClr val="000000"/>
              </a:solidFill>
              <a:latin typeface="華康中黑體"/>
              <a:ea typeface="華康中黑體"/>
            </a:rPr>
            <a:t>五七</a:t>
          </a:r>
        </a:p>
        <a:p>
          <a:pPr algn="ctr" rtl="0">
            <a:defRPr sz="1000"/>
          </a:pPr>
          <a:r>
            <a:rPr lang="zh-TW" altLang="en-US" sz="1400" b="0" i="0" u="none" strike="noStrike" baseline="0">
              <a:solidFill>
                <a:srgbClr val="000000"/>
              </a:solidFill>
              <a:latin typeface="華康中黑體"/>
              <a:ea typeface="華康中黑體"/>
            </a:rPr>
            <a:t>年年</a:t>
          </a:r>
        </a:p>
        <a:p>
          <a:pPr algn="ctr" rtl="0">
            <a:defRPr sz="1000"/>
          </a:pPr>
          <a:r>
            <a:rPr lang="zh-TW" altLang="en-US" sz="1400" b="0" i="0" u="none" strike="noStrike" baseline="0">
              <a:solidFill>
                <a:srgbClr val="000000"/>
              </a:solidFill>
              <a:latin typeface="華康中黑體"/>
              <a:ea typeface="華康中黑體"/>
            </a:rPr>
            <a:t>以未</a:t>
          </a:r>
        </a:p>
        <a:p>
          <a:pPr algn="ctr" rtl="0">
            <a:defRPr sz="1000"/>
          </a:pPr>
          <a:r>
            <a:rPr lang="zh-TW" altLang="en-US" sz="1400" b="0" i="0" u="none" strike="noStrike" baseline="0">
              <a:solidFill>
                <a:srgbClr val="000000"/>
              </a:solidFill>
              <a:latin typeface="華康中黑體"/>
              <a:ea typeface="華康中黑體"/>
            </a:rPr>
            <a:t>上滿</a:t>
          </a:r>
          <a:endParaRPr lang="zh-TW" altLang="en-US"/>
        </a:p>
      </xdr:txBody>
    </xdr:sp>
    <xdr:clientData/>
  </xdr:twoCellAnchor>
  <xdr:twoCellAnchor>
    <xdr:from>
      <xdr:col>1</xdr:col>
      <xdr:colOff>0</xdr:colOff>
      <xdr:row>2</xdr:row>
      <xdr:rowOff>0</xdr:rowOff>
    </xdr:from>
    <xdr:to>
      <xdr:col>1</xdr:col>
      <xdr:colOff>0</xdr:colOff>
      <xdr:row>2</xdr:row>
      <xdr:rowOff>0</xdr:rowOff>
    </xdr:to>
    <xdr:sp macro="" textlink="">
      <xdr:nvSpPr>
        <xdr:cNvPr id="8" name="文字 14">
          <a:extLst>
            <a:ext uri="{FF2B5EF4-FFF2-40B4-BE49-F238E27FC236}">
              <a16:creationId xmlns:a16="http://schemas.microsoft.com/office/drawing/2014/main" xmlns="" id="{00000000-0008-0000-1500-000008000000}"/>
            </a:ext>
          </a:extLst>
        </xdr:cNvPr>
        <xdr:cNvSpPr txBox="1">
          <a:spLocks noChangeArrowheads="1"/>
        </xdr:cNvSpPr>
      </xdr:nvSpPr>
      <xdr:spPr bwMode="auto">
        <a:xfrm>
          <a:off x="3209925"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zh-TW" altLang="en-US" sz="1400" b="0" i="0" u="none" strike="noStrike" baseline="0">
              <a:solidFill>
                <a:srgbClr val="000000"/>
              </a:solidFill>
              <a:latin typeface="華康中黑體"/>
              <a:ea typeface="華康中黑體"/>
            </a:rPr>
            <a:t>七十</a:t>
          </a:r>
        </a:p>
        <a:p>
          <a:pPr algn="ctr" rtl="0">
            <a:defRPr sz="1000"/>
          </a:pPr>
          <a:r>
            <a:rPr lang="zh-TW" altLang="en-US" sz="1400" b="0" i="0" u="none" strike="noStrike" baseline="0">
              <a:solidFill>
                <a:srgbClr val="000000"/>
              </a:solidFill>
              <a:latin typeface="華康中黑體"/>
              <a:ea typeface="華康中黑體"/>
            </a:rPr>
            <a:t>年年</a:t>
          </a:r>
        </a:p>
        <a:p>
          <a:pPr algn="ctr" rtl="0">
            <a:defRPr sz="1000"/>
          </a:pPr>
          <a:r>
            <a:rPr lang="zh-TW" altLang="en-US" sz="1400" b="0" i="0" u="none" strike="noStrike" baseline="0">
              <a:solidFill>
                <a:srgbClr val="000000"/>
              </a:solidFill>
              <a:latin typeface="華康中黑體"/>
              <a:ea typeface="華康中黑體"/>
            </a:rPr>
            <a:t>以未</a:t>
          </a:r>
        </a:p>
        <a:p>
          <a:pPr algn="ctr" rtl="0">
            <a:defRPr sz="1000"/>
          </a:pPr>
          <a:r>
            <a:rPr lang="zh-TW" altLang="en-US" sz="1400" b="0" i="0" u="none" strike="noStrike" baseline="0">
              <a:solidFill>
                <a:srgbClr val="000000"/>
              </a:solidFill>
              <a:latin typeface="華康中黑體"/>
              <a:ea typeface="華康中黑體"/>
            </a:rPr>
            <a:t>上滿</a:t>
          </a:r>
          <a:endParaRPr lang="zh-TW" altLang="en-US"/>
        </a:p>
      </xdr:txBody>
    </xdr:sp>
    <xdr:clientData/>
  </xdr:twoCellAnchor>
  <xdr:twoCellAnchor>
    <xdr:from>
      <xdr:col>1</xdr:col>
      <xdr:colOff>0</xdr:colOff>
      <xdr:row>2</xdr:row>
      <xdr:rowOff>0</xdr:rowOff>
    </xdr:from>
    <xdr:to>
      <xdr:col>1</xdr:col>
      <xdr:colOff>0</xdr:colOff>
      <xdr:row>2</xdr:row>
      <xdr:rowOff>0</xdr:rowOff>
    </xdr:to>
    <xdr:sp macro="" textlink="">
      <xdr:nvSpPr>
        <xdr:cNvPr id="9" name="文字 16">
          <a:extLst>
            <a:ext uri="{FF2B5EF4-FFF2-40B4-BE49-F238E27FC236}">
              <a16:creationId xmlns:a16="http://schemas.microsoft.com/office/drawing/2014/main" xmlns="" id="{00000000-0008-0000-1500-000009000000}"/>
            </a:ext>
          </a:extLst>
        </xdr:cNvPr>
        <xdr:cNvSpPr txBox="1">
          <a:spLocks noChangeArrowheads="1"/>
        </xdr:cNvSpPr>
      </xdr:nvSpPr>
      <xdr:spPr bwMode="auto">
        <a:xfrm>
          <a:off x="3209925"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dist" rtl="0">
            <a:defRPr sz="1000"/>
          </a:pPr>
          <a:r>
            <a:rPr lang="zh-TW" altLang="en-US" sz="1400" b="0" i="0" u="none" strike="noStrike" baseline="0">
              <a:solidFill>
                <a:srgbClr val="000000"/>
              </a:solidFill>
              <a:latin typeface="華康中黑體"/>
              <a:ea typeface="華康中黑體"/>
            </a:rPr>
            <a:t>逾</a:t>
          </a:r>
        </a:p>
        <a:p>
          <a:pPr algn="dist" rtl="0">
            <a:defRPr sz="1000"/>
          </a:pPr>
          <a:r>
            <a:rPr lang="zh-TW" altLang="en-US" sz="1400" b="0" i="0" u="none" strike="noStrike" baseline="0">
              <a:solidFill>
                <a:srgbClr val="000000"/>
              </a:solidFill>
              <a:latin typeface="華康中黑體"/>
              <a:ea typeface="華康中黑體"/>
            </a:rPr>
            <a:t>十</a:t>
          </a:r>
        </a:p>
        <a:p>
          <a:pPr algn="dist" rtl="0">
            <a:defRPr sz="1000"/>
          </a:pPr>
          <a:r>
            <a:rPr lang="zh-TW" altLang="en-US" sz="1400" b="0" i="0" u="none" strike="noStrike" baseline="0">
              <a:solidFill>
                <a:srgbClr val="000000"/>
              </a:solidFill>
              <a:latin typeface="華康中黑體"/>
              <a:ea typeface="華康中黑體"/>
            </a:rPr>
            <a:t>五</a:t>
          </a:r>
        </a:p>
        <a:p>
          <a:pPr algn="dist" rtl="0">
            <a:defRPr sz="1000"/>
          </a:pPr>
          <a:r>
            <a:rPr lang="zh-TW" altLang="en-US" sz="1400" b="0" i="0" u="none" strike="noStrike" baseline="0">
              <a:solidFill>
                <a:srgbClr val="000000"/>
              </a:solidFill>
              <a:latin typeface="華康中黑體"/>
              <a:ea typeface="華康中黑體"/>
            </a:rPr>
            <a:t>年</a:t>
          </a:r>
          <a:endParaRPr lang="zh-TW" altLang="en-US"/>
        </a:p>
      </xdr:txBody>
    </xdr:sp>
    <xdr:clientData/>
  </xdr:twoCellAnchor>
  <xdr:twoCellAnchor>
    <xdr:from>
      <xdr:col>0</xdr:col>
      <xdr:colOff>67887</xdr:colOff>
      <xdr:row>5</xdr:row>
      <xdr:rowOff>85725</xdr:rowOff>
    </xdr:from>
    <xdr:to>
      <xdr:col>0</xdr:col>
      <xdr:colOff>358809</xdr:colOff>
      <xdr:row>12</xdr:row>
      <xdr:rowOff>66675</xdr:rowOff>
    </xdr:to>
    <xdr:sp macro="" textlink="">
      <xdr:nvSpPr>
        <xdr:cNvPr id="10" name="文字 17">
          <a:extLst>
            <a:ext uri="{FF2B5EF4-FFF2-40B4-BE49-F238E27FC236}">
              <a16:creationId xmlns:a16="http://schemas.microsoft.com/office/drawing/2014/main" xmlns="" id="{00000000-0008-0000-1500-00000A000000}"/>
            </a:ext>
          </a:extLst>
        </xdr:cNvPr>
        <xdr:cNvSpPr txBox="1">
          <a:spLocks noChangeArrowheads="1"/>
        </xdr:cNvSpPr>
      </xdr:nvSpPr>
      <xdr:spPr bwMode="auto">
        <a:xfrm>
          <a:off x="67887" y="1590675"/>
          <a:ext cx="290922" cy="1581150"/>
        </a:xfrm>
        <a:prstGeom prst="rect">
          <a:avLst/>
        </a:prstGeom>
        <a:noFill/>
        <a:ln>
          <a:noFill/>
        </a:ln>
      </xdr:spPr>
      <xdr:txBody>
        <a:bodyPr vertOverflow="clip" vert="wordArtVertRtl" wrap="square" lIns="36576" tIns="0" rIns="36576" bIns="0" anchor="ctr" upright="1"/>
        <a:lstStyle/>
        <a:p>
          <a:pPr algn="dist" rtl="0">
            <a:defRPr sz="1000"/>
          </a:pPr>
          <a:r>
            <a:rPr lang="zh-TW" altLang="en-US" sz="1300" b="0" i="0" u="none" strike="noStrike" baseline="0">
              <a:solidFill>
                <a:srgbClr val="000000"/>
              </a:solidFill>
              <a:latin typeface="新細明體" panose="02020500000000000000" pitchFamily="18" charset="-120"/>
              <a:ea typeface="新細明體" panose="02020500000000000000" pitchFamily="18" charset="-120"/>
            </a:rPr>
            <a:t>普通刑法</a:t>
          </a:r>
          <a:endParaRPr lang="zh-TW" altLang="en-US">
            <a:latin typeface="新細明體" panose="02020500000000000000" pitchFamily="18" charset="-120"/>
            <a:ea typeface="新細明體" panose="02020500000000000000" pitchFamily="18" charset="-120"/>
          </a:endParaRPr>
        </a:p>
      </xdr:txBody>
    </xdr:sp>
    <xdr:clientData/>
  </xdr:twoCellAnchor>
  <xdr:twoCellAnchor>
    <xdr:from>
      <xdr:col>0</xdr:col>
      <xdr:colOff>39312</xdr:colOff>
      <xdr:row>15</xdr:row>
      <xdr:rowOff>133351</xdr:rowOff>
    </xdr:from>
    <xdr:to>
      <xdr:col>0</xdr:col>
      <xdr:colOff>328862</xdr:colOff>
      <xdr:row>21</xdr:row>
      <xdr:rowOff>219075</xdr:rowOff>
    </xdr:to>
    <xdr:sp macro="" textlink="">
      <xdr:nvSpPr>
        <xdr:cNvPr id="11" name="文字 67">
          <a:extLst>
            <a:ext uri="{FF2B5EF4-FFF2-40B4-BE49-F238E27FC236}">
              <a16:creationId xmlns:a16="http://schemas.microsoft.com/office/drawing/2014/main" xmlns="" id="{00000000-0008-0000-1500-00000B000000}"/>
            </a:ext>
          </a:extLst>
        </xdr:cNvPr>
        <xdr:cNvSpPr txBox="1">
          <a:spLocks noChangeArrowheads="1"/>
        </xdr:cNvSpPr>
      </xdr:nvSpPr>
      <xdr:spPr bwMode="auto">
        <a:xfrm>
          <a:off x="39312" y="3924301"/>
          <a:ext cx="289550" cy="1457324"/>
        </a:xfrm>
        <a:prstGeom prst="rect">
          <a:avLst/>
        </a:prstGeom>
        <a:noFill/>
        <a:ln>
          <a:noFill/>
        </a:ln>
      </xdr:spPr>
      <xdr:txBody>
        <a:bodyPr vertOverflow="clip" vert="wordArtVertRtl" wrap="square" lIns="36576" tIns="0" rIns="36576" bIns="0" anchor="ctr" upright="1"/>
        <a:lstStyle/>
        <a:p>
          <a:pPr algn="dist" rtl="0">
            <a:defRPr sz="1000"/>
          </a:pPr>
          <a:r>
            <a:rPr lang="zh-TW" altLang="en-US" sz="1300" b="0" i="0" u="none" strike="noStrike" baseline="0">
              <a:solidFill>
                <a:srgbClr val="000000"/>
              </a:solidFill>
              <a:latin typeface="新細明體" panose="02020500000000000000" pitchFamily="18" charset="-120"/>
              <a:ea typeface="新細明體" panose="02020500000000000000" pitchFamily="18" charset="-120"/>
            </a:rPr>
            <a:t>特別刑法</a:t>
          </a:r>
          <a:endParaRPr lang="zh-TW" altLang="en-US">
            <a:latin typeface="新細明體" panose="02020500000000000000" pitchFamily="18" charset="-120"/>
            <a:ea typeface="新細明體" panose="02020500000000000000" pitchFamily="18" charset="-120"/>
          </a:endParaRPr>
        </a:p>
      </xdr:txBody>
    </xdr:sp>
    <xdr:clientData/>
  </xdr:twoCellAnchor>
  <xdr:twoCellAnchor>
    <xdr:from>
      <xdr:col>0</xdr:col>
      <xdr:colOff>361950</xdr:colOff>
      <xdr:row>4</xdr:row>
      <xdr:rowOff>66675</xdr:rowOff>
    </xdr:from>
    <xdr:to>
      <xdr:col>0</xdr:col>
      <xdr:colOff>514350</xdr:colOff>
      <xdr:row>13</xdr:row>
      <xdr:rowOff>0</xdr:rowOff>
    </xdr:to>
    <xdr:sp macro="" textlink="">
      <xdr:nvSpPr>
        <xdr:cNvPr id="12" name="AutoShape 12">
          <a:extLst>
            <a:ext uri="{FF2B5EF4-FFF2-40B4-BE49-F238E27FC236}">
              <a16:creationId xmlns:a16="http://schemas.microsoft.com/office/drawing/2014/main" xmlns="" id="{00000000-0008-0000-1500-00000C000000}"/>
            </a:ext>
          </a:extLst>
        </xdr:cNvPr>
        <xdr:cNvSpPr>
          <a:spLocks/>
        </xdr:cNvSpPr>
      </xdr:nvSpPr>
      <xdr:spPr bwMode="auto">
        <a:xfrm>
          <a:off x="361950" y="1343025"/>
          <a:ext cx="152400" cy="1990725"/>
        </a:xfrm>
        <a:prstGeom prst="leftBrace">
          <a:avLst>
            <a:gd name="adj1" fmla="val 108854"/>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295275</xdr:colOff>
      <xdr:row>13</xdr:row>
      <xdr:rowOff>123825</xdr:rowOff>
    </xdr:from>
    <xdr:to>
      <xdr:col>0</xdr:col>
      <xdr:colOff>495300</xdr:colOff>
      <xdr:row>23</xdr:row>
      <xdr:rowOff>0</xdr:rowOff>
    </xdr:to>
    <xdr:sp macro="" textlink="">
      <xdr:nvSpPr>
        <xdr:cNvPr id="13" name="AutoShape 13">
          <a:extLst>
            <a:ext uri="{FF2B5EF4-FFF2-40B4-BE49-F238E27FC236}">
              <a16:creationId xmlns:a16="http://schemas.microsoft.com/office/drawing/2014/main" xmlns="" id="{00000000-0008-0000-1500-00000D000000}"/>
            </a:ext>
          </a:extLst>
        </xdr:cNvPr>
        <xdr:cNvSpPr>
          <a:spLocks/>
        </xdr:cNvSpPr>
      </xdr:nvSpPr>
      <xdr:spPr bwMode="auto">
        <a:xfrm>
          <a:off x="295275" y="3457575"/>
          <a:ext cx="200025" cy="2162175"/>
        </a:xfrm>
        <a:prstGeom prst="leftBrace">
          <a:avLst>
            <a:gd name="adj1" fmla="val 90079"/>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456161</xdr:colOff>
      <xdr:row>18</xdr:row>
      <xdr:rowOff>19050</xdr:rowOff>
    </xdr:from>
    <xdr:to>
      <xdr:col>0</xdr:col>
      <xdr:colOff>1476227</xdr:colOff>
      <xdr:row>20</xdr:row>
      <xdr:rowOff>76200</xdr:rowOff>
    </xdr:to>
    <xdr:sp macro="" textlink="">
      <xdr:nvSpPr>
        <xdr:cNvPr id="14" name="文字 42">
          <a:extLst>
            <a:ext uri="{FF2B5EF4-FFF2-40B4-BE49-F238E27FC236}">
              <a16:creationId xmlns:a16="http://schemas.microsoft.com/office/drawing/2014/main" xmlns="" id="{00000000-0008-0000-1500-00000E000000}"/>
            </a:ext>
          </a:extLst>
        </xdr:cNvPr>
        <xdr:cNvSpPr txBox="1">
          <a:spLocks noChangeArrowheads="1"/>
        </xdr:cNvSpPr>
      </xdr:nvSpPr>
      <xdr:spPr bwMode="auto">
        <a:xfrm>
          <a:off x="456161" y="4495800"/>
          <a:ext cx="1020066" cy="514350"/>
        </a:xfrm>
        <a:prstGeom prst="rect">
          <a:avLst/>
        </a:prstGeom>
        <a:noFill/>
        <a:ln>
          <a:noFill/>
        </a:ln>
      </xdr:spPr>
      <xdr:txBody>
        <a:bodyPr vertOverflow="clip" wrap="square" lIns="27432" tIns="27432" rIns="27432" bIns="27432" anchor="ctr" upright="1"/>
        <a:lstStyle/>
        <a:p>
          <a:pPr algn="dist" rtl="0">
            <a:defRPr sz="1000"/>
          </a:pPr>
          <a:r>
            <a:rPr lang="zh-TW" altLang="en-US" sz="1200" b="0" i="0" u="none" strike="noStrike" baseline="0">
              <a:solidFill>
                <a:srgbClr val="000000"/>
              </a:solidFill>
              <a:latin typeface="新細明體" panose="02020500000000000000" pitchFamily="18" charset="-120"/>
              <a:ea typeface="新細明體" panose="02020500000000000000" pitchFamily="18" charset="-120"/>
            </a:rPr>
            <a:t>槍砲彈藥刀</a:t>
          </a:r>
        </a:p>
        <a:p>
          <a:pPr algn="dist" rtl="0">
            <a:defRPr sz="1000"/>
          </a:pPr>
          <a:r>
            <a:rPr lang="zh-TW" altLang="en-US" sz="1200" b="0" i="0" u="none" strike="noStrike" baseline="0">
              <a:solidFill>
                <a:srgbClr val="000000"/>
              </a:solidFill>
              <a:latin typeface="新細明體" panose="02020500000000000000" pitchFamily="18" charset="-120"/>
              <a:ea typeface="新細明體" panose="02020500000000000000" pitchFamily="18" charset="-120"/>
            </a:rPr>
            <a:t>械管制條例</a:t>
          </a:r>
          <a:endParaRPr lang="zh-TW" altLang="en-US">
            <a:latin typeface="新細明體" panose="02020500000000000000" pitchFamily="18" charset="-120"/>
            <a:ea typeface="新細明體" panose="02020500000000000000" pitchFamily="18" charset="-120"/>
          </a:endParaRPr>
        </a:p>
      </xdr:txBody>
    </xdr:sp>
    <xdr:clientData/>
  </xdr:twoCellAnchor>
  <xdr:twoCellAnchor>
    <xdr:from>
      <xdr:col>0</xdr:col>
      <xdr:colOff>1504950</xdr:colOff>
      <xdr:row>18</xdr:row>
      <xdr:rowOff>76200</xdr:rowOff>
    </xdr:from>
    <xdr:to>
      <xdr:col>0</xdr:col>
      <xdr:colOff>1600200</xdr:colOff>
      <xdr:row>19</xdr:row>
      <xdr:rowOff>200025</xdr:rowOff>
    </xdr:to>
    <xdr:sp macro="" textlink="">
      <xdr:nvSpPr>
        <xdr:cNvPr id="15" name="AutoShape 15">
          <a:extLst>
            <a:ext uri="{FF2B5EF4-FFF2-40B4-BE49-F238E27FC236}">
              <a16:creationId xmlns:a16="http://schemas.microsoft.com/office/drawing/2014/main" xmlns="" id="{00000000-0008-0000-1500-00000F000000}"/>
            </a:ext>
          </a:extLst>
        </xdr:cNvPr>
        <xdr:cNvSpPr>
          <a:spLocks/>
        </xdr:cNvSpPr>
      </xdr:nvSpPr>
      <xdr:spPr bwMode="auto">
        <a:xfrm>
          <a:off x="1504950" y="4552950"/>
          <a:ext cx="95250" cy="352425"/>
        </a:xfrm>
        <a:prstGeom prst="leftBrace">
          <a:avLst>
            <a:gd name="adj1" fmla="val 3083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1476375</xdr:colOff>
      <xdr:row>20</xdr:row>
      <xdr:rowOff>28575</xdr:rowOff>
    </xdr:from>
    <xdr:to>
      <xdr:col>0</xdr:col>
      <xdr:colOff>1581150</xdr:colOff>
      <xdr:row>22</xdr:row>
      <xdr:rowOff>209550</xdr:rowOff>
    </xdr:to>
    <xdr:sp macro="" textlink="">
      <xdr:nvSpPr>
        <xdr:cNvPr id="16" name="AutoShape 16">
          <a:extLst>
            <a:ext uri="{FF2B5EF4-FFF2-40B4-BE49-F238E27FC236}">
              <a16:creationId xmlns:a16="http://schemas.microsoft.com/office/drawing/2014/main" xmlns="" id="{00000000-0008-0000-1500-000010000000}"/>
            </a:ext>
          </a:extLst>
        </xdr:cNvPr>
        <xdr:cNvSpPr>
          <a:spLocks/>
        </xdr:cNvSpPr>
      </xdr:nvSpPr>
      <xdr:spPr bwMode="auto">
        <a:xfrm>
          <a:off x="1476375" y="4962525"/>
          <a:ext cx="104775" cy="638175"/>
        </a:xfrm>
        <a:prstGeom prst="leftBrace">
          <a:avLst>
            <a:gd name="adj1" fmla="val 5075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1504950</xdr:colOff>
      <xdr:row>13</xdr:row>
      <xdr:rowOff>57150</xdr:rowOff>
    </xdr:from>
    <xdr:to>
      <xdr:col>0</xdr:col>
      <xdr:colOff>1581150</xdr:colOff>
      <xdr:row>17</xdr:row>
      <xdr:rowOff>171450</xdr:rowOff>
    </xdr:to>
    <xdr:sp macro="" textlink="">
      <xdr:nvSpPr>
        <xdr:cNvPr id="17" name="AutoShape 17">
          <a:extLst>
            <a:ext uri="{FF2B5EF4-FFF2-40B4-BE49-F238E27FC236}">
              <a16:creationId xmlns:a16="http://schemas.microsoft.com/office/drawing/2014/main" xmlns="" id="{00000000-0008-0000-1500-000011000000}"/>
            </a:ext>
          </a:extLst>
        </xdr:cNvPr>
        <xdr:cNvSpPr>
          <a:spLocks/>
        </xdr:cNvSpPr>
      </xdr:nvSpPr>
      <xdr:spPr bwMode="auto">
        <a:xfrm>
          <a:off x="1504950" y="3390900"/>
          <a:ext cx="76200" cy="1028700"/>
        </a:xfrm>
        <a:prstGeom prst="leftBrace">
          <a:avLst>
            <a:gd name="adj1" fmla="val 11250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446636</xdr:colOff>
      <xdr:row>20</xdr:row>
      <xdr:rowOff>142875</xdr:rowOff>
    </xdr:from>
    <xdr:to>
      <xdr:col>0</xdr:col>
      <xdr:colOff>1494732</xdr:colOff>
      <xdr:row>22</xdr:row>
      <xdr:rowOff>161925</xdr:rowOff>
    </xdr:to>
    <xdr:sp macro="" textlink="">
      <xdr:nvSpPr>
        <xdr:cNvPr id="18" name="文字 42">
          <a:extLst>
            <a:ext uri="{FF2B5EF4-FFF2-40B4-BE49-F238E27FC236}">
              <a16:creationId xmlns:a16="http://schemas.microsoft.com/office/drawing/2014/main" xmlns="" id="{00000000-0008-0000-1500-000012000000}"/>
            </a:ext>
          </a:extLst>
        </xdr:cNvPr>
        <xdr:cNvSpPr txBox="1">
          <a:spLocks noChangeArrowheads="1"/>
        </xdr:cNvSpPr>
      </xdr:nvSpPr>
      <xdr:spPr bwMode="auto">
        <a:xfrm>
          <a:off x="446636" y="5076825"/>
          <a:ext cx="1048096" cy="476250"/>
        </a:xfrm>
        <a:prstGeom prst="rect">
          <a:avLst/>
        </a:prstGeom>
        <a:noFill/>
        <a:ln>
          <a:noFill/>
        </a:ln>
      </xdr:spPr>
      <xdr:txBody>
        <a:bodyPr vertOverflow="clip" wrap="square" lIns="27432" tIns="27432" rIns="27432" bIns="27432" anchor="ctr" upright="1"/>
        <a:lstStyle/>
        <a:p>
          <a:pPr algn="ctr" rtl="0">
            <a:lnSpc>
              <a:spcPts val="1400"/>
            </a:lnSpc>
            <a:defRPr sz="1000"/>
          </a:pPr>
          <a:r>
            <a:rPr lang="zh-TW" altLang="en-US" sz="1200" b="0" i="0" u="none" strike="noStrike" baseline="0">
              <a:solidFill>
                <a:srgbClr val="000000"/>
              </a:solidFill>
              <a:latin typeface="新細明體" panose="02020500000000000000" pitchFamily="18" charset="-120"/>
              <a:ea typeface="新細明體" panose="02020500000000000000" pitchFamily="18" charset="-120"/>
            </a:rPr>
            <a:t>兒童及少年性</a:t>
          </a:r>
        </a:p>
        <a:p>
          <a:pPr algn="ctr" rtl="0">
            <a:lnSpc>
              <a:spcPts val="1400"/>
            </a:lnSpc>
            <a:defRPr sz="1000"/>
          </a:pPr>
          <a:r>
            <a:rPr lang="zh-TW" altLang="en-US" sz="1200" b="0" i="0" u="none" strike="noStrike" baseline="0">
              <a:solidFill>
                <a:srgbClr val="000000"/>
              </a:solidFill>
              <a:latin typeface="新細明體" panose="02020500000000000000" pitchFamily="18" charset="-120"/>
              <a:ea typeface="新細明體" panose="02020500000000000000" pitchFamily="18" charset="-120"/>
            </a:rPr>
            <a:t>剝削防制條例</a:t>
          </a:r>
          <a:endParaRPr lang="zh-TW" altLang="en-US">
            <a:latin typeface="新細明體" panose="02020500000000000000" pitchFamily="18" charset="-120"/>
            <a:ea typeface="新細明體" panose="02020500000000000000" pitchFamily="18" charset="-120"/>
          </a:endParaRPr>
        </a:p>
      </xdr:txBody>
    </xdr:sp>
    <xdr:clientData/>
  </xdr:twoCellAnchor>
  <xdr:twoCellAnchor>
    <xdr:from>
      <xdr:col>0</xdr:col>
      <xdr:colOff>407324</xdr:colOff>
      <xdr:row>14</xdr:row>
      <xdr:rowOff>114300</xdr:rowOff>
    </xdr:from>
    <xdr:to>
      <xdr:col>0</xdr:col>
      <xdr:colOff>1495434</xdr:colOff>
      <xdr:row>16</xdr:row>
      <xdr:rowOff>142875</xdr:rowOff>
    </xdr:to>
    <xdr:sp macro="" textlink="">
      <xdr:nvSpPr>
        <xdr:cNvPr id="19" name="文字 51">
          <a:extLst>
            <a:ext uri="{FF2B5EF4-FFF2-40B4-BE49-F238E27FC236}">
              <a16:creationId xmlns:a16="http://schemas.microsoft.com/office/drawing/2014/main" xmlns="" id="{00000000-0008-0000-1500-000013000000}"/>
            </a:ext>
          </a:extLst>
        </xdr:cNvPr>
        <xdr:cNvSpPr txBox="1">
          <a:spLocks noChangeArrowheads="1"/>
        </xdr:cNvSpPr>
      </xdr:nvSpPr>
      <xdr:spPr bwMode="auto">
        <a:xfrm>
          <a:off x="407324" y="3676650"/>
          <a:ext cx="1088110" cy="485775"/>
        </a:xfrm>
        <a:prstGeom prst="rect">
          <a:avLst/>
        </a:prstGeom>
        <a:noFill/>
        <a:ln>
          <a:noFill/>
        </a:ln>
      </xdr:spPr>
      <xdr:txBody>
        <a:bodyPr vertOverflow="clip" wrap="square" lIns="27432" tIns="27432" rIns="27432" bIns="27432" anchor="ctr" upright="1"/>
        <a:lstStyle/>
        <a:p>
          <a:pPr algn="ctr" rtl="0">
            <a:lnSpc>
              <a:spcPts val="1400"/>
            </a:lnSpc>
            <a:defRPr sz="1000"/>
          </a:pPr>
          <a:r>
            <a:rPr lang="zh-TW" altLang="en-US" sz="1200" b="0" i="0" u="none" strike="noStrike" baseline="0">
              <a:solidFill>
                <a:srgbClr val="000000"/>
              </a:solidFill>
              <a:latin typeface="新細明體" panose="02020500000000000000" pitchFamily="18" charset="-120"/>
              <a:ea typeface="新細明體" panose="02020500000000000000" pitchFamily="18" charset="-120"/>
            </a:rPr>
            <a:t>毒  品  危  害</a:t>
          </a:r>
        </a:p>
        <a:p>
          <a:pPr algn="ctr" rtl="0">
            <a:lnSpc>
              <a:spcPts val="1400"/>
            </a:lnSpc>
            <a:defRPr sz="1000"/>
          </a:pPr>
          <a:r>
            <a:rPr lang="zh-TW" altLang="en-US" sz="1200" b="0" i="0" u="none" strike="noStrike" baseline="0">
              <a:solidFill>
                <a:srgbClr val="000000"/>
              </a:solidFill>
              <a:latin typeface="新細明體" panose="02020500000000000000" pitchFamily="18" charset="-120"/>
              <a:ea typeface="新細明體" panose="02020500000000000000" pitchFamily="18" charset="-120"/>
            </a:rPr>
            <a:t>防  制  條  例</a:t>
          </a:r>
          <a:endParaRPr lang="zh-TW" altLang="en-US">
            <a:latin typeface="新細明體" panose="02020500000000000000" pitchFamily="18" charset="-120"/>
            <a:ea typeface="新細明體" panose="02020500000000000000" pitchFamily="18" charset="-120"/>
          </a:endParaRPr>
        </a:p>
      </xdr:txBody>
    </xdr:sp>
    <xdr:clientData/>
  </xdr:twoCellAnchor>
  <xdr:twoCellAnchor>
    <xdr:from>
      <xdr:col>0</xdr:col>
      <xdr:colOff>1466850</xdr:colOff>
      <xdr:row>6</xdr:row>
      <xdr:rowOff>104775</xdr:rowOff>
    </xdr:from>
    <xdr:to>
      <xdr:col>0</xdr:col>
      <xdr:colOff>1600200</xdr:colOff>
      <xdr:row>7</xdr:row>
      <xdr:rowOff>161925</xdr:rowOff>
    </xdr:to>
    <xdr:sp macro="" textlink="">
      <xdr:nvSpPr>
        <xdr:cNvPr id="20" name="AutoShape 183">
          <a:extLst>
            <a:ext uri="{FF2B5EF4-FFF2-40B4-BE49-F238E27FC236}">
              <a16:creationId xmlns:a16="http://schemas.microsoft.com/office/drawing/2014/main" xmlns="" id="{00000000-0008-0000-1500-000014000000}"/>
            </a:ext>
          </a:extLst>
        </xdr:cNvPr>
        <xdr:cNvSpPr>
          <a:spLocks/>
        </xdr:cNvSpPr>
      </xdr:nvSpPr>
      <xdr:spPr bwMode="auto">
        <a:xfrm>
          <a:off x="1466850" y="1838325"/>
          <a:ext cx="133350" cy="285750"/>
        </a:xfrm>
        <a:prstGeom prst="leftBrace">
          <a:avLst>
            <a:gd name="adj1" fmla="val 1785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1485900</xdr:colOff>
      <xdr:row>9</xdr:row>
      <xdr:rowOff>152400</xdr:rowOff>
    </xdr:from>
    <xdr:to>
      <xdr:col>0</xdr:col>
      <xdr:colOff>1581150</xdr:colOff>
      <xdr:row>12</xdr:row>
      <xdr:rowOff>200025</xdr:rowOff>
    </xdr:to>
    <xdr:sp macro="" textlink="">
      <xdr:nvSpPr>
        <xdr:cNvPr id="21" name="AutoShape 184">
          <a:extLst>
            <a:ext uri="{FF2B5EF4-FFF2-40B4-BE49-F238E27FC236}">
              <a16:creationId xmlns:a16="http://schemas.microsoft.com/office/drawing/2014/main" xmlns="" id="{00000000-0008-0000-1500-000015000000}"/>
            </a:ext>
          </a:extLst>
        </xdr:cNvPr>
        <xdr:cNvSpPr>
          <a:spLocks/>
        </xdr:cNvSpPr>
      </xdr:nvSpPr>
      <xdr:spPr bwMode="auto">
        <a:xfrm>
          <a:off x="1485900" y="2571750"/>
          <a:ext cx="95250" cy="733425"/>
        </a:xfrm>
        <a:prstGeom prst="leftBrace">
          <a:avLst>
            <a:gd name="adj1" fmla="val 6416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1466850</xdr:colOff>
      <xdr:row>4</xdr:row>
      <xdr:rowOff>104775</xdr:rowOff>
    </xdr:from>
    <xdr:to>
      <xdr:col>0</xdr:col>
      <xdr:colOff>1600200</xdr:colOff>
      <xdr:row>5</xdr:row>
      <xdr:rowOff>161925</xdr:rowOff>
    </xdr:to>
    <xdr:sp macro="" textlink="">
      <xdr:nvSpPr>
        <xdr:cNvPr id="22" name="AutoShape 185">
          <a:extLst>
            <a:ext uri="{FF2B5EF4-FFF2-40B4-BE49-F238E27FC236}">
              <a16:creationId xmlns:a16="http://schemas.microsoft.com/office/drawing/2014/main" xmlns="" id="{00000000-0008-0000-1500-000016000000}"/>
            </a:ext>
          </a:extLst>
        </xdr:cNvPr>
        <xdr:cNvSpPr>
          <a:spLocks/>
        </xdr:cNvSpPr>
      </xdr:nvSpPr>
      <xdr:spPr bwMode="auto">
        <a:xfrm>
          <a:off x="1466850" y="1381125"/>
          <a:ext cx="133350" cy="285750"/>
        </a:xfrm>
        <a:prstGeom prst="leftBrace">
          <a:avLst>
            <a:gd name="adj1" fmla="val 1785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475211</xdr:colOff>
      <xdr:row>4</xdr:row>
      <xdr:rowOff>0</xdr:rowOff>
    </xdr:from>
    <xdr:to>
      <xdr:col>0</xdr:col>
      <xdr:colOff>1368539</xdr:colOff>
      <xdr:row>6</xdr:row>
      <xdr:rowOff>9525</xdr:rowOff>
    </xdr:to>
    <xdr:sp macro="" textlink="">
      <xdr:nvSpPr>
        <xdr:cNvPr id="23" name="文字 42">
          <a:extLst>
            <a:ext uri="{FF2B5EF4-FFF2-40B4-BE49-F238E27FC236}">
              <a16:creationId xmlns:a16="http://schemas.microsoft.com/office/drawing/2014/main" xmlns="" id="{00000000-0008-0000-1500-000017000000}"/>
            </a:ext>
          </a:extLst>
        </xdr:cNvPr>
        <xdr:cNvSpPr txBox="1">
          <a:spLocks noChangeArrowheads="1"/>
        </xdr:cNvSpPr>
      </xdr:nvSpPr>
      <xdr:spPr bwMode="auto">
        <a:xfrm>
          <a:off x="475211" y="1276350"/>
          <a:ext cx="893328"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dist" rtl="0">
            <a:defRPr sz="1000"/>
          </a:pPr>
          <a:r>
            <a:rPr lang="zh-TW" altLang="en-US" sz="1200" b="0" i="0" u="none" strike="noStrike" baseline="0">
              <a:solidFill>
                <a:srgbClr val="000000"/>
              </a:solidFill>
              <a:latin typeface="+mn-ea"/>
              <a:ea typeface="+mn-ea"/>
            </a:rPr>
            <a:t>強制性交罪</a:t>
          </a:r>
          <a:endParaRPr lang="zh-TW" altLang="en-US">
            <a:latin typeface="+mn-ea"/>
            <a:ea typeface="+mn-ea"/>
          </a:endParaRPr>
        </a:p>
      </xdr:txBody>
    </xdr:sp>
    <xdr:clientData/>
  </xdr:twoCellAnchor>
  <xdr:twoCellAnchor>
    <xdr:from>
      <xdr:col>0</xdr:col>
      <xdr:colOff>484736</xdr:colOff>
      <xdr:row>5</xdr:row>
      <xdr:rowOff>221500</xdr:rowOff>
    </xdr:from>
    <xdr:to>
      <xdr:col>0</xdr:col>
      <xdr:colOff>1350048</xdr:colOff>
      <xdr:row>7</xdr:row>
      <xdr:rowOff>222712</xdr:rowOff>
    </xdr:to>
    <xdr:sp macro="" textlink="">
      <xdr:nvSpPr>
        <xdr:cNvPr id="24" name="文字 42">
          <a:extLst>
            <a:ext uri="{FF2B5EF4-FFF2-40B4-BE49-F238E27FC236}">
              <a16:creationId xmlns:a16="http://schemas.microsoft.com/office/drawing/2014/main" xmlns="" id="{00000000-0008-0000-1500-000018000000}"/>
            </a:ext>
          </a:extLst>
        </xdr:cNvPr>
        <xdr:cNvSpPr txBox="1">
          <a:spLocks noChangeArrowheads="1"/>
        </xdr:cNvSpPr>
      </xdr:nvSpPr>
      <xdr:spPr bwMode="auto">
        <a:xfrm>
          <a:off x="484736" y="1726450"/>
          <a:ext cx="865312" cy="4584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dist" rtl="0">
            <a:defRPr sz="1000"/>
          </a:pPr>
          <a:r>
            <a:rPr lang="zh-TW" altLang="en-US" sz="1200" b="0" i="0" u="none" strike="noStrike" baseline="0">
              <a:solidFill>
                <a:srgbClr val="000000"/>
              </a:solidFill>
              <a:latin typeface="新細明體" panose="02020500000000000000" pitchFamily="18" charset="-120"/>
              <a:ea typeface="新細明體" panose="02020500000000000000" pitchFamily="18" charset="-120"/>
            </a:rPr>
            <a:t>殺人罪</a:t>
          </a:r>
          <a:endParaRPr lang="zh-TW" altLang="en-US">
            <a:latin typeface="新細明體" panose="02020500000000000000" pitchFamily="18" charset="-120"/>
            <a:ea typeface="新細明體" panose="02020500000000000000" pitchFamily="18" charset="-120"/>
          </a:endParaRPr>
        </a:p>
      </xdr:txBody>
    </xdr:sp>
    <xdr:clientData/>
  </xdr:twoCellAnchor>
  <xdr:twoCellAnchor>
    <xdr:from>
      <xdr:col>0</xdr:col>
      <xdr:colOff>504998</xdr:colOff>
      <xdr:row>7</xdr:row>
      <xdr:rowOff>152400</xdr:rowOff>
    </xdr:from>
    <xdr:to>
      <xdr:col>0</xdr:col>
      <xdr:colOff>1367710</xdr:colOff>
      <xdr:row>9</xdr:row>
      <xdr:rowOff>161925</xdr:rowOff>
    </xdr:to>
    <xdr:sp macro="" textlink="">
      <xdr:nvSpPr>
        <xdr:cNvPr id="25" name="文字 42">
          <a:extLst>
            <a:ext uri="{FF2B5EF4-FFF2-40B4-BE49-F238E27FC236}">
              <a16:creationId xmlns:a16="http://schemas.microsoft.com/office/drawing/2014/main" xmlns="" id="{00000000-0008-0000-1500-000019000000}"/>
            </a:ext>
          </a:extLst>
        </xdr:cNvPr>
        <xdr:cNvSpPr txBox="1">
          <a:spLocks noChangeArrowheads="1"/>
        </xdr:cNvSpPr>
      </xdr:nvSpPr>
      <xdr:spPr bwMode="auto">
        <a:xfrm>
          <a:off x="504998" y="2114550"/>
          <a:ext cx="862712"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dist" rtl="0">
            <a:defRPr sz="1000"/>
          </a:pPr>
          <a:r>
            <a:rPr lang="zh-TW" altLang="en-US" sz="1200" b="0" i="0" u="none" strike="noStrike" baseline="0">
              <a:solidFill>
                <a:srgbClr val="000000"/>
              </a:solidFill>
              <a:latin typeface="新細明體" panose="02020500000000000000" pitchFamily="18" charset="-120"/>
              <a:ea typeface="新細明體" panose="02020500000000000000" pitchFamily="18" charset="-120"/>
            </a:rPr>
            <a:t>強盜罪</a:t>
          </a:r>
          <a:endParaRPr lang="zh-TW" altLang="en-US">
            <a:latin typeface="新細明體" panose="02020500000000000000" pitchFamily="18" charset="-120"/>
            <a:ea typeface="新細明體" panose="02020500000000000000" pitchFamily="18" charset="-120"/>
          </a:endParaRPr>
        </a:p>
      </xdr:txBody>
    </xdr:sp>
    <xdr:clientData/>
  </xdr:twoCellAnchor>
  <xdr:twoCellAnchor>
    <xdr:from>
      <xdr:col>0</xdr:col>
      <xdr:colOff>504998</xdr:colOff>
      <xdr:row>10</xdr:row>
      <xdr:rowOff>47625</xdr:rowOff>
    </xdr:from>
    <xdr:to>
      <xdr:col>0</xdr:col>
      <xdr:colOff>1406675</xdr:colOff>
      <xdr:row>12</xdr:row>
      <xdr:rowOff>57150</xdr:rowOff>
    </xdr:to>
    <xdr:sp macro="" textlink="">
      <xdr:nvSpPr>
        <xdr:cNvPr id="26" name="文字 42">
          <a:extLst>
            <a:ext uri="{FF2B5EF4-FFF2-40B4-BE49-F238E27FC236}">
              <a16:creationId xmlns:a16="http://schemas.microsoft.com/office/drawing/2014/main" xmlns="" id="{00000000-0008-0000-1500-00001A000000}"/>
            </a:ext>
          </a:extLst>
        </xdr:cNvPr>
        <xdr:cNvSpPr txBox="1">
          <a:spLocks noChangeArrowheads="1"/>
        </xdr:cNvSpPr>
      </xdr:nvSpPr>
      <xdr:spPr bwMode="auto">
        <a:xfrm>
          <a:off x="504998" y="2695575"/>
          <a:ext cx="901677"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dist" rtl="0">
            <a:defRPr sz="1000"/>
          </a:pPr>
          <a:r>
            <a:rPr lang="zh-TW" altLang="en-US" sz="1200" b="0" i="0" u="none" strike="noStrike" baseline="0">
              <a:solidFill>
                <a:srgbClr val="000000"/>
              </a:solidFill>
              <a:latin typeface="新細明體" panose="02020500000000000000" pitchFamily="18" charset="-120"/>
              <a:ea typeface="新細明體" panose="02020500000000000000" pitchFamily="18" charset="-120"/>
            </a:rPr>
            <a:t>擄人勒贖罪</a:t>
          </a:r>
          <a:endParaRPr lang="zh-TW" altLang="en-US">
            <a:latin typeface="新細明體" panose="02020500000000000000" pitchFamily="18" charset="-120"/>
            <a:ea typeface="新細明體" panose="02020500000000000000" pitchFamily="18" charset="-120"/>
          </a:endParaRPr>
        </a:p>
      </xdr:txBody>
    </xdr:sp>
    <xdr:clientData/>
  </xdr:twoCellAnchor>
  <xdr:twoCellAnchor>
    <xdr:from>
      <xdr:col>0</xdr:col>
      <xdr:colOff>1466850</xdr:colOff>
      <xdr:row>4</xdr:row>
      <xdr:rowOff>104775</xdr:rowOff>
    </xdr:from>
    <xdr:to>
      <xdr:col>0</xdr:col>
      <xdr:colOff>1600200</xdr:colOff>
      <xdr:row>5</xdr:row>
      <xdr:rowOff>161925</xdr:rowOff>
    </xdr:to>
    <xdr:sp macro="" textlink="">
      <xdr:nvSpPr>
        <xdr:cNvPr id="27" name="AutoShape 190">
          <a:extLst>
            <a:ext uri="{FF2B5EF4-FFF2-40B4-BE49-F238E27FC236}">
              <a16:creationId xmlns:a16="http://schemas.microsoft.com/office/drawing/2014/main" xmlns="" id="{00000000-0008-0000-1500-00001B000000}"/>
            </a:ext>
          </a:extLst>
        </xdr:cNvPr>
        <xdr:cNvSpPr>
          <a:spLocks/>
        </xdr:cNvSpPr>
      </xdr:nvSpPr>
      <xdr:spPr bwMode="auto">
        <a:xfrm>
          <a:off x="1466850" y="1381125"/>
          <a:ext cx="133350" cy="285750"/>
        </a:xfrm>
        <a:prstGeom prst="leftBrace">
          <a:avLst>
            <a:gd name="adj1" fmla="val 1785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475211</xdr:colOff>
      <xdr:row>25</xdr:row>
      <xdr:rowOff>0</xdr:rowOff>
    </xdr:from>
    <xdr:to>
      <xdr:col>0</xdr:col>
      <xdr:colOff>1407559</xdr:colOff>
      <xdr:row>25</xdr:row>
      <xdr:rowOff>0</xdr:rowOff>
    </xdr:to>
    <xdr:sp macro="" textlink="">
      <xdr:nvSpPr>
        <xdr:cNvPr id="28" name="文字 42">
          <a:extLst>
            <a:ext uri="{FF2B5EF4-FFF2-40B4-BE49-F238E27FC236}">
              <a16:creationId xmlns:a16="http://schemas.microsoft.com/office/drawing/2014/main" xmlns="" id="{00000000-0008-0000-1500-00001C000000}"/>
            </a:ext>
          </a:extLst>
        </xdr:cNvPr>
        <xdr:cNvSpPr txBox="1">
          <a:spLocks noChangeArrowheads="1"/>
        </xdr:cNvSpPr>
      </xdr:nvSpPr>
      <xdr:spPr bwMode="auto">
        <a:xfrm>
          <a:off x="475211" y="6057900"/>
          <a:ext cx="932348"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新細明體"/>
              <a:ea typeface="新細明體"/>
            </a:rPr>
            <a:t>槍砲彈藥刀  械管制條例</a:t>
          </a:r>
          <a:endParaRPr lang="zh-TW" altLang="en-US"/>
        </a:p>
      </xdr:txBody>
    </xdr:sp>
    <xdr:clientData/>
  </xdr:twoCellAnchor>
  <xdr:twoCellAnchor>
    <xdr:from>
      <xdr:col>0</xdr:col>
      <xdr:colOff>484736</xdr:colOff>
      <xdr:row>25</xdr:row>
      <xdr:rowOff>0</xdr:rowOff>
    </xdr:from>
    <xdr:to>
      <xdr:col>0</xdr:col>
      <xdr:colOff>883808</xdr:colOff>
      <xdr:row>25</xdr:row>
      <xdr:rowOff>0</xdr:rowOff>
    </xdr:to>
    <xdr:sp macro="" textlink="">
      <xdr:nvSpPr>
        <xdr:cNvPr id="29" name="文字 51">
          <a:extLst>
            <a:ext uri="{FF2B5EF4-FFF2-40B4-BE49-F238E27FC236}">
              <a16:creationId xmlns:a16="http://schemas.microsoft.com/office/drawing/2014/main" xmlns="" id="{00000000-0008-0000-1500-00001D000000}"/>
            </a:ext>
          </a:extLst>
        </xdr:cNvPr>
        <xdr:cNvSpPr txBox="1">
          <a:spLocks noChangeArrowheads="1"/>
        </xdr:cNvSpPr>
      </xdr:nvSpPr>
      <xdr:spPr bwMode="auto">
        <a:xfrm>
          <a:off x="484736" y="6057900"/>
          <a:ext cx="399072"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新細明體"/>
              <a:ea typeface="新細明體"/>
            </a:rPr>
            <a:t>毒防品制危條害例</a:t>
          </a:r>
          <a:endParaRPr lang="zh-TW" altLang="en-US"/>
        </a:p>
      </xdr:txBody>
    </xdr:sp>
    <xdr:clientData/>
  </xdr:twoCellAnchor>
  <xdr:twoCellAnchor>
    <xdr:from>
      <xdr:col>1</xdr:col>
      <xdr:colOff>0</xdr:colOff>
      <xdr:row>2</xdr:row>
      <xdr:rowOff>0</xdr:rowOff>
    </xdr:from>
    <xdr:to>
      <xdr:col>1</xdr:col>
      <xdr:colOff>0</xdr:colOff>
      <xdr:row>2</xdr:row>
      <xdr:rowOff>0</xdr:rowOff>
    </xdr:to>
    <xdr:sp macro="" textlink="">
      <xdr:nvSpPr>
        <xdr:cNvPr id="30" name="文字 1">
          <a:extLst>
            <a:ext uri="{FF2B5EF4-FFF2-40B4-BE49-F238E27FC236}">
              <a16:creationId xmlns:a16="http://schemas.microsoft.com/office/drawing/2014/main" xmlns="" id="{00000000-0008-0000-1500-00001E000000}"/>
            </a:ext>
          </a:extLst>
        </xdr:cNvPr>
        <xdr:cNvSpPr txBox="1">
          <a:spLocks noChangeArrowheads="1"/>
        </xdr:cNvSpPr>
      </xdr:nvSpPr>
      <xdr:spPr bwMode="auto">
        <a:xfrm>
          <a:off x="3209925"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zh-TW" altLang="en-US" sz="1400" b="0" i="0" u="none" strike="noStrike" baseline="0">
              <a:solidFill>
                <a:srgbClr val="000000"/>
              </a:solidFill>
              <a:latin typeface="華康中黑體"/>
              <a:ea typeface="華康中黑體"/>
            </a:rPr>
            <a:t>無</a:t>
          </a:r>
        </a:p>
        <a:p>
          <a:pPr algn="ctr" rtl="0">
            <a:defRPr sz="1000"/>
          </a:pPr>
          <a:r>
            <a:rPr lang="zh-TW" altLang="en-US" sz="1400" b="0" i="0" u="none" strike="noStrike" baseline="0">
              <a:solidFill>
                <a:srgbClr val="000000"/>
              </a:solidFill>
              <a:latin typeface="華康中黑體"/>
              <a:ea typeface="華康中黑體"/>
            </a:rPr>
            <a:t>期</a:t>
          </a:r>
        </a:p>
        <a:p>
          <a:pPr algn="ctr" rtl="0">
            <a:defRPr sz="1000"/>
          </a:pPr>
          <a:r>
            <a:rPr lang="zh-TW" altLang="en-US" sz="1400" b="0" i="0" u="none" strike="noStrike" baseline="0">
              <a:solidFill>
                <a:srgbClr val="000000"/>
              </a:solidFill>
              <a:latin typeface="華康中黑體"/>
              <a:ea typeface="華康中黑體"/>
            </a:rPr>
            <a:t>徒</a:t>
          </a:r>
        </a:p>
        <a:p>
          <a:pPr algn="ctr" rtl="0">
            <a:defRPr sz="1000"/>
          </a:pPr>
          <a:r>
            <a:rPr lang="zh-TW" altLang="en-US" sz="1400" b="0" i="0" u="none" strike="noStrike" baseline="0">
              <a:solidFill>
                <a:srgbClr val="000000"/>
              </a:solidFill>
              <a:latin typeface="華康中黑體"/>
              <a:ea typeface="華康中黑體"/>
            </a:rPr>
            <a:t>刑</a:t>
          </a:r>
          <a:endParaRPr lang="zh-TW" altLang="en-US"/>
        </a:p>
      </xdr:txBody>
    </xdr:sp>
    <xdr:clientData/>
  </xdr:twoCellAnchor>
  <xdr:twoCellAnchor>
    <xdr:from>
      <xdr:col>1</xdr:col>
      <xdr:colOff>0</xdr:colOff>
      <xdr:row>2</xdr:row>
      <xdr:rowOff>0</xdr:rowOff>
    </xdr:from>
    <xdr:to>
      <xdr:col>1</xdr:col>
      <xdr:colOff>0</xdr:colOff>
      <xdr:row>2</xdr:row>
      <xdr:rowOff>0</xdr:rowOff>
    </xdr:to>
    <xdr:sp macro="" textlink="">
      <xdr:nvSpPr>
        <xdr:cNvPr id="31" name="文字 2">
          <a:extLst>
            <a:ext uri="{FF2B5EF4-FFF2-40B4-BE49-F238E27FC236}">
              <a16:creationId xmlns:a16="http://schemas.microsoft.com/office/drawing/2014/main" xmlns="" id="{00000000-0008-0000-1500-00001F000000}"/>
            </a:ext>
          </a:extLst>
        </xdr:cNvPr>
        <xdr:cNvSpPr txBox="1">
          <a:spLocks noChangeArrowheads="1"/>
        </xdr:cNvSpPr>
      </xdr:nvSpPr>
      <xdr:spPr bwMode="auto">
        <a:xfrm>
          <a:off x="3209925"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zh-TW" altLang="en-US" sz="1400" b="0" i="0" u="none" strike="noStrike" baseline="0">
              <a:solidFill>
                <a:srgbClr val="000000"/>
              </a:solidFill>
              <a:latin typeface="華康中黑體"/>
              <a:ea typeface="華康中黑體"/>
            </a:rPr>
            <a:t>二</a:t>
          </a:r>
        </a:p>
        <a:p>
          <a:pPr algn="ctr" rtl="0">
            <a:defRPr sz="1000"/>
          </a:pPr>
          <a:r>
            <a:rPr lang="zh-TW" altLang="en-US" sz="1400" b="0" i="0" u="none" strike="noStrike" baseline="0">
              <a:solidFill>
                <a:srgbClr val="000000"/>
              </a:solidFill>
              <a:latin typeface="華康中黑體"/>
              <a:ea typeface="華康中黑體"/>
            </a:rPr>
            <a:t>年</a:t>
          </a:r>
        </a:p>
        <a:p>
          <a:pPr algn="ctr" rtl="0">
            <a:defRPr sz="1000"/>
          </a:pPr>
          <a:r>
            <a:rPr lang="zh-TW" altLang="en-US" sz="1400" b="0" i="0" u="none" strike="noStrike" baseline="0">
              <a:solidFill>
                <a:srgbClr val="000000"/>
              </a:solidFill>
              <a:latin typeface="華康中黑體"/>
              <a:ea typeface="華康中黑體"/>
            </a:rPr>
            <a:t>未</a:t>
          </a:r>
        </a:p>
        <a:p>
          <a:pPr algn="ctr" rtl="0">
            <a:defRPr sz="1000"/>
          </a:pPr>
          <a:r>
            <a:rPr lang="zh-TW" altLang="en-US" sz="1400" b="0" i="0" u="none" strike="noStrike" baseline="0">
              <a:solidFill>
                <a:srgbClr val="000000"/>
              </a:solidFill>
              <a:latin typeface="華康中黑體"/>
              <a:ea typeface="華康中黑體"/>
            </a:rPr>
            <a:t>滿</a:t>
          </a:r>
          <a:endParaRPr lang="zh-TW" altLang="en-US"/>
        </a:p>
      </xdr:txBody>
    </xdr:sp>
    <xdr:clientData/>
  </xdr:twoCellAnchor>
  <xdr:twoCellAnchor>
    <xdr:from>
      <xdr:col>1</xdr:col>
      <xdr:colOff>0</xdr:colOff>
      <xdr:row>2</xdr:row>
      <xdr:rowOff>0</xdr:rowOff>
    </xdr:from>
    <xdr:to>
      <xdr:col>1</xdr:col>
      <xdr:colOff>0</xdr:colOff>
      <xdr:row>2</xdr:row>
      <xdr:rowOff>0</xdr:rowOff>
    </xdr:to>
    <xdr:sp macro="" textlink="">
      <xdr:nvSpPr>
        <xdr:cNvPr id="32" name="文字 3">
          <a:extLst>
            <a:ext uri="{FF2B5EF4-FFF2-40B4-BE49-F238E27FC236}">
              <a16:creationId xmlns:a16="http://schemas.microsoft.com/office/drawing/2014/main" xmlns="" id="{00000000-0008-0000-1500-000020000000}"/>
            </a:ext>
          </a:extLst>
        </xdr:cNvPr>
        <xdr:cNvSpPr txBox="1">
          <a:spLocks noChangeArrowheads="1"/>
        </xdr:cNvSpPr>
      </xdr:nvSpPr>
      <xdr:spPr bwMode="auto">
        <a:xfrm>
          <a:off x="3209925"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dist" rtl="0">
            <a:defRPr sz="1000"/>
          </a:pPr>
          <a:r>
            <a:rPr lang="zh-TW" altLang="en-US" sz="1400" b="0" i="0" u="none" strike="noStrike" baseline="0">
              <a:solidFill>
                <a:srgbClr val="000000"/>
              </a:solidFill>
              <a:latin typeface="華康中黑體"/>
              <a:ea typeface="華康中黑體"/>
            </a:rPr>
            <a:t>二三</a:t>
          </a:r>
        </a:p>
        <a:p>
          <a:pPr algn="dist" rtl="0">
            <a:defRPr sz="1000"/>
          </a:pPr>
          <a:r>
            <a:rPr lang="zh-TW" altLang="en-US" sz="1400" b="0" i="0" u="none" strike="noStrike" baseline="0">
              <a:solidFill>
                <a:srgbClr val="000000"/>
              </a:solidFill>
              <a:latin typeface="華康中黑體"/>
              <a:ea typeface="華康中黑體"/>
            </a:rPr>
            <a:t>年年以未</a:t>
          </a:r>
        </a:p>
        <a:p>
          <a:pPr algn="dist" rtl="0">
            <a:defRPr sz="1000"/>
          </a:pPr>
          <a:r>
            <a:rPr lang="zh-TW" altLang="en-US" sz="1400" b="0" i="0" u="none" strike="noStrike" baseline="0">
              <a:solidFill>
                <a:srgbClr val="000000"/>
              </a:solidFill>
              <a:latin typeface="華康中黑體"/>
              <a:ea typeface="華康中黑體"/>
            </a:rPr>
            <a:t>上滿</a:t>
          </a:r>
          <a:endParaRPr lang="zh-TW" altLang="en-US"/>
        </a:p>
      </xdr:txBody>
    </xdr:sp>
    <xdr:clientData/>
  </xdr:twoCellAnchor>
  <xdr:twoCellAnchor>
    <xdr:from>
      <xdr:col>1</xdr:col>
      <xdr:colOff>0</xdr:colOff>
      <xdr:row>2</xdr:row>
      <xdr:rowOff>0</xdr:rowOff>
    </xdr:from>
    <xdr:to>
      <xdr:col>1</xdr:col>
      <xdr:colOff>0</xdr:colOff>
      <xdr:row>2</xdr:row>
      <xdr:rowOff>0</xdr:rowOff>
    </xdr:to>
    <xdr:sp macro="" textlink="">
      <xdr:nvSpPr>
        <xdr:cNvPr id="33" name="文字 11">
          <a:extLst>
            <a:ext uri="{FF2B5EF4-FFF2-40B4-BE49-F238E27FC236}">
              <a16:creationId xmlns:a16="http://schemas.microsoft.com/office/drawing/2014/main" xmlns="" id="{00000000-0008-0000-1500-000021000000}"/>
            </a:ext>
          </a:extLst>
        </xdr:cNvPr>
        <xdr:cNvSpPr txBox="1">
          <a:spLocks noChangeArrowheads="1"/>
        </xdr:cNvSpPr>
      </xdr:nvSpPr>
      <xdr:spPr bwMode="auto">
        <a:xfrm>
          <a:off x="3209925"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dist" rtl="0">
            <a:defRPr sz="1000"/>
          </a:pPr>
          <a:r>
            <a:rPr lang="zh-TW" altLang="en-US" sz="1400" b="0" i="0" u="none" strike="noStrike" baseline="0">
              <a:solidFill>
                <a:srgbClr val="000000"/>
              </a:solidFill>
              <a:latin typeface="華康中黑體"/>
              <a:ea typeface="華康中黑體"/>
            </a:rPr>
            <a:t>三</a:t>
          </a:r>
        </a:p>
        <a:p>
          <a:pPr algn="dist" rtl="0">
            <a:defRPr sz="1000"/>
          </a:pPr>
          <a:r>
            <a:rPr lang="zh-TW" altLang="en-US" sz="1400" b="0" i="0" u="none" strike="noStrike" baseline="0">
              <a:solidFill>
                <a:srgbClr val="000000"/>
              </a:solidFill>
              <a:latin typeface="華康中黑體"/>
              <a:ea typeface="華康中黑體"/>
            </a:rPr>
            <a:t>年</a:t>
          </a:r>
          <a:endParaRPr lang="zh-TW" altLang="en-US"/>
        </a:p>
      </xdr:txBody>
    </xdr:sp>
    <xdr:clientData/>
  </xdr:twoCellAnchor>
  <xdr:twoCellAnchor>
    <xdr:from>
      <xdr:col>1</xdr:col>
      <xdr:colOff>0</xdr:colOff>
      <xdr:row>2</xdr:row>
      <xdr:rowOff>0</xdr:rowOff>
    </xdr:from>
    <xdr:to>
      <xdr:col>1</xdr:col>
      <xdr:colOff>0</xdr:colOff>
      <xdr:row>2</xdr:row>
      <xdr:rowOff>0</xdr:rowOff>
    </xdr:to>
    <xdr:sp macro="" textlink="">
      <xdr:nvSpPr>
        <xdr:cNvPr id="34" name="文字 12">
          <a:extLst>
            <a:ext uri="{FF2B5EF4-FFF2-40B4-BE49-F238E27FC236}">
              <a16:creationId xmlns:a16="http://schemas.microsoft.com/office/drawing/2014/main" xmlns="" id="{00000000-0008-0000-1500-000022000000}"/>
            </a:ext>
          </a:extLst>
        </xdr:cNvPr>
        <xdr:cNvSpPr txBox="1">
          <a:spLocks noChangeArrowheads="1"/>
        </xdr:cNvSpPr>
      </xdr:nvSpPr>
      <xdr:spPr bwMode="auto">
        <a:xfrm>
          <a:off x="3209925"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dist" rtl="0">
            <a:defRPr sz="1000"/>
          </a:pPr>
          <a:r>
            <a:rPr lang="zh-TW" altLang="en-US" sz="1400" b="0" i="0" u="none" strike="noStrike" baseline="0">
              <a:solidFill>
                <a:srgbClr val="000000"/>
              </a:solidFill>
              <a:latin typeface="華康中黑體"/>
              <a:ea typeface="華康中黑體"/>
            </a:rPr>
            <a:t>三五</a:t>
          </a:r>
        </a:p>
        <a:p>
          <a:pPr algn="dist" rtl="0">
            <a:defRPr sz="1000"/>
          </a:pPr>
          <a:r>
            <a:rPr lang="zh-TW" altLang="en-US" sz="1400" b="0" i="0" u="none" strike="noStrike" baseline="0">
              <a:solidFill>
                <a:srgbClr val="000000"/>
              </a:solidFill>
              <a:latin typeface="華康中黑體"/>
              <a:ea typeface="華康中黑體"/>
            </a:rPr>
            <a:t>年年</a:t>
          </a:r>
        </a:p>
        <a:p>
          <a:pPr algn="dist" rtl="0">
            <a:defRPr sz="1000"/>
          </a:pPr>
          <a:r>
            <a:rPr lang="zh-TW" altLang="en-US" sz="1400" b="0" i="0" u="none" strike="noStrike" baseline="0">
              <a:solidFill>
                <a:srgbClr val="000000"/>
              </a:solidFill>
              <a:latin typeface="華康中黑體"/>
              <a:ea typeface="華康中黑體"/>
            </a:rPr>
            <a:t>以未</a:t>
          </a:r>
        </a:p>
        <a:p>
          <a:pPr algn="dist" rtl="0">
            <a:defRPr sz="1000"/>
          </a:pPr>
          <a:r>
            <a:rPr lang="zh-TW" altLang="en-US" sz="1400" b="0" i="0" u="none" strike="noStrike" baseline="0">
              <a:solidFill>
                <a:srgbClr val="000000"/>
              </a:solidFill>
              <a:latin typeface="華康中黑體"/>
              <a:ea typeface="華康中黑體"/>
            </a:rPr>
            <a:t>上滿</a:t>
          </a:r>
          <a:endParaRPr lang="zh-TW" altLang="en-US"/>
        </a:p>
      </xdr:txBody>
    </xdr:sp>
    <xdr:clientData/>
  </xdr:twoCellAnchor>
  <xdr:twoCellAnchor>
    <xdr:from>
      <xdr:col>1</xdr:col>
      <xdr:colOff>0</xdr:colOff>
      <xdr:row>2</xdr:row>
      <xdr:rowOff>0</xdr:rowOff>
    </xdr:from>
    <xdr:to>
      <xdr:col>1</xdr:col>
      <xdr:colOff>0</xdr:colOff>
      <xdr:row>2</xdr:row>
      <xdr:rowOff>0</xdr:rowOff>
    </xdr:to>
    <xdr:sp macro="" textlink="">
      <xdr:nvSpPr>
        <xdr:cNvPr id="35" name="文字 13">
          <a:extLst>
            <a:ext uri="{FF2B5EF4-FFF2-40B4-BE49-F238E27FC236}">
              <a16:creationId xmlns:a16="http://schemas.microsoft.com/office/drawing/2014/main" xmlns="" id="{00000000-0008-0000-1500-000023000000}"/>
            </a:ext>
          </a:extLst>
        </xdr:cNvPr>
        <xdr:cNvSpPr txBox="1">
          <a:spLocks noChangeArrowheads="1"/>
        </xdr:cNvSpPr>
      </xdr:nvSpPr>
      <xdr:spPr bwMode="auto">
        <a:xfrm>
          <a:off x="3209925"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zh-TW" altLang="en-US" sz="1400" b="0" i="0" u="none" strike="noStrike" baseline="0">
              <a:solidFill>
                <a:srgbClr val="000000"/>
              </a:solidFill>
              <a:latin typeface="華康中黑體"/>
              <a:ea typeface="華康中黑體"/>
            </a:rPr>
            <a:t>五七</a:t>
          </a:r>
        </a:p>
        <a:p>
          <a:pPr algn="ctr" rtl="0">
            <a:defRPr sz="1000"/>
          </a:pPr>
          <a:r>
            <a:rPr lang="zh-TW" altLang="en-US" sz="1400" b="0" i="0" u="none" strike="noStrike" baseline="0">
              <a:solidFill>
                <a:srgbClr val="000000"/>
              </a:solidFill>
              <a:latin typeface="華康中黑體"/>
              <a:ea typeface="華康中黑體"/>
            </a:rPr>
            <a:t>年年</a:t>
          </a:r>
        </a:p>
        <a:p>
          <a:pPr algn="ctr" rtl="0">
            <a:defRPr sz="1000"/>
          </a:pPr>
          <a:r>
            <a:rPr lang="zh-TW" altLang="en-US" sz="1400" b="0" i="0" u="none" strike="noStrike" baseline="0">
              <a:solidFill>
                <a:srgbClr val="000000"/>
              </a:solidFill>
              <a:latin typeface="華康中黑體"/>
              <a:ea typeface="華康中黑體"/>
            </a:rPr>
            <a:t>以未</a:t>
          </a:r>
        </a:p>
        <a:p>
          <a:pPr algn="ctr" rtl="0">
            <a:defRPr sz="1000"/>
          </a:pPr>
          <a:r>
            <a:rPr lang="zh-TW" altLang="en-US" sz="1400" b="0" i="0" u="none" strike="noStrike" baseline="0">
              <a:solidFill>
                <a:srgbClr val="000000"/>
              </a:solidFill>
              <a:latin typeface="華康中黑體"/>
              <a:ea typeface="華康中黑體"/>
            </a:rPr>
            <a:t>上滿</a:t>
          </a:r>
          <a:endParaRPr lang="zh-TW" altLang="en-US"/>
        </a:p>
      </xdr:txBody>
    </xdr:sp>
    <xdr:clientData/>
  </xdr:twoCellAnchor>
  <xdr:twoCellAnchor>
    <xdr:from>
      <xdr:col>1</xdr:col>
      <xdr:colOff>0</xdr:colOff>
      <xdr:row>2</xdr:row>
      <xdr:rowOff>0</xdr:rowOff>
    </xdr:from>
    <xdr:to>
      <xdr:col>1</xdr:col>
      <xdr:colOff>0</xdr:colOff>
      <xdr:row>2</xdr:row>
      <xdr:rowOff>0</xdr:rowOff>
    </xdr:to>
    <xdr:sp macro="" textlink="">
      <xdr:nvSpPr>
        <xdr:cNvPr id="36" name="文字 14">
          <a:extLst>
            <a:ext uri="{FF2B5EF4-FFF2-40B4-BE49-F238E27FC236}">
              <a16:creationId xmlns:a16="http://schemas.microsoft.com/office/drawing/2014/main" xmlns="" id="{00000000-0008-0000-1500-000024000000}"/>
            </a:ext>
          </a:extLst>
        </xdr:cNvPr>
        <xdr:cNvSpPr txBox="1">
          <a:spLocks noChangeArrowheads="1"/>
        </xdr:cNvSpPr>
      </xdr:nvSpPr>
      <xdr:spPr bwMode="auto">
        <a:xfrm>
          <a:off x="3209925"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zh-TW" altLang="en-US" sz="1400" b="0" i="0" u="none" strike="noStrike" baseline="0">
              <a:solidFill>
                <a:srgbClr val="000000"/>
              </a:solidFill>
              <a:latin typeface="華康中黑體"/>
              <a:ea typeface="華康中黑體"/>
            </a:rPr>
            <a:t>七十</a:t>
          </a:r>
        </a:p>
        <a:p>
          <a:pPr algn="ctr" rtl="0">
            <a:defRPr sz="1000"/>
          </a:pPr>
          <a:r>
            <a:rPr lang="zh-TW" altLang="en-US" sz="1400" b="0" i="0" u="none" strike="noStrike" baseline="0">
              <a:solidFill>
                <a:srgbClr val="000000"/>
              </a:solidFill>
              <a:latin typeface="華康中黑體"/>
              <a:ea typeface="華康中黑體"/>
            </a:rPr>
            <a:t>年年</a:t>
          </a:r>
        </a:p>
        <a:p>
          <a:pPr algn="ctr" rtl="0">
            <a:defRPr sz="1000"/>
          </a:pPr>
          <a:r>
            <a:rPr lang="zh-TW" altLang="en-US" sz="1400" b="0" i="0" u="none" strike="noStrike" baseline="0">
              <a:solidFill>
                <a:srgbClr val="000000"/>
              </a:solidFill>
              <a:latin typeface="華康中黑體"/>
              <a:ea typeface="華康中黑體"/>
            </a:rPr>
            <a:t>以未</a:t>
          </a:r>
        </a:p>
        <a:p>
          <a:pPr algn="ctr" rtl="0">
            <a:defRPr sz="1000"/>
          </a:pPr>
          <a:r>
            <a:rPr lang="zh-TW" altLang="en-US" sz="1400" b="0" i="0" u="none" strike="noStrike" baseline="0">
              <a:solidFill>
                <a:srgbClr val="000000"/>
              </a:solidFill>
              <a:latin typeface="華康中黑體"/>
              <a:ea typeface="華康中黑體"/>
            </a:rPr>
            <a:t>上滿</a:t>
          </a:r>
          <a:endParaRPr lang="zh-TW" altLang="en-US"/>
        </a:p>
      </xdr:txBody>
    </xdr:sp>
    <xdr:clientData/>
  </xdr:twoCellAnchor>
  <xdr:twoCellAnchor>
    <xdr:from>
      <xdr:col>1</xdr:col>
      <xdr:colOff>0</xdr:colOff>
      <xdr:row>2</xdr:row>
      <xdr:rowOff>0</xdr:rowOff>
    </xdr:from>
    <xdr:to>
      <xdr:col>1</xdr:col>
      <xdr:colOff>0</xdr:colOff>
      <xdr:row>2</xdr:row>
      <xdr:rowOff>0</xdr:rowOff>
    </xdr:to>
    <xdr:sp macro="" textlink="">
      <xdr:nvSpPr>
        <xdr:cNvPr id="37" name="文字 16">
          <a:extLst>
            <a:ext uri="{FF2B5EF4-FFF2-40B4-BE49-F238E27FC236}">
              <a16:creationId xmlns:a16="http://schemas.microsoft.com/office/drawing/2014/main" xmlns="" id="{00000000-0008-0000-1500-000025000000}"/>
            </a:ext>
          </a:extLst>
        </xdr:cNvPr>
        <xdr:cNvSpPr txBox="1">
          <a:spLocks noChangeArrowheads="1"/>
        </xdr:cNvSpPr>
      </xdr:nvSpPr>
      <xdr:spPr bwMode="auto">
        <a:xfrm>
          <a:off x="3209925"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dist" rtl="0">
            <a:defRPr sz="1000"/>
          </a:pPr>
          <a:r>
            <a:rPr lang="zh-TW" altLang="en-US" sz="1400" b="0" i="0" u="none" strike="noStrike" baseline="0">
              <a:solidFill>
                <a:srgbClr val="000000"/>
              </a:solidFill>
              <a:latin typeface="華康中黑體"/>
              <a:ea typeface="華康中黑體"/>
            </a:rPr>
            <a:t>逾</a:t>
          </a:r>
        </a:p>
        <a:p>
          <a:pPr algn="dist" rtl="0">
            <a:defRPr sz="1000"/>
          </a:pPr>
          <a:r>
            <a:rPr lang="zh-TW" altLang="en-US" sz="1400" b="0" i="0" u="none" strike="noStrike" baseline="0">
              <a:solidFill>
                <a:srgbClr val="000000"/>
              </a:solidFill>
              <a:latin typeface="華康中黑體"/>
              <a:ea typeface="華康中黑體"/>
            </a:rPr>
            <a:t>十</a:t>
          </a:r>
        </a:p>
        <a:p>
          <a:pPr algn="dist" rtl="0">
            <a:defRPr sz="1000"/>
          </a:pPr>
          <a:r>
            <a:rPr lang="zh-TW" altLang="en-US" sz="1400" b="0" i="0" u="none" strike="noStrike" baseline="0">
              <a:solidFill>
                <a:srgbClr val="000000"/>
              </a:solidFill>
              <a:latin typeface="華康中黑體"/>
              <a:ea typeface="華康中黑體"/>
            </a:rPr>
            <a:t>五</a:t>
          </a:r>
        </a:p>
        <a:p>
          <a:pPr algn="dist" rtl="0">
            <a:defRPr sz="1000"/>
          </a:pPr>
          <a:r>
            <a:rPr lang="zh-TW" altLang="en-US" sz="1400" b="0" i="0" u="none" strike="noStrike" baseline="0">
              <a:solidFill>
                <a:srgbClr val="000000"/>
              </a:solidFill>
              <a:latin typeface="華康中黑體"/>
              <a:ea typeface="華康中黑體"/>
            </a:rPr>
            <a:t>年</a:t>
          </a:r>
          <a:endParaRPr lang="zh-TW" altLang="en-US"/>
        </a:p>
      </xdr:txBody>
    </xdr:sp>
    <xdr:clientData/>
  </xdr:twoCellAnchor>
  <xdr:twoCellAnchor>
    <xdr:from>
      <xdr:col>0</xdr:col>
      <xdr:colOff>1504950</xdr:colOff>
      <xdr:row>18</xdr:row>
      <xdr:rowOff>76200</xdr:rowOff>
    </xdr:from>
    <xdr:to>
      <xdr:col>0</xdr:col>
      <xdr:colOff>1600200</xdr:colOff>
      <xdr:row>19</xdr:row>
      <xdr:rowOff>200025</xdr:rowOff>
    </xdr:to>
    <xdr:sp macro="" textlink="">
      <xdr:nvSpPr>
        <xdr:cNvPr id="38" name="AutoShape 15">
          <a:extLst>
            <a:ext uri="{FF2B5EF4-FFF2-40B4-BE49-F238E27FC236}">
              <a16:creationId xmlns:a16="http://schemas.microsoft.com/office/drawing/2014/main" xmlns="" id="{00000000-0008-0000-1500-00002B000000}"/>
            </a:ext>
          </a:extLst>
        </xdr:cNvPr>
        <xdr:cNvSpPr>
          <a:spLocks/>
        </xdr:cNvSpPr>
      </xdr:nvSpPr>
      <xdr:spPr bwMode="auto">
        <a:xfrm>
          <a:off x="1504950" y="4552950"/>
          <a:ext cx="95250" cy="352425"/>
        </a:xfrm>
        <a:prstGeom prst="leftBrace">
          <a:avLst>
            <a:gd name="adj1" fmla="val 3083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1476375</xdr:colOff>
      <xdr:row>20</xdr:row>
      <xdr:rowOff>28575</xdr:rowOff>
    </xdr:from>
    <xdr:to>
      <xdr:col>0</xdr:col>
      <xdr:colOff>1581150</xdr:colOff>
      <xdr:row>22</xdr:row>
      <xdr:rowOff>209550</xdr:rowOff>
    </xdr:to>
    <xdr:sp macro="" textlink="">
      <xdr:nvSpPr>
        <xdr:cNvPr id="39" name="AutoShape 16">
          <a:extLst>
            <a:ext uri="{FF2B5EF4-FFF2-40B4-BE49-F238E27FC236}">
              <a16:creationId xmlns:a16="http://schemas.microsoft.com/office/drawing/2014/main" xmlns="" id="{00000000-0008-0000-1500-00002C000000}"/>
            </a:ext>
          </a:extLst>
        </xdr:cNvPr>
        <xdr:cNvSpPr>
          <a:spLocks/>
        </xdr:cNvSpPr>
      </xdr:nvSpPr>
      <xdr:spPr bwMode="auto">
        <a:xfrm>
          <a:off x="1476375" y="4962525"/>
          <a:ext cx="104775" cy="638175"/>
        </a:xfrm>
        <a:prstGeom prst="leftBrace">
          <a:avLst>
            <a:gd name="adj1" fmla="val 5075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1504950</xdr:colOff>
      <xdr:row>13</xdr:row>
      <xdr:rowOff>57150</xdr:rowOff>
    </xdr:from>
    <xdr:to>
      <xdr:col>0</xdr:col>
      <xdr:colOff>1581150</xdr:colOff>
      <xdr:row>17</xdr:row>
      <xdr:rowOff>171450</xdr:rowOff>
    </xdr:to>
    <xdr:sp macro="" textlink="">
      <xdr:nvSpPr>
        <xdr:cNvPr id="40" name="AutoShape 17">
          <a:extLst>
            <a:ext uri="{FF2B5EF4-FFF2-40B4-BE49-F238E27FC236}">
              <a16:creationId xmlns:a16="http://schemas.microsoft.com/office/drawing/2014/main" xmlns="" id="{00000000-0008-0000-1500-00002D000000}"/>
            </a:ext>
          </a:extLst>
        </xdr:cNvPr>
        <xdr:cNvSpPr>
          <a:spLocks/>
        </xdr:cNvSpPr>
      </xdr:nvSpPr>
      <xdr:spPr bwMode="auto">
        <a:xfrm>
          <a:off x="1504950" y="3390900"/>
          <a:ext cx="76200" cy="1028700"/>
        </a:xfrm>
        <a:prstGeom prst="leftBrace">
          <a:avLst>
            <a:gd name="adj1" fmla="val 11250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1466850</xdr:colOff>
      <xdr:row>6</xdr:row>
      <xdr:rowOff>104775</xdr:rowOff>
    </xdr:from>
    <xdr:to>
      <xdr:col>0</xdr:col>
      <xdr:colOff>1600200</xdr:colOff>
      <xdr:row>7</xdr:row>
      <xdr:rowOff>161925</xdr:rowOff>
    </xdr:to>
    <xdr:sp macro="" textlink="">
      <xdr:nvSpPr>
        <xdr:cNvPr id="41" name="AutoShape 183">
          <a:extLst>
            <a:ext uri="{FF2B5EF4-FFF2-40B4-BE49-F238E27FC236}">
              <a16:creationId xmlns:a16="http://schemas.microsoft.com/office/drawing/2014/main" xmlns="" id="{00000000-0008-0000-1500-000030000000}"/>
            </a:ext>
          </a:extLst>
        </xdr:cNvPr>
        <xdr:cNvSpPr>
          <a:spLocks/>
        </xdr:cNvSpPr>
      </xdr:nvSpPr>
      <xdr:spPr bwMode="auto">
        <a:xfrm>
          <a:off x="1466850" y="1838325"/>
          <a:ext cx="133350" cy="285750"/>
        </a:xfrm>
        <a:prstGeom prst="leftBrace">
          <a:avLst>
            <a:gd name="adj1" fmla="val 1785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1485900</xdr:colOff>
      <xdr:row>9</xdr:row>
      <xdr:rowOff>152400</xdr:rowOff>
    </xdr:from>
    <xdr:to>
      <xdr:col>0</xdr:col>
      <xdr:colOff>1581150</xdr:colOff>
      <xdr:row>12</xdr:row>
      <xdr:rowOff>200025</xdr:rowOff>
    </xdr:to>
    <xdr:sp macro="" textlink="">
      <xdr:nvSpPr>
        <xdr:cNvPr id="42" name="AutoShape 184">
          <a:extLst>
            <a:ext uri="{FF2B5EF4-FFF2-40B4-BE49-F238E27FC236}">
              <a16:creationId xmlns:a16="http://schemas.microsoft.com/office/drawing/2014/main" xmlns="" id="{00000000-0008-0000-1500-000031000000}"/>
            </a:ext>
          </a:extLst>
        </xdr:cNvPr>
        <xdr:cNvSpPr>
          <a:spLocks/>
        </xdr:cNvSpPr>
      </xdr:nvSpPr>
      <xdr:spPr bwMode="auto">
        <a:xfrm>
          <a:off x="1485900" y="2571750"/>
          <a:ext cx="95250" cy="733425"/>
        </a:xfrm>
        <a:prstGeom prst="leftBrace">
          <a:avLst>
            <a:gd name="adj1" fmla="val 6416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1466850</xdr:colOff>
      <xdr:row>4</xdr:row>
      <xdr:rowOff>104775</xdr:rowOff>
    </xdr:from>
    <xdr:to>
      <xdr:col>0</xdr:col>
      <xdr:colOff>1600200</xdr:colOff>
      <xdr:row>5</xdr:row>
      <xdr:rowOff>161925</xdr:rowOff>
    </xdr:to>
    <xdr:sp macro="" textlink="">
      <xdr:nvSpPr>
        <xdr:cNvPr id="43" name="AutoShape 185">
          <a:extLst>
            <a:ext uri="{FF2B5EF4-FFF2-40B4-BE49-F238E27FC236}">
              <a16:creationId xmlns:a16="http://schemas.microsoft.com/office/drawing/2014/main" xmlns="" id="{00000000-0008-0000-1500-000032000000}"/>
            </a:ext>
          </a:extLst>
        </xdr:cNvPr>
        <xdr:cNvSpPr>
          <a:spLocks/>
        </xdr:cNvSpPr>
      </xdr:nvSpPr>
      <xdr:spPr bwMode="auto">
        <a:xfrm>
          <a:off x="1466850" y="1381125"/>
          <a:ext cx="133350" cy="285750"/>
        </a:xfrm>
        <a:prstGeom prst="leftBrace">
          <a:avLst>
            <a:gd name="adj1" fmla="val 1785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1466850</xdr:colOff>
      <xdr:row>4</xdr:row>
      <xdr:rowOff>104775</xdr:rowOff>
    </xdr:from>
    <xdr:to>
      <xdr:col>0</xdr:col>
      <xdr:colOff>1600200</xdr:colOff>
      <xdr:row>5</xdr:row>
      <xdr:rowOff>161925</xdr:rowOff>
    </xdr:to>
    <xdr:sp macro="" textlink="">
      <xdr:nvSpPr>
        <xdr:cNvPr id="44" name="AutoShape 190">
          <a:extLst>
            <a:ext uri="{FF2B5EF4-FFF2-40B4-BE49-F238E27FC236}">
              <a16:creationId xmlns:a16="http://schemas.microsoft.com/office/drawing/2014/main" xmlns="" id="{00000000-0008-0000-1500-000037000000}"/>
            </a:ext>
          </a:extLst>
        </xdr:cNvPr>
        <xdr:cNvSpPr>
          <a:spLocks/>
        </xdr:cNvSpPr>
      </xdr:nvSpPr>
      <xdr:spPr bwMode="auto">
        <a:xfrm>
          <a:off x="1466850" y="1381125"/>
          <a:ext cx="133350" cy="285750"/>
        </a:xfrm>
        <a:prstGeom prst="leftBrace">
          <a:avLst>
            <a:gd name="adj1" fmla="val 1785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475211</xdr:colOff>
      <xdr:row>25</xdr:row>
      <xdr:rowOff>0</xdr:rowOff>
    </xdr:from>
    <xdr:to>
      <xdr:col>0</xdr:col>
      <xdr:colOff>1407559</xdr:colOff>
      <xdr:row>25</xdr:row>
      <xdr:rowOff>0</xdr:rowOff>
    </xdr:to>
    <xdr:sp macro="" textlink="">
      <xdr:nvSpPr>
        <xdr:cNvPr id="45" name="文字 42">
          <a:extLst>
            <a:ext uri="{FF2B5EF4-FFF2-40B4-BE49-F238E27FC236}">
              <a16:creationId xmlns:a16="http://schemas.microsoft.com/office/drawing/2014/main" xmlns="" id="{00000000-0008-0000-1500-000038000000}"/>
            </a:ext>
          </a:extLst>
        </xdr:cNvPr>
        <xdr:cNvSpPr txBox="1">
          <a:spLocks noChangeArrowheads="1"/>
        </xdr:cNvSpPr>
      </xdr:nvSpPr>
      <xdr:spPr bwMode="auto">
        <a:xfrm>
          <a:off x="475211" y="6057900"/>
          <a:ext cx="932348"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新細明體"/>
              <a:ea typeface="新細明體"/>
            </a:rPr>
            <a:t>槍砲彈藥刀  械管制條例</a:t>
          </a:r>
          <a:endParaRPr lang="zh-TW" altLang="en-US"/>
        </a:p>
      </xdr:txBody>
    </xdr:sp>
    <xdr:clientData/>
  </xdr:twoCellAnchor>
  <xdr:twoCellAnchor>
    <xdr:from>
      <xdr:col>0</xdr:col>
      <xdr:colOff>484736</xdr:colOff>
      <xdr:row>25</xdr:row>
      <xdr:rowOff>0</xdr:rowOff>
    </xdr:from>
    <xdr:to>
      <xdr:col>0</xdr:col>
      <xdr:colOff>883808</xdr:colOff>
      <xdr:row>25</xdr:row>
      <xdr:rowOff>0</xdr:rowOff>
    </xdr:to>
    <xdr:sp macro="" textlink="">
      <xdr:nvSpPr>
        <xdr:cNvPr id="46" name="文字 51">
          <a:extLst>
            <a:ext uri="{FF2B5EF4-FFF2-40B4-BE49-F238E27FC236}">
              <a16:creationId xmlns:a16="http://schemas.microsoft.com/office/drawing/2014/main" xmlns="" id="{00000000-0008-0000-1500-000039000000}"/>
            </a:ext>
          </a:extLst>
        </xdr:cNvPr>
        <xdr:cNvSpPr txBox="1">
          <a:spLocks noChangeArrowheads="1"/>
        </xdr:cNvSpPr>
      </xdr:nvSpPr>
      <xdr:spPr bwMode="auto">
        <a:xfrm>
          <a:off x="484736" y="6057900"/>
          <a:ext cx="399072"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新細明體"/>
              <a:ea typeface="新細明體"/>
            </a:rPr>
            <a:t>毒防品制危條害例</a:t>
          </a:r>
          <a:endParaRPr lang="zh-TW"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180975</xdr:colOff>
      <xdr:row>2</xdr:row>
      <xdr:rowOff>0</xdr:rowOff>
    </xdr:from>
    <xdr:to>
      <xdr:col>1</xdr:col>
      <xdr:colOff>381000</xdr:colOff>
      <xdr:row>2</xdr:row>
      <xdr:rowOff>0</xdr:rowOff>
    </xdr:to>
    <xdr:sp macro="" textlink="">
      <xdr:nvSpPr>
        <xdr:cNvPr id="2" name="Text Box 1">
          <a:extLst>
            <a:ext uri="{FF2B5EF4-FFF2-40B4-BE49-F238E27FC236}">
              <a16:creationId xmlns:a16="http://schemas.microsoft.com/office/drawing/2014/main" xmlns="" id="{D593380D-E033-4DB0-B122-7F3808320B0B}"/>
            </a:ext>
          </a:extLst>
        </xdr:cNvPr>
        <xdr:cNvSpPr txBox="1">
          <a:spLocks noChangeArrowheads="1"/>
        </xdr:cNvSpPr>
      </xdr:nvSpPr>
      <xdr:spPr bwMode="auto">
        <a:xfrm>
          <a:off x="647700" y="895350"/>
          <a:ext cx="2000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Times New Roman"/>
              <a:cs typeface="Times New Roman"/>
            </a:rPr>
            <a:t>81</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1</xdr:col>
      <xdr:colOff>600075</xdr:colOff>
      <xdr:row>2</xdr:row>
      <xdr:rowOff>0</xdr:rowOff>
    </xdr:from>
    <xdr:to>
      <xdr:col>1</xdr:col>
      <xdr:colOff>381000</xdr:colOff>
      <xdr:row>2</xdr:row>
      <xdr:rowOff>0</xdr:rowOff>
    </xdr:to>
    <xdr:sp macro="" textlink="">
      <xdr:nvSpPr>
        <xdr:cNvPr id="3" name="AutoShape 2">
          <a:extLst>
            <a:ext uri="{FF2B5EF4-FFF2-40B4-BE49-F238E27FC236}">
              <a16:creationId xmlns:a16="http://schemas.microsoft.com/office/drawing/2014/main" xmlns="" id="{624DA422-D234-40B1-9DF9-04483BF7E32D}"/>
            </a:ext>
          </a:extLst>
        </xdr:cNvPr>
        <xdr:cNvSpPr>
          <a:spLocks/>
        </xdr:cNvSpPr>
      </xdr:nvSpPr>
      <xdr:spPr bwMode="auto">
        <a:xfrm>
          <a:off x="847725" y="8953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180975</xdr:colOff>
      <xdr:row>2</xdr:row>
      <xdr:rowOff>0</xdr:rowOff>
    </xdr:from>
    <xdr:to>
      <xdr:col>1</xdr:col>
      <xdr:colOff>381000</xdr:colOff>
      <xdr:row>2</xdr:row>
      <xdr:rowOff>0</xdr:rowOff>
    </xdr:to>
    <xdr:sp macro="" textlink="">
      <xdr:nvSpPr>
        <xdr:cNvPr id="4" name="Text Box 3">
          <a:extLst>
            <a:ext uri="{FF2B5EF4-FFF2-40B4-BE49-F238E27FC236}">
              <a16:creationId xmlns:a16="http://schemas.microsoft.com/office/drawing/2014/main" xmlns="" id="{780D88FE-5EFF-4DDE-992D-946BF8A3AEE2}"/>
            </a:ext>
          </a:extLst>
        </xdr:cNvPr>
        <xdr:cNvSpPr txBox="1">
          <a:spLocks noChangeArrowheads="1"/>
        </xdr:cNvSpPr>
      </xdr:nvSpPr>
      <xdr:spPr bwMode="auto">
        <a:xfrm>
          <a:off x="647700" y="895350"/>
          <a:ext cx="2000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zh-TW" altLang="en-US" sz="1200" b="0" i="0" u="none" strike="noStrike" baseline="0">
              <a:solidFill>
                <a:srgbClr val="000000"/>
              </a:solidFill>
              <a:latin typeface="Times New Roman"/>
              <a:cs typeface="Times New Roman"/>
            </a:rPr>
            <a:t>82</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1</xdr:col>
      <xdr:colOff>600075</xdr:colOff>
      <xdr:row>2</xdr:row>
      <xdr:rowOff>0</xdr:rowOff>
    </xdr:from>
    <xdr:to>
      <xdr:col>1</xdr:col>
      <xdr:colOff>381000</xdr:colOff>
      <xdr:row>2</xdr:row>
      <xdr:rowOff>0</xdr:rowOff>
    </xdr:to>
    <xdr:sp macro="" textlink="">
      <xdr:nvSpPr>
        <xdr:cNvPr id="5" name="AutoShape 4">
          <a:extLst>
            <a:ext uri="{FF2B5EF4-FFF2-40B4-BE49-F238E27FC236}">
              <a16:creationId xmlns:a16="http://schemas.microsoft.com/office/drawing/2014/main" xmlns="" id="{BBF07AA7-BF90-492D-8A21-2B0C70A912C8}"/>
            </a:ext>
          </a:extLst>
        </xdr:cNvPr>
        <xdr:cNvSpPr>
          <a:spLocks/>
        </xdr:cNvSpPr>
      </xdr:nvSpPr>
      <xdr:spPr bwMode="auto">
        <a:xfrm>
          <a:off x="847725" y="8953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104775</xdr:colOff>
      <xdr:row>2</xdr:row>
      <xdr:rowOff>0</xdr:rowOff>
    </xdr:from>
    <xdr:to>
      <xdr:col>1</xdr:col>
      <xdr:colOff>381000</xdr:colOff>
      <xdr:row>2</xdr:row>
      <xdr:rowOff>0</xdr:rowOff>
    </xdr:to>
    <xdr:sp macro="" textlink="">
      <xdr:nvSpPr>
        <xdr:cNvPr id="6" name="Text Box 5">
          <a:extLst>
            <a:ext uri="{FF2B5EF4-FFF2-40B4-BE49-F238E27FC236}">
              <a16:creationId xmlns:a16="http://schemas.microsoft.com/office/drawing/2014/main" xmlns="" id="{161182D6-4857-47DD-B53C-051BE9989AB0}"/>
            </a:ext>
          </a:extLst>
        </xdr:cNvPr>
        <xdr:cNvSpPr txBox="1">
          <a:spLocks noChangeArrowheads="1"/>
        </xdr:cNvSpPr>
      </xdr:nvSpPr>
      <xdr:spPr bwMode="auto">
        <a:xfrm>
          <a:off x="571500" y="895350"/>
          <a:ext cx="276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zh-TW" altLang="en-US" sz="1200" b="0" i="0" u="none" strike="noStrike" baseline="0">
              <a:solidFill>
                <a:srgbClr val="000000"/>
              </a:solidFill>
              <a:latin typeface="Times New Roman"/>
              <a:cs typeface="Times New Roman"/>
            </a:rPr>
            <a:t>83</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1</xdr:col>
      <xdr:colOff>609600</xdr:colOff>
      <xdr:row>2</xdr:row>
      <xdr:rowOff>0</xdr:rowOff>
    </xdr:from>
    <xdr:to>
      <xdr:col>1</xdr:col>
      <xdr:colOff>381000</xdr:colOff>
      <xdr:row>2</xdr:row>
      <xdr:rowOff>0</xdr:rowOff>
    </xdr:to>
    <xdr:sp macro="" textlink="">
      <xdr:nvSpPr>
        <xdr:cNvPr id="7" name="AutoShape 6">
          <a:extLst>
            <a:ext uri="{FF2B5EF4-FFF2-40B4-BE49-F238E27FC236}">
              <a16:creationId xmlns:a16="http://schemas.microsoft.com/office/drawing/2014/main" xmlns="" id="{C71DE157-4E0A-45CC-AB7B-44FE94EAB566}"/>
            </a:ext>
          </a:extLst>
        </xdr:cNvPr>
        <xdr:cNvSpPr>
          <a:spLocks/>
        </xdr:cNvSpPr>
      </xdr:nvSpPr>
      <xdr:spPr bwMode="auto">
        <a:xfrm>
          <a:off x="847725" y="8953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123825</xdr:colOff>
      <xdr:row>2</xdr:row>
      <xdr:rowOff>0</xdr:rowOff>
    </xdr:from>
    <xdr:to>
      <xdr:col>1</xdr:col>
      <xdr:colOff>381000</xdr:colOff>
      <xdr:row>2</xdr:row>
      <xdr:rowOff>0</xdr:rowOff>
    </xdr:to>
    <xdr:sp macro="" textlink="">
      <xdr:nvSpPr>
        <xdr:cNvPr id="8" name="Text Box 7">
          <a:extLst>
            <a:ext uri="{FF2B5EF4-FFF2-40B4-BE49-F238E27FC236}">
              <a16:creationId xmlns:a16="http://schemas.microsoft.com/office/drawing/2014/main" xmlns="" id="{698B5926-DC4E-4CAA-8D80-7A5D9E7B5F54}"/>
            </a:ext>
          </a:extLst>
        </xdr:cNvPr>
        <xdr:cNvSpPr txBox="1">
          <a:spLocks noChangeArrowheads="1"/>
        </xdr:cNvSpPr>
      </xdr:nvSpPr>
      <xdr:spPr bwMode="auto">
        <a:xfrm>
          <a:off x="590550" y="895350"/>
          <a:ext cx="2571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zh-TW" altLang="en-US" sz="1200" b="0" i="0" u="none" strike="noStrike" baseline="0">
              <a:solidFill>
                <a:srgbClr val="000000"/>
              </a:solidFill>
              <a:latin typeface="Times New Roman"/>
              <a:cs typeface="Times New Roman"/>
            </a:rPr>
            <a:t>84</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1</xdr:col>
      <xdr:colOff>600075</xdr:colOff>
      <xdr:row>2</xdr:row>
      <xdr:rowOff>0</xdr:rowOff>
    </xdr:from>
    <xdr:to>
      <xdr:col>1</xdr:col>
      <xdr:colOff>381000</xdr:colOff>
      <xdr:row>2</xdr:row>
      <xdr:rowOff>0</xdr:rowOff>
    </xdr:to>
    <xdr:sp macro="" textlink="">
      <xdr:nvSpPr>
        <xdr:cNvPr id="9" name="AutoShape 8">
          <a:extLst>
            <a:ext uri="{FF2B5EF4-FFF2-40B4-BE49-F238E27FC236}">
              <a16:creationId xmlns:a16="http://schemas.microsoft.com/office/drawing/2014/main" xmlns="" id="{C8D17EDA-AB00-4CB2-8BE4-DD6BB99D4AD2}"/>
            </a:ext>
          </a:extLst>
        </xdr:cNvPr>
        <xdr:cNvSpPr>
          <a:spLocks/>
        </xdr:cNvSpPr>
      </xdr:nvSpPr>
      <xdr:spPr bwMode="auto">
        <a:xfrm>
          <a:off x="847725" y="8953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104775</xdr:colOff>
      <xdr:row>2</xdr:row>
      <xdr:rowOff>0</xdr:rowOff>
    </xdr:from>
    <xdr:to>
      <xdr:col>1</xdr:col>
      <xdr:colOff>381000</xdr:colOff>
      <xdr:row>2</xdr:row>
      <xdr:rowOff>0</xdr:rowOff>
    </xdr:to>
    <xdr:sp macro="" textlink="">
      <xdr:nvSpPr>
        <xdr:cNvPr id="10" name="Text Box 9">
          <a:extLst>
            <a:ext uri="{FF2B5EF4-FFF2-40B4-BE49-F238E27FC236}">
              <a16:creationId xmlns:a16="http://schemas.microsoft.com/office/drawing/2014/main" xmlns="" id="{054BBC43-E11E-4D24-94DC-ADA004033A16}"/>
            </a:ext>
          </a:extLst>
        </xdr:cNvPr>
        <xdr:cNvSpPr txBox="1">
          <a:spLocks noChangeArrowheads="1"/>
        </xdr:cNvSpPr>
      </xdr:nvSpPr>
      <xdr:spPr bwMode="auto">
        <a:xfrm>
          <a:off x="571500" y="895350"/>
          <a:ext cx="276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zh-TW" altLang="en-US" sz="1200" b="0" i="0" u="none" strike="noStrike" baseline="0">
              <a:solidFill>
                <a:srgbClr val="000000"/>
              </a:solidFill>
              <a:latin typeface="Times New Roman"/>
              <a:cs typeface="Times New Roman"/>
            </a:rPr>
            <a:t>85</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1</xdr:col>
      <xdr:colOff>104775</xdr:colOff>
      <xdr:row>2</xdr:row>
      <xdr:rowOff>0</xdr:rowOff>
    </xdr:from>
    <xdr:to>
      <xdr:col>1</xdr:col>
      <xdr:colOff>381000</xdr:colOff>
      <xdr:row>2</xdr:row>
      <xdr:rowOff>0</xdr:rowOff>
    </xdr:to>
    <xdr:sp macro="" textlink="">
      <xdr:nvSpPr>
        <xdr:cNvPr id="11" name="Text Box 10">
          <a:extLst>
            <a:ext uri="{FF2B5EF4-FFF2-40B4-BE49-F238E27FC236}">
              <a16:creationId xmlns:a16="http://schemas.microsoft.com/office/drawing/2014/main" xmlns="" id="{832EB001-2137-42C9-A6C4-3826F560B84E}"/>
            </a:ext>
          </a:extLst>
        </xdr:cNvPr>
        <xdr:cNvSpPr txBox="1">
          <a:spLocks noChangeArrowheads="1"/>
        </xdr:cNvSpPr>
      </xdr:nvSpPr>
      <xdr:spPr bwMode="auto">
        <a:xfrm>
          <a:off x="571500" y="895350"/>
          <a:ext cx="276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zh-TW" altLang="en-US" sz="1200" b="0" i="0" u="none" strike="noStrike" baseline="0">
              <a:solidFill>
                <a:srgbClr val="000000"/>
              </a:solidFill>
              <a:latin typeface="Times New Roman"/>
              <a:cs typeface="Times New Roman"/>
            </a:rPr>
            <a:t>88</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1</xdr:col>
      <xdr:colOff>104775</xdr:colOff>
      <xdr:row>2</xdr:row>
      <xdr:rowOff>0</xdr:rowOff>
    </xdr:from>
    <xdr:to>
      <xdr:col>1</xdr:col>
      <xdr:colOff>381000</xdr:colOff>
      <xdr:row>2</xdr:row>
      <xdr:rowOff>0</xdr:rowOff>
    </xdr:to>
    <xdr:sp macro="" textlink="">
      <xdr:nvSpPr>
        <xdr:cNvPr id="12" name="Text Box 11">
          <a:extLst>
            <a:ext uri="{FF2B5EF4-FFF2-40B4-BE49-F238E27FC236}">
              <a16:creationId xmlns:a16="http://schemas.microsoft.com/office/drawing/2014/main" xmlns="" id="{8EE067E7-5C9B-4400-9150-62B770188830}"/>
            </a:ext>
          </a:extLst>
        </xdr:cNvPr>
        <xdr:cNvSpPr txBox="1">
          <a:spLocks noChangeArrowheads="1"/>
        </xdr:cNvSpPr>
      </xdr:nvSpPr>
      <xdr:spPr bwMode="auto">
        <a:xfrm>
          <a:off x="571500" y="895350"/>
          <a:ext cx="276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zh-TW" altLang="en-US" sz="1200" b="0" i="0" u="none" strike="noStrike" baseline="0">
              <a:solidFill>
                <a:srgbClr val="000000"/>
              </a:solidFill>
              <a:latin typeface="Times New Roman"/>
              <a:cs typeface="Times New Roman"/>
            </a:rPr>
            <a:t>86</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1</xdr:col>
      <xdr:colOff>76200</xdr:colOff>
      <xdr:row>2</xdr:row>
      <xdr:rowOff>0</xdr:rowOff>
    </xdr:from>
    <xdr:to>
      <xdr:col>1</xdr:col>
      <xdr:colOff>381000</xdr:colOff>
      <xdr:row>2</xdr:row>
      <xdr:rowOff>0</xdr:rowOff>
    </xdr:to>
    <xdr:sp macro="" textlink="">
      <xdr:nvSpPr>
        <xdr:cNvPr id="13" name="Text Box 12">
          <a:extLst>
            <a:ext uri="{FF2B5EF4-FFF2-40B4-BE49-F238E27FC236}">
              <a16:creationId xmlns:a16="http://schemas.microsoft.com/office/drawing/2014/main" xmlns="" id="{480E221D-D707-44DA-8FB9-E6FD40320C35}"/>
            </a:ext>
          </a:extLst>
        </xdr:cNvPr>
        <xdr:cNvSpPr txBox="1">
          <a:spLocks noChangeArrowheads="1"/>
        </xdr:cNvSpPr>
      </xdr:nvSpPr>
      <xdr:spPr bwMode="auto">
        <a:xfrm>
          <a:off x="542925" y="895350"/>
          <a:ext cx="30480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zh-TW" altLang="en-US" sz="1200" b="0" i="0" u="none" strike="noStrike" baseline="0">
              <a:solidFill>
                <a:srgbClr val="000000"/>
              </a:solidFill>
              <a:latin typeface="Times New Roman"/>
              <a:cs typeface="Times New Roman"/>
            </a:rPr>
            <a:t>87</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1</xdr:col>
      <xdr:colOff>600075</xdr:colOff>
      <xdr:row>2</xdr:row>
      <xdr:rowOff>0</xdr:rowOff>
    </xdr:from>
    <xdr:to>
      <xdr:col>1</xdr:col>
      <xdr:colOff>381000</xdr:colOff>
      <xdr:row>2</xdr:row>
      <xdr:rowOff>0</xdr:rowOff>
    </xdr:to>
    <xdr:sp macro="" textlink="">
      <xdr:nvSpPr>
        <xdr:cNvPr id="14" name="AutoShape 13">
          <a:extLst>
            <a:ext uri="{FF2B5EF4-FFF2-40B4-BE49-F238E27FC236}">
              <a16:creationId xmlns:a16="http://schemas.microsoft.com/office/drawing/2014/main" xmlns="" id="{9ACBE3A6-356B-4471-B7EB-DBCF94DA6D19}"/>
            </a:ext>
          </a:extLst>
        </xdr:cNvPr>
        <xdr:cNvSpPr>
          <a:spLocks/>
        </xdr:cNvSpPr>
      </xdr:nvSpPr>
      <xdr:spPr bwMode="auto">
        <a:xfrm>
          <a:off x="847725" y="8953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600075</xdr:colOff>
      <xdr:row>2</xdr:row>
      <xdr:rowOff>0</xdr:rowOff>
    </xdr:from>
    <xdr:to>
      <xdr:col>1</xdr:col>
      <xdr:colOff>381000</xdr:colOff>
      <xdr:row>2</xdr:row>
      <xdr:rowOff>0</xdr:rowOff>
    </xdr:to>
    <xdr:sp macro="" textlink="">
      <xdr:nvSpPr>
        <xdr:cNvPr id="15" name="AutoShape 14">
          <a:extLst>
            <a:ext uri="{FF2B5EF4-FFF2-40B4-BE49-F238E27FC236}">
              <a16:creationId xmlns:a16="http://schemas.microsoft.com/office/drawing/2014/main" xmlns="" id="{FF2963E8-4E3A-4B5C-AD70-2481DF017509}"/>
            </a:ext>
          </a:extLst>
        </xdr:cNvPr>
        <xdr:cNvSpPr>
          <a:spLocks/>
        </xdr:cNvSpPr>
      </xdr:nvSpPr>
      <xdr:spPr bwMode="auto">
        <a:xfrm>
          <a:off x="847725" y="8953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600075</xdr:colOff>
      <xdr:row>2</xdr:row>
      <xdr:rowOff>0</xdr:rowOff>
    </xdr:from>
    <xdr:to>
      <xdr:col>1</xdr:col>
      <xdr:colOff>381000</xdr:colOff>
      <xdr:row>2</xdr:row>
      <xdr:rowOff>0</xdr:rowOff>
    </xdr:to>
    <xdr:sp macro="" textlink="">
      <xdr:nvSpPr>
        <xdr:cNvPr id="16" name="AutoShape 15">
          <a:extLst>
            <a:ext uri="{FF2B5EF4-FFF2-40B4-BE49-F238E27FC236}">
              <a16:creationId xmlns:a16="http://schemas.microsoft.com/office/drawing/2014/main" xmlns="" id="{819CE660-22D0-4E08-BB41-AAF86EEF78BE}"/>
            </a:ext>
          </a:extLst>
        </xdr:cNvPr>
        <xdr:cNvSpPr>
          <a:spLocks/>
        </xdr:cNvSpPr>
      </xdr:nvSpPr>
      <xdr:spPr bwMode="auto">
        <a:xfrm>
          <a:off x="847725" y="8953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600075</xdr:colOff>
      <xdr:row>2</xdr:row>
      <xdr:rowOff>0</xdr:rowOff>
    </xdr:from>
    <xdr:to>
      <xdr:col>1</xdr:col>
      <xdr:colOff>381000</xdr:colOff>
      <xdr:row>2</xdr:row>
      <xdr:rowOff>0</xdr:rowOff>
    </xdr:to>
    <xdr:sp macro="" textlink="">
      <xdr:nvSpPr>
        <xdr:cNvPr id="17" name="AutoShape 16">
          <a:extLst>
            <a:ext uri="{FF2B5EF4-FFF2-40B4-BE49-F238E27FC236}">
              <a16:creationId xmlns:a16="http://schemas.microsoft.com/office/drawing/2014/main" xmlns="" id="{59410F85-2F31-4B14-A1D7-799A908DCAB1}"/>
            </a:ext>
          </a:extLst>
        </xdr:cNvPr>
        <xdr:cNvSpPr>
          <a:spLocks/>
        </xdr:cNvSpPr>
      </xdr:nvSpPr>
      <xdr:spPr bwMode="auto">
        <a:xfrm>
          <a:off x="847725" y="8953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600075</xdr:colOff>
      <xdr:row>2</xdr:row>
      <xdr:rowOff>0</xdr:rowOff>
    </xdr:from>
    <xdr:to>
      <xdr:col>1</xdr:col>
      <xdr:colOff>381000</xdr:colOff>
      <xdr:row>2</xdr:row>
      <xdr:rowOff>0</xdr:rowOff>
    </xdr:to>
    <xdr:sp macro="" textlink="">
      <xdr:nvSpPr>
        <xdr:cNvPr id="18" name="AutoShape 17">
          <a:extLst>
            <a:ext uri="{FF2B5EF4-FFF2-40B4-BE49-F238E27FC236}">
              <a16:creationId xmlns:a16="http://schemas.microsoft.com/office/drawing/2014/main" xmlns="" id="{22A2BC4A-FE64-45F0-BA79-0723CAA823C4}"/>
            </a:ext>
          </a:extLst>
        </xdr:cNvPr>
        <xdr:cNvSpPr>
          <a:spLocks/>
        </xdr:cNvSpPr>
      </xdr:nvSpPr>
      <xdr:spPr bwMode="auto">
        <a:xfrm>
          <a:off x="847725" y="8953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600075</xdr:colOff>
      <xdr:row>2</xdr:row>
      <xdr:rowOff>0</xdr:rowOff>
    </xdr:from>
    <xdr:to>
      <xdr:col>1</xdr:col>
      <xdr:colOff>381000</xdr:colOff>
      <xdr:row>2</xdr:row>
      <xdr:rowOff>0</xdr:rowOff>
    </xdr:to>
    <xdr:sp macro="" textlink="">
      <xdr:nvSpPr>
        <xdr:cNvPr id="19" name="AutoShape 18">
          <a:extLst>
            <a:ext uri="{FF2B5EF4-FFF2-40B4-BE49-F238E27FC236}">
              <a16:creationId xmlns:a16="http://schemas.microsoft.com/office/drawing/2014/main" xmlns="" id="{850CC204-5547-4F66-9AE1-384B5C4D9A51}"/>
            </a:ext>
          </a:extLst>
        </xdr:cNvPr>
        <xdr:cNvSpPr>
          <a:spLocks/>
        </xdr:cNvSpPr>
      </xdr:nvSpPr>
      <xdr:spPr bwMode="auto">
        <a:xfrm>
          <a:off x="847725" y="8953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600075</xdr:colOff>
      <xdr:row>2</xdr:row>
      <xdr:rowOff>0</xdr:rowOff>
    </xdr:from>
    <xdr:to>
      <xdr:col>1</xdr:col>
      <xdr:colOff>381000</xdr:colOff>
      <xdr:row>2</xdr:row>
      <xdr:rowOff>0</xdr:rowOff>
    </xdr:to>
    <xdr:sp macro="" textlink="">
      <xdr:nvSpPr>
        <xdr:cNvPr id="20" name="AutoShape 19">
          <a:extLst>
            <a:ext uri="{FF2B5EF4-FFF2-40B4-BE49-F238E27FC236}">
              <a16:creationId xmlns:a16="http://schemas.microsoft.com/office/drawing/2014/main" xmlns="" id="{B20823CA-DBC0-4E93-8D38-EC7FBD48F5BE}"/>
            </a:ext>
          </a:extLst>
        </xdr:cNvPr>
        <xdr:cNvSpPr>
          <a:spLocks/>
        </xdr:cNvSpPr>
      </xdr:nvSpPr>
      <xdr:spPr bwMode="auto">
        <a:xfrm>
          <a:off x="847725" y="8953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600075</xdr:colOff>
      <xdr:row>2</xdr:row>
      <xdr:rowOff>0</xdr:rowOff>
    </xdr:from>
    <xdr:to>
      <xdr:col>1</xdr:col>
      <xdr:colOff>381000</xdr:colOff>
      <xdr:row>2</xdr:row>
      <xdr:rowOff>0</xdr:rowOff>
    </xdr:to>
    <xdr:sp macro="" textlink="">
      <xdr:nvSpPr>
        <xdr:cNvPr id="21" name="AutoShape 20">
          <a:extLst>
            <a:ext uri="{FF2B5EF4-FFF2-40B4-BE49-F238E27FC236}">
              <a16:creationId xmlns:a16="http://schemas.microsoft.com/office/drawing/2014/main" xmlns="" id="{D76C0699-6E8A-40BB-9C8E-A070287654AE}"/>
            </a:ext>
          </a:extLst>
        </xdr:cNvPr>
        <xdr:cNvSpPr>
          <a:spLocks/>
        </xdr:cNvSpPr>
      </xdr:nvSpPr>
      <xdr:spPr bwMode="auto">
        <a:xfrm>
          <a:off x="847725" y="8953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600075</xdr:colOff>
      <xdr:row>2</xdr:row>
      <xdr:rowOff>0</xdr:rowOff>
    </xdr:from>
    <xdr:to>
      <xdr:col>1</xdr:col>
      <xdr:colOff>381000</xdr:colOff>
      <xdr:row>2</xdr:row>
      <xdr:rowOff>0</xdr:rowOff>
    </xdr:to>
    <xdr:sp macro="" textlink="">
      <xdr:nvSpPr>
        <xdr:cNvPr id="22" name="AutoShape 21">
          <a:extLst>
            <a:ext uri="{FF2B5EF4-FFF2-40B4-BE49-F238E27FC236}">
              <a16:creationId xmlns:a16="http://schemas.microsoft.com/office/drawing/2014/main" xmlns="" id="{F5413792-34BF-4AA9-AA0D-9212A0CB0FBA}"/>
            </a:ext>
          </a:extLst>
        </xdr:cNvPr>
        <xdr:cNvSpPr>
          <a:spLocks/>
        </xdr:cNvSpPr>
      </xdr:nvSpPr>
      <xdr:spPr bwMode="auto">
        <a:xfrm>
          <a:off x="847725" y="8953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133350</xdr:colOff>
      <xdr:row>2</xdr:row>
      <xdr:rowOff>0</xdr:rowOff>
    </xdr:from>
    <xdr:to>
      <xdr:col>1</xdr:col>
      <xdr:colOff>381000</xdr:colOff>
      <xdr:row>2</xdr:row>
      <xdr:rowOff>0</xdr:rowOff>
    </xdr:to>
    <xdr:sp macro="" textlink="">
      <xdr:nvSpPr>
        <xdr:cNvPr id="23" name="Text Box 23">
          <a:extLst>
            <a:ext uri="{FF2B5EF4-FFF2-40B4-BE49-F238E27FC236}">
              <a16:creationId xmlns:a16="http://schemas.microsoft.com/office/drawing/2014/main" xmlns="" id="{A32057A5-55BD-4DD6-974E-28E364F09C49}"/>
            </a:ext>
          </a:extLst>
        </xdr:cNvPr>
        <xdr:cNvSpPr txBox="1">
          <a:spLocks noChangeArrowheads="1"/>
        </xdr:cNvSpPr>
      </xdr:nvSpPr>
      <xdr:spPr bwMode="auto">
        <a:xfrm>
          <a:off x="600075" y="895350"/>
          <a:ext cx="247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zh-TW" altLang="en-US" sz="1200" b="0" i="0" u="none" strike="noStrike" baseline="0">
              <a:solidFill>
                <a:srgbClr val="000000"/>
              </a:solidFill>
              <a:latin typeface="Times New Roman"/>
              <a:cs typeface="Times New Roman"/>
            </a:rPr>
            <a:t>89</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1</xdr:col>
      <xdr:colOff>104775</xdr:colOff>
      <xdr:row>2</xdr:row>
      <xdr:rowOff>0</xdr:rowOff>
    </xdr:from>
    <xdr:to>
      <xdr:col>1</xdr:col>
      <xdr:colOff>381000</xdr:colOff>
      <xdr:row>2</xdr:row>
      <xdr:rowOff>0</xdr:rowOff>
    </xdr:to>
    <xdr:sp macro="" textlink="">
      <xdr:nvSpPr>
        <xdr:cNvPr id="24" name="Text Box 24">
          <a:extLst>
            <a:ext uri="{FF2B5EF4-FFF2-40B4-BE49-F238E27FC236}">
              <a16:creationId xmlns:a16="http://schemas.microsoft.com/office/drawing/2014/main" xmlns="" id="{9B6171B0-F774-4EDB-9F2A-2AEB6A29A8FF}"/>
            </a:ext>
          </a:extLst>
        </xdr:cNvPr>
        <xdr:cNvSpPr txBox="1">
          <a:spLocks noChangeArrowheads="1"/>
        </xdr:cNvSpPr>
      </xdr:nvSpPr>
      <xdr:spPr bwMode="auto">
        <a:xfrm>
          <a:off x="571500" y="895350"/>
          <a:ext cx="276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zh-TW" altLang="en-US" sz="1200" b="0" i="0" u="none" strike="noStrike" baseline="0">
              <a:solidFill>
                <a:srgbClr val="000000"/>
              </a:solidFill>
              <a:latin typeface="Times New Roman"/>
              <a:cs typeface="Times New Roman"/>
            </a:rPr>
            <a:t>90</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1</xdr:col>
      <xdr:colOff>104775</xdr:colOff>
      <xdr:row>2</xdr:row>
      <xdr:rowOff>0</xdr:rowOff>
    </xdr:from>
    <xdr:to>
      <xdr:col>1</xdr:col>
      <xdr:colOff>381000</xdr:colOff>
      <xdr:row>2</xdr:row>
      <xdr:rowOff>0</xdr:rowOff>
    </xdr:to>
    <xdr:sp macro="" textlink="">
      <xdr:nvSpPr>
        <xdr:cNvPr id="25" name="Text Box 25">
          <a:extLst>
            <a:ext uri="{FF2B5EF4-FFF2-40B4-BE49-F238E27FC236}">
              <a16:creationId xmlns:a16="http://schemas.microsoft.com/office/drawing/2014/main" xmlns="" id="{37F5A658-06A6-421C-AA5C-2250E613D144}"/>
            </a:ext>
          </a:extLst>
        </xdr:cNvPr>
        <xdr:cNvSpPr txBox="1">
          <a:spLocks noChangeArrowheads="1"/>
        </xdr:cNvSpPr>
      </xdr:nvSpPr>
      <xdr:spPr bwMode="auto">
        <a:xfrm>
          <a:off x="571500" y="895350"/>
          <a:ext cx="276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zh-TW" altLang="en-US" sz="1200" b="0" i="0" u="none" strike="noStrike" baseline="0">
              <a:solidFill>
                <a:srgbClr val="000000"/>
              </a:solidFill>
              <a:latin typeface="Times New Roman"/>
              <a:cs typeface="Times New Roman"/>
            </a:rPr>
            <a:t>91</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1</xdr:col>
      <xdr:colOff>104775</xdr:colOff>
      <xdr:row>2</xdr:row>
      <xdr:rowOff>0</xdr:rowOff>
    </xdr:from>
    <xdr:to>
      <xdr:col>1</xdr:col>
      <xdr:colOff>381000</xdr:colOff>
      <xdr:row>2</xdr:row>
      <xdr:rowOff>0</xdr:rowOff>
    </xdr:to>
    <xdr:sp macro="" textlink="">
      <xdr:nvSpPr>
        <xdr:cNvPr id="26" name="Text Box 26">
          <a:extLst>
            <a:ext uri="{FF2B5EF4-FFF2-40B4-BE49-F238E27FC236}">
              <a16:creationId xmlns:a16="http://schemas.microsoft.com/office/drawing/2014/main" xmlns="" id="{2C9D6E39-A018-4BC2-9059-7FD28E0B33E3}"/>
            </a:ext>
          </a:extLst>
        </xdr:cNvPr>
        <xdr:cNvSpPr txBox="1">
          <a:spLocks noChangeArrowheads="1"/>
        </xdr:cNvSpPr>
      </xdr:nvSpPr>
      <xdr:spPr bwMode="auto">
        <a:xfrm>
          <a:off x="571500" y="895350"/>
          <a:ext cx="276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zh-TW" altLang="en-US" sz="1200" b="0" i="0" u="none" strike="noStrike" baseline="0">
              <a:solidFill>
                <a:srgbClr val="000000"/>
              </a:solidFill>
              <a:latin typeface="Times New Roman"/>
              <a:cs typeface="Times New Roman"/>
            </a:rPr>
            <a:t>92</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1</xdr:col>
      <xdr:colOff>600075</xdr:colOff>
      <xdr:row>22</xdr:row>
      <xdr:rowOff>0</xdr:rowOff>
    </xdr:from>
    <xdr:to>
      <xdr:col>1</xdr:col>
      <xdr:colOff>381000</xdr:colOff>
      <xdr:row>22</xdr:row>
      <xdr:rowOff>0</xdr:rowOff>
    </xdr:to>
    <xdr:sp macro="" textlink="">
      <xdr:nvSpPr>
        <xdr:cNvPr id="27" name="AutoShape 32">
          <a:extLst>
            <a:ext uri="{FF2B5EF4-FFF2-40B4-BE49-F238E27FC236}">
              <a16:creationId xmlns:a16="http://schemas.microsoft.com/office/drawing/2014/main" xmlns="" id="{C973CF8A-B4FF-4C62-A14C-70A05A9ECF88}"/>
            </a:ext>
          </a:extLst>
        </xdr:cNvPr>
        <xdr:cNvSpPr>
          <a:spLocks/>
        </xdr:cNvSpPr>
      </xdr:nvSpPr>
      <xdr:spPr bwMode="auto">
        <a:xfrm>
          <a:off x="847725" y="54673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180975</xdr:colOff>
      <xdr:row>3</xdr:row>
      <xdr:rowOff>0</xdr:rowOff>
    </xdr:from>
    <xdr:to>
      <xdr:col>0</xdr:col>
      <xdr:colOff>390525</xdr:colOff>
      <xdr:row>3</xdr:row>
      <xdr:rowOff>0</xdr:rowOff>
    </xdr:to>
    <xdr:sp macro="" textlink="">
      <xdr:nvSpPr>
        <xdr:cNvPr id="2" name="Text Box 1">
          <a:extLst>
            <a:ext uri="{FF2B5EF4-FFF2-40B4-BE49-F238E27FC236}">
              <a16:creationId xmlns:a16="http://schemas.microsoft.com/office/drawing/2014/main" xmlns="" id="{A388E9E7-FA8B-41AB-BD58-D27A352C61B7}"/>
            </a:ext>
          </a:extLst>
        </xdr:cNvPr>
        <xdr:cNvSpPr txBox="1">
          <a:spLocks noChangeArrowheads="1"/>
        </xdr:cNvSpPr>
      </xdr:nvSpPr>
      <xdr:spPr bwMode="auto">
        <a:xfrm>
          <a:off x="180975" y="1143000"/>
          <a:ext cx="2095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Times New Roman"/>
              <a:cs typeface="Times New Roman"/>
            </a:rPr>
            <a:t>81</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600075</xdr:colOff>
      <xdr:row>3</xdr:row>
      <xdr:rowOff>0</xdr:rowOff>
    </xdr:from>
    <xdr:to>
      <xdr:col>0</xdr:col>
      <xdr:colOff>390525</xdr:colOff>
      <xdr:row>3</xdr:row>
      <xdr:rowOff>0</xdr:rowOff>
    </xdr:to>
    <xdr:sp macro="" textlink="">
      <xdr:nvSpPr>
        <xdr:cNvPr id="3" name="AutoShape 2">
          <a:extLst>
            <a:ext uri="{FF2B5EF4-FFF2-40B4-BE49-F238E27FC236}">
              <a16:creationId xmlns:a16="http://schemas.microsoft.com/office/drawing/2014/main" xmlns="" id="{7EDCA525-7D91-4E8D-9316-34D9EEC4E286}"/>
            </a:ext>
          </a:extLst>
        </xdr:cNvPr>
        <xdr:cNvSpPr>
          <a:spLocks/>
        </xdr:cNvSpPr>
      </xdr:nvSpPr>
      <xdr:spPr bwMode="auto">
        <a:xfrm>
          <a:off x="495300" y="11430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66675</xdr:colOff>
      <xdr:row>3</xdr:row>
      <xdr:rowOff>0</xdr:rowOff>
    </xdr:from>
    <xdr:to>
      <xdr:col>0</xdr:col>
      <xdr:colOff>390525</xdr:colOff>
      <xdr:row>3</xdr:row>
      <xdr:rowOff>0</xdr:rowOff>
    </xdr:to>
    <xdr:sp macro="" textlink="">
      <xdr:nvSpPr>
        <xdr:cNvPr id="4" name="Text Box 3">
          <a:extLst>
            <a:ext uri="{FF2B5EF4-FFF2-40B4-BE49-F238E27FC236}">
              <a16:creationId xmlns:a16="http://schemas.microsoft.com/office/drawing/2014/main" xmlns="" id="{4250492F-F06C-4EA0-B376-6874DA5166A7}"/>
            </a:ext>
          </a:extLst>
        </xdr:cNvPr>
        <xdr:cNvSpPr txBox="1">
          <a:spLocks noChangeArrowheads="1"/>
        </xdr:cNvSpPr>
      </xdr:nvSpPr>
      <xdr:spPr bwMode="auto">
        <a:xfrm>
          <a:off x="66675" y="1143000"/>
          <a:ext cx="3238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ctr" rtl="0">
            <a:defRPr sz="1000"/>
          </a:pPr>
          <a:r>
            <a:rPr lang="zh-TW" altLang="en-US" sz="1200" b="0" i="0" u="none" strike="noStrike" baseline="0">
              <a:solidFill>
                <a:srgbClr val="000000"/>
              </a:solidFill>
              <a:latin typeface="Times New Roman"/>
              <a:cs typeface="Times New Roman"/>
            </a:rPr>
            <a:t>82</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600075</xdr:colOff>
      <xdr:row>3</xdr:row>
      <xdr:rowOff>0</xdr:rowOff>
    </xdr:from>
    <xdr:to>
      <xdr:col>0</xdr:col>
      <xdr:colOff>390525</xdr:colOff>
      <xdr:row>3</xdr:row>
      <xdr:rowOff>0</xdr:rowOff>
    </xdr:to>
    <xdr:sp macro="" textlink="">
      <xdr:nvSpPr>
        <xdr:cNvPr id="5" name="AutoShape 4">
          <a:extLst>
            <a:ext uri="{FF2B5EF4-FFF2-40B4-BE49-F238E27FC236}">
              <a16:creationId xmlns:a16="http://schemas.microsoft.com/office/drawing/2014/main" xmlns="" id="{200DBACF-998D-4EEC-8526-C324CC4DF471}"/>
            </a:ext>
          </a:extLst>
        </xdr:cNvPr>
        <xdr:cNvSpPr>
          <a:spLocks/>
        </xdr:cNvSpPr>
      </xdr:nvSpPr>
      <xdr:spPr bwMode="auto">
        <a:xfrm>
          <a:off x="495300" y="11430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76200</xdr:colOff>
      <xdr:row>3</xdr:row>
      <xdr:rowOff>0</xdr:rowOff>
    </xdr:from>
    <xdr:to>
      <xdr:col>0</xdr:col>
      <xdr:colOff>390525</xdr:colOff>
      <xdr:row>3</xdr:row>
      <xdr:rowOff>0</xdr:rowOff>
    </xdr:to>
    <xdr:sp macro="" textlink="">
      <xdr:nvSpPr>
        <xdr:cNvPr id="6" name="Text Box 5">
          <a:extLst>
            <a:ext uri="{FF2B5EF4-FFF2-40B4-BE49-F238E27FC236}">
              <a16:creationId xmlns:a16="http://schemas.microsoft.com/office/drawing/2014/main" xmlns="" id="{CB84D68C-B84C-4578-AFB9-5A0F74FCF617}"/>
            </a:ext>
          </a:extLst>
        </xdr:cNvPr>
        <xdr:cNvSpPr txBox="1">
          <a:spLocks noChangeArrowheads="1"/>
        </xdr:cNvSpPr>
      </xdr:nvSpPr>
      <xdr:spPr bwMode="auto">
        <a:xfrm>
          <a:off x="76200" y="1143000"/>
          <a:ext cx="3143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ctr" rtl="0">
            <a:defRPr sz="1000"/>
          </a:pPr>
          <a:r>
            <a:rPr lang="zh-TW" altLang="en-US" sz="1200" b="0" i="0" u="none" strike="noStrike" baseline="0">
              <a:solidFill>
                <a:srgbClr val="000000"/>
              </a:solidFill>
              <a:latin typeface="Times New Roman"/>
              <a:cs typeface="Times New Roman"/>
            </a:rPr>
            <a:t>83</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600075</xdr:colOff>
      <xdr:row>3</xdr:row>
      <xdr:rowOff>0</xdr:rowOff>
    </xdr:from>
    <xdr:to>
      <xdr:col>0</xdr:col>
      <xdr:colOff>390525</xdr:colOff>
      <xdr:row>3</xdr:row>
      <xdr:rowOff>0</xdr:rowOff>
    </xdr:to>
    <xdr:sp macro="" textlink="">
      <xdr:nvSpPr>
        <xdr:cNvPr id="7" name="AutoShape 6">
          <a:extLst>
            <a:ext uri="{FF2B5EF4-FFF2-40B4-BE49-F238E27FC236}">
              <a16:creationId xmlns:a16="http://schemas.microsoft.com/office/drawing/2014/main" xmlns="" id="{FDB29AE0-1869-42BA-9393-46958A021146}"/>
            </a:ext>
          </a:extLst>
        </xdr:cNvPr>
        <xdr:cNvSpPr>
          <a:spLocks/>
        </xdr:cNvSpPr>
      </xdr:nvSpPr>
      <xdr:spPr bwMode="auto">
        <a:xfrm>
          <a:off x="495300" y="11430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76200</xdr:colOff>
      <xdr:row>3</xdr:row>
      <xdr:rowOff>0</xdr:rowOff>
    </xdr:from>
    <xdr:to>
      <xdr:col>0</xdr:col>
      <xdr:colOff>390525</xdr:colOff>
      <xdr:row>3</xdr:row>
      <xdr:rowOff>0</xdr:rowOff>
    </xdr:to>
    <xdr:sp macro="" textlink="">
      <xdr:nvSpPr>
        <xdr:cNvPr id="8" name="Text Box 7">
          <a:extLst>
            <a:ext uri="{FF2B5EF4-FFF2-40B4-BE49-F238E27FC236}">
              <a16:creationId xmlns:a16="http://schemas.microsoft.com/office/drawing/2014/main" xmlns="" id="{C1E83C92-5FC6-4884-8A9A-3B9F2619181C}"/>
            </a:ext>
          </a:extLst>
        </xdr:cNvPr>
        <xdr:cNvSpPr txBox="1">
          <a:spLocks noChangeArrowheads="1"/>
        </xdr:cNvSpPr>
      </xdr:nvSpPr>
      <xdr:spPr bwMode="auto">
        <a:xfrm>
          <a:off x="76200" y="1143000"/>
          <a:ext cx="3143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ctr" rtl="0">
            <a:defRPr sz="1000"/>
          </a:pPr>
          <a:r>
            <a:rPr lang="zh-TW" altLang="en-US" sz="1200" b="0" i="0" u="none" strike="noStrike" baseline="0">
              <a:solidFill>
                <a:srgbClr val="000000"/>
              </a:solidFill>
              <a:latin typeface="Times New Roman"/>
              <a:cs typeface="Times New Roman"/>
            </a:rPr>
            <a:t>84</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600075</xdr:colOff>
      <xdr:row>3</xdr:row>
      <xdr:rowOff>0</xdr:rowOff>
    </xdr:from>
    <xdr:to>
      <xdr:col>0</xdr:col>
      <xdr:colOff>390525</xdr:colOff>
      <xdr:row>3</xdr:row>
      <xdr:rowOff>0</xdr:rowOff>
    </xdr:to>
    <xdr:sp macro="" textlink="">
      <xdr:nvSpPr>
        <xdr:cNvPr id="9" name="AutoShape 8">
          <a:extLst>
            <a:ext uri="{FF2B5EF4-FFF2-40B4-BE49-F238E27FC236}">
              <a16:creationId xmlns:a16="http://schemas.microsoft.com/office/drawing/2014/main" xmlns="" id="{07C0F0D5-AF67-4756-BC87-2CD4EA11A41F}"/>
            </a:ext>
          </a:extLst>
        </xdr:cNvPr>
        <xdr:cNvSpPr>
          <a:spLocks/>
        </xdr:cNvSpPr>
      </xdr:nvSpPr>
      <xdr:spPr bwMode="auto">
        <a:xfrm>
          <a:off x="495300" y="11430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95250</xdr:colOff>
      <xdr:row>3</xdr:row>
      <xdr:rowOff>0</xdr:rowOff>
    </xdr:from>
    <xdr:to>
      <xdr:col>0</xdr:col>
      <xdr:colOff>390525</xdr:colOff>
      <xdr:row>3</xdr:row>
      <xdr:rowOff>0</xdr:rowOff>
    </xdr:to>
    <xdr:sp macro="" textlink="">
      <xdr:nvSpPr>
        <xdr:cNvPr id="10" name="Text Box 9">
          <a:extLst>
            <a:ext uri="{FF2B5EF4-FFF2-40B4-BE49-F238E27FC236}">
              <a16:creationId xmlns:a16="http://schemas.microsoft.com/office/drawing/2014/main" xmlns="" id="{B0356FD9-B812-47AB-B718-62E5B8CA4D55}"/>
            </a:ext>
          </a:extLst>
        </xdr:cNvPr>
        <xdr:cNvSpPr txBox="1">
          <a:spLocks noChangeArrowheads="1"/>
        </xdr:cNvSpPr>
      </xdr:nvSpPr>
      <xdr:spPr bwMode="auto">
        <a:xfrm>
          <a:off x="95250" y="1143000"/>
          <a:ext cx="2952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ctr" rtl="0">
            <a:defRPr sz="1000"/>
          </a:pPr>
          <a:r>
            <a:rPr lang="zh-TW" altLang="en-US" sz="1200" b="0" i="0" u="none" strike="noStrike" baseline="0">
              <a:solidFill>
                <a:srgbClr val="000000"/>
              </a:solidFill>
              <a:latin typeface="Times New Roman"/>
              <a:cs typeface="Times New Roman"/>
            </a:rPr>
            <a:t>85</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600075</xdr:colOff>
      <xdr:row>3</xdr:row>
      <xdr:rowOff>0</xdr:rowOff>
    </xdr:from>
    <xdr:to>
      <xdr:col>0</xdr:col>
      <xdr:colOff>390525</xdr:colOff>
      <xdr:row>3</xdr:row>
      <xdr:rowOff>0</xdr:rowOff>
    </xdr:to>
    <xdr:sp macro="" textlink="">
      <xdr:nvSpPr>
        <xdr:cNvPr id="11" name="AutoShape 10">
          <a:extLst>
            <a:ext uri="{FF2B5EF4-FFF2-40B4-BE49-F238E27FC236}">
              <a16:creationId xmlns:a16="http://schemas.microsoft.com/office/drawing/2014/main" xmlns="" id="{7C21989A-C817-4FCC-964D-A9E0AC8C759B}"/>
            </a:ext>
          </a:extLst>
        </xdr:cNvPr>
        <xdr:cNvSpPr>
          <a:spLocks/>
        </xdr:cNvSpPr>
      </xdr:nvSpPr>
      <xdr:spPr bwMode="auto">
        <a:xfrm>
          <a:off x="495300" y="11430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57150</xdr:colOff>
      <xdr:row>3</xdr:row>
      <xdr:rowOff>0</xdr:rowOff>
    </xdr:from>
    <xdr:to>
      <xdr:col>0</xdr:col>
      <xdr:colOff>390525</xdr:colOff>
      <xdr:row>3</xdr:row>
      <xdr:rowOff>0</xdr:rowOff>
    </xdr:to>
    <xdr:sp macro="" textlink="">
      <xdr:nvSpPr>
        <xdr:cNvPr id="12" name="Text Box 11">
          <a:extLst>
            <a:ext uri="{FF2B5EF4-FFF2-40B4-BE49-F238E27FC236}">
              <a16:creationId xmlns:a16="http://schemas.microsoft.com/office/drawing/2014/main" xmlns="" id="{58120E3C-F6B4-4190-B308-31623981F3A1}"/>
            </a:ext>
          </a:extLst>
        </xdr:cNvPr>
        <xdr:cNvSpPr txBox="1">
          <a:spLocks noChangeArrowheads="1"/>
        </xdr:cNvSpPr>
      </xdr:nvSpPr>
      <xdr:spPr bwMode="auto">
        <a:xfrm>
          <a:off x="57150" y="1143000"/>
          <a:ext cx="3333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ctr" rtl="0">
            <a:defRPr sz="1000"/>
          </a:pPr>
          <a:r>
            <a:rPr lang="zh-TW" altLang="en-US" sz="1200" b="0" i="0" u="none" strike="noStrike" baseline="0">
              <a:solidFill>
                <a:srgbClr val="000000"/>
              </a:solidFill>
              <a:latin typeface="Times New Roman"/>
              <a:cs typeface="Times New Roman"/>
            </a:rPr>
            <a:t>86</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600075</xdr:colOff>
      <xdr:row>3</xdr:row>
      <xdr:rowOff>0</xdr:rowOff>
    </xdr:from>
    <xdr:to>
      <xdr:col>0</xdr:col>
      <xdr:colOff>390525</xdr:colOff>
      <xdr:row>3</xdr:row>
      <xdr:rowOff>0</xdr:rowOff>
    </xdr:to>
    <xdr:sp macro="" textlink="">
      <xdr:nvSpPr>
        <xdr:cNvPr id="13" name="AutoShape 12">
          <a:extLst>
            <a:ext uri="{FF2B5EF4-FFF2-40B4-BE49-F238E27FC236}">
              <a16:creationId xmlns:a16="http://schemas.microsoft.com/office/drawing/2014/main" xmlns="" id="{33D8FF38-D706-44E1-B4C1-959C499DEB5C}"/>
            </a:ext>
          </a:extLst>
        </xdr:cNvPr>
        <xdr:cNvSpPr>
          <a:spLocks/>
        </xdr:cNvSpPr>
      </xdr:nvSpPr>
      <xdr:spPr bwMode="auto">
        <a:xfrm>
          <a:off x="495300" y="11430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600075</xdr:colOff>
      <xdr:row>3</xdr:row>
      <xdr:rowOff>0</xdr:rowOff>
    </xdr:from>
    <xdr:to>
      <xdr:col>0</xdr:col>
      <xdr:colOff>390525</xdr:colOff>
      <xdr:row>3</xdr:row>
      <xdr:rowOff>0</xdr:rowOff>
    </xdr:to>
    <xdr:sp macro="" textlink="">
      <xdr:nvSpPr>
        <xdr:cNvPr id="14" name="AutoShape 13">
          <a:extLst>
            <a:ext uri="{FF2B5EF4-FFF2-40B4-BE49-F238E27FC236}">
              <a16:creationId xmlns:a16="http://schemas.microsoft.com/office/drawing/2014/main" xmlns="" id="{B2F58A47-F4F7-494A-BACD-21F0E472334C}"/>
            </a:ext>
          </a:extLst>
        </xdr:cNvPr>
        <xdr:cNvSpPr>
          <a:spLocks/>
        </xdr:cNvSpPr>
      </xdr:nvSpPr>
      <xdr:spPr bwMode="auto">
        <a:xfrm>
          <a:off x="495300" y="11430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104775</xdr:colOff>
      <xdr:row>3</xdr:row>
      <xdr:rowOff>0</xdr:rowOff>
    </xdr:from>
    <xdr:to>
      <xdr:col>0</xdr:col>
      <xdr:colOff>390525</xdr:colOff>
      <xdr:row>3</xdr:row>
      <xdr:rowOff>0</xdr:rowOff>
    </xdr:to>
    <xdr:sp macro="" textlink="">
      <xdr:nvSpPr>
        <xdr:cNvPr id="15" name="Text Box 14">
          <a:extLst>
            <a:ext uri="{FF2B5EF4-FFF2-40B4-BE49-F238E27FC236}">
              <a16:creationId xmlns:a16="http://schemas.microsoft.com/office/drawing/2014/main" xmlns="" id="{3AA25277-52B8-400E-8FEA-B0B4A445AE80}"/>
            </a:ext>
          </a:extLst>
        </xdr:cNvPr>
        <xdr:cNvSpPr txBox="1">
          <a:spLocks noChangeArrowheads="1"/>
        </xdr:cNvSpPr>
      </xdr:nvSpPr>
      <xdr:spPr bwMode="auto">
        <a:xfrm>
          <a:off x="104775" y="1143000"/>
          <a:ext cx="285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ctr" rtl="0">
            <a:defRPr sz="1000"/>
          </a:pPr>
          <a:r>
            <a:rPr lang="zh-TW" altLang="en-US" sz="1200" b="0" i="0" u="none" strike="noStrike" baseline="0">
              <a:solidFill>
                <a:srgbClr val="000000"/>
              </a:solidFill>
              <a:latin typeface="Times New Roman"/>
              <a:cs typeface="Times New Roman"/>
            </a:rPr>
            <a:t>88</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600075</xdr:colOff>
      <xdr:row>3</xdr:row>
      <xdr:rowOff>0</xdr:rowOff>
    </xdr:from>
    <xdr:to>
      <xdr:col>0</xdr:col>
      <xdr:colOff>390525</xdr:colOff>
      <xdr:row>3</xdr:row>
      <xdr:rowOff>0</xdr:rowOff>
    </xdr:to>
    <xdr:sp macro="" textlink="">
      <xdr:nvSpPr>
        <xdr:cNvPr id="16" name="AutoShape 15">
          <a:extLst>
            <a:ext uri="{FF2B5EF4-FFF2-40B4-BE49-F238E27FC236}">
              <a16:creationId xmlns:a16="http://schemas.microsoft.com/office/drawing/2014/main" xmlns="" id="{CF8F4CD2-69C5-4806-8BB6-D8D946340383}"/>
            </a:ext>
          </a:extLst>
        </xdr:cNvPr>
        <xdr:cNvSpPr>
          <a:spLocks/>
        </xdr:cNvSpPr>
      </xdr:nvSpPr>
      <xdr:spPr bwMode="auto">
        <a:xfrm>
          <a:off x="495300" y="11430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95250</xdr:colOff>
      <xdr:row>3</xdr:row>
      <xdr:rowOff>0</xdr:rowOff>
    </xdr:from>
    <xdr:to>
      <xdr:col>0</xdr:col>
      <xdr:colOff>390525</xdr:colOff>
      <xdr:row>3</xdr:row>
      <xdr:rowOff>0</xdr:rowOff>
    </xdr:to>
    <xdr:sp macro="" textlink="">
      <xdr:nvSpPr>
        <xdr:cNvPr id="17" name="Text Box 16">
          <a:extLst>
            <a:ext uri="{FF2B5EF4-FFF2-40B4-BE49-F238E27FC236}">
              <a16:creationId xmlns:a16="http://schemas.microsoft.com/office/drawing/2014/main" xmlns="" id="{A3620BB7-5C9F-4CCD-9ED4-48A6C7446C97}"/>
            </a:ext>
          </a:extLst>
        </xdr:cNvPr>
        <xdr:cNvSpPr txBox="1">
          <a:spLocks noChangeArrowheads="1"/>
        </xdr:cNvSpPr>
      </xdr:nvSpPr>
      <xdr:spPr bwMode="auto">
        <a:xfrm>
          <a:off x="95250" y="1143000"/>
          <a:ext cx="2952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ctr" rtl="0">
            <a:defRPr sz="1000"/>
          </a:pPr>
          <a:r>
            <a:rPr lang="zh-TW" altLang="en-US" sz="1200" b="0" i="0" u="none" strike="noStrike" baseline="0">
              <a:solidFill>
                <a:srgbClr val="000000"/>
              </a:solidFill>
              <a:latin typeface="Times New Roman"/>
              <a:cs typeface="Times New Roman"/>
            </a:rPr>
            <a:t>87</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600075</xdr:colOff>
      <xdr:row>3</xdr:row>
      <xdr:rowOff>0</xdr:rowOff>
    </xdr:from>
    <xdr:to>
      <xdr:col>0</xdr:col>
      <xdr:colOff>390525</xdr:colOff>
      <xdr:row>3</xdr:row>
      <xdr:rowOff>0</xdr:rowOff>
    </xdr:to>
    <xdr:sp macro="" textlink="">
      <xdr:nvSpPr>
        <xdr:cNvPr id="18" name="AutoShape 17">
          <a:extLst>
            <a:ext uri="{FF2B5EF4-FFF2-40B4-BE49-F238E27FC236}">
              <a16:creationId xmlns:a16="http://schemas.microsoft.com/office/drawing/2014/main" xmlns="" id="{19E26215-96FF-440E-9C2A-ADEF27B6C6B3}"/>
            </a:ext>
          </a:extLst>
        </xdr:cNvPr>
        <xdr:cNvSpPr>
          <a:spLocks/>
        </xdr:cNvSpPr>
      </xdr:nvSpPr>
      <xdr:spPr bwMode="auto">
        <a:xfrm>
          <a:off x="495300" y="11430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609600</xdr:colOff>
      <xdr:row>3</xdr:row>
      <xdr:rowOff>0</xdr:rowOff>
    </xdr:from>
    <xdr:to>
      <xdr:col>0</xdr:col>
      <xdr:colOff>390525</xdr:colOff>
      <xdr:row>3</xdr:row>
      <xdr:rowOff>0</xdr:rowOff>
    </xdr:to>
    <xdr:sp macro="" textlink="">
      <xdr:nvSpPr>
        <xdr:cNvPr id="19" name="AutoShape 18">
          <a:extLst>
            <a:ext uri="{FF2B5EF4-FFF2-40B4-BE49-F238E27FC236}">
              <a16:creationId xmlns:a16="http://schemas.microsoft.com/office/drawing/2014/main" xmlns="" id="{51EDA9AF-4ACF-4392-B425-FD7105EF4C05}"/>
            </a:ext>
          </a:extLst>
        </xdr:cNvPr>
        <xdr:cNvSpPr>
          <a:spLocks/>
        </xdr:cNvSpPr>
      </xdr:nvSpPr>
      <xdr:spPr bwMode="auto">
        <a:xfrm>
          <a:off x="495300" y="11430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104775</xdr:colOff>
      <xdr:row>3</xdr:row>
      <xdr:rowOff>0</xdr:rowOff>
    </xdr:from>
    <xdr:to>
      <xdr:col>0</xdr:col>
      <xdr:colOff>390525</xdr:colOff>
      <xdr:row>3</xdr:row>
      <xdr:rowOff>0</xdr:rowOff>
    </xdr:to>
    <xdr:sp macro="" textlink="">
      <xdr:nvSpPr>
        <xdr:cNvPr id="20" name="Text Box 19">
          <a:extLst>
            <a:ext uri="{FF2B5EF4-FFF2-40B4-BE49-F238E27FC236}">
              <a16:creationId xmlns:a16="http://schemas.microsoft.com/office/drawing/2014/main" xmlns="" id="{7D0C725D-10F7-428B-807D-820F682C7BA6}"/>
            </a:ext>
          </a:extLst>
        </xdr:cNvPr>
        <xdr:cNvSpPr txBox="1">
          <a:spLocks noChangeArrowheads="1"/>
        </xdr:cNvSpPr>
      </xdr:nvSpPr>
      <xdr:spPr bwMode="auto">
        <a:xfrm>
          <a:off x="104775" y="1143000"/>
          <a:ext cx="285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ctr" rtl="0">
            <a:defRPr sz="1000"/>
          </a:pPr>
          <a:r>
            <a:rPr lang="zh-TW" altLang="en-US" sz="1200" b="0" i="0" u="none" strike="noStrike" baseline="0">
              <a:solidFill>
                <a:srgbClr val="000000"/>
              </a:solidFill>
              <a:latin typeface="Times New Roman"/>
              <a:cs typeface="Times New Roman"/>
            </a:rPr>
            <a:t>92</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609600</xdr:colOff>
      <xdr:row>3</xdr:row>
      <xdr:rowOff>0</xdr:rowOff>
    </xdr:from>
    <xdr:to>
      <xdr:col>0</xdr:col>
      <xdr:colOff>390525</xdr:colOff>
      <xdr:row>3</xdr:row>
      <xdr:rowOff>0</xdr:rowOff>
    </xdr:to>
    <xdr:sp macro="" textlink="">
      <xdr:nvSpPr>
        <xdr:cNvPr id="21" name="AutoShape 20">
          <a:extLst>
            <a:ext uri="{FF2B5EF4-FFF2-40B4-BE49-F238E27FC236}">
              <a16:creationId xmlns:a16="http://schemas.microsoft.com/office/drawing/2014/main" xmlns="" id="{9FD11B2D-42C4-4830-A40A-CD4D48CF16FB}"/>
            </a:ext>
          </a:extLst>
        </xdr:cNvPr>
        <xdr:cNvSpPr>
          <a:spLocks/>
        </xdr:cNvSpPr>
      </xdr:nvSpPr>
      <xdr:spPr bwMode="auto">
        <a:xfrm>
          <a:off x="495300" y="11430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104775</xdr:colOff>
      <xdr:row>3</xdr:row>
      <xdr:rowOff>0</xdr:rowOff>
    </xdr:from>
    <xdr:to>
      <xdr:col>0</xdr:col>
      <xdr:colOff>390525</xdr:colOff>
      <xdr:row>3</xdr:row>
      <xdr:rowOff>0</xdr:rowOff>
    </xdr:to>
    <xdr:sp macro="" textlink="">
      <xdr:nvSpPr>
        <xdr:cNvPr id="22" name="Text Box 21">
          <a:extLst>
            <a:ext uri="{FF2B5EF4-FFF2-40B4-BE49-F238E27FC236}">
              <a16:creationId xmlns:a16="http://schemas.microsoft.com/office/drawing/2014/main" xmlns="" id="{FC7FA7AC-6ECB-4873-A704-C9DEFA2C04D2}"/>
            </a:ext>
          </a:extLst>
        </xdr:cNvPr>
        <xdr:cNvSpPr txBox="1">
          <a:spLocks noChangeArrowheads="1"/>
        </xdr:cNvSpPr>
      </xdr:nvSpPr>
      <xdr:spPr bwMode="auto">
        <a:xfrm>
          <a:off x="104775" y="1143000"/>
          <a:ext cx="285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ctr" rtl="0">
            <a:defRPr sz="1000"/>
          </a:pPr>
          <a:r>
            <a:rPr lang="zh-TW" altLang="en-US" sz="1200" b="0" i="0" u="none" strike="noStrike" baseline="0">
              <a:solidFill>
                <a:srgbClr val="000000"/>
              </a:solidFill>
              <a:latin typeface="Times New Roman"/>
              <a:cs typeface="Times New Roman"/>
            </a:rPr>
            <a:t>89</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600075</xdr:colOff>
      <xdr:row>3</xdr:row>
      <xdr:rowOff>0</xdr:rowOff>
    </xdr:from>
    <xdr:to>
      <xdr:col>0</xdr:col>
      <xdr:colOff>390525</xdr:colOff>
      <xdr:row>3</xdr:row>
      <xdr:rowOff>0</xdr:rowOff>
    </xdr:to>
    <xdr:sp macro="" textlink="">
      <xdr:nvSpPr>
        <xdr:cNvPr id="23" name="AutoShape 22">
          <a:extLst>
            <a:ext uri="{FF2B5EF4-FFF2-40B4-BE49-F238E27FC236}">
              <a16:creationId xmlns:a16="http://schemas.microsoft.com/office/drawing/2014/main" xmlns="" id="{7E48D76F-7137-4998-814D-BC9ECF518CD2}"/>
            </a:ext>
          </a:extLst>
        </xdr:cNvPr>
        <xdr:cNvSpPr>
          <a:spLocks/>
        </xdr:cNvSpPr>
      </xdr:nvSpPr>
      <xdr:spPr bwMode="auto">
        <a:xfrm>
          <a:off x="495300" y="11430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104775</xdr:colOff>
      <xdr:row>3</xdr:row>
      <xdr:rowOff>0</xdr:rowOff>
    </xdr:from>
    <xdr:to>
      <xdr:col>0</xdr:col>
      <xdr:colOff>390525</xdr:colOff>
      <xdr:row>3</xdr:row>
      <xdr:rowOff>0</xdr:rowOff>
    </xdr:to>
    <xdr:sp macro="" textlink="">
      <xdr:nvSpPr>
        <xdr:cNvPr id="24" name="Text Box 23">
          <a:extLst>
            <a:ext uri="{FF2B5EF4-FFF2-40B4-BE49-F238E27FC236}">
              <a16:creationId xmlns:a16="http://schemas.microsoft.com/office/drawing/2014/main" xmlns="" id="{D094D15E-AD53-4E2B-8D37-FC3F4368D548}"/>
            </a:ext>
          </a:extLst>
        </xdr:cNvPr>
        <xdr:cNvSpPr txBox="1">
          <a:spLocks noChangeArrowheads="1"/>
        </xdr:cNvSpPr>
      </xdr:nvSpPr>
      <xdr:spPr bwMode="auto">
        <a:xfrm>
          <a:off x="104775" y="1143000"/>
          <a:ext cx="285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ctr" rtl="0">
            <a:defRPr sz="1000"/>
          </a:pPr>
          <a:r>
            <a:rPr lang="zh-TW" altLang="en-US" sz="1200" b="0" i="0" u="none" strike="noStrike" baseline="0">
              <a:solidFill>
                <a:srgbClr val="000000"/>
              </a:solidFill>
              <a:latin typeface="Times New Roman"/>
              <a:cs typeface="Times New Roman"/>
            </a:rPr>
            <a:t>90</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600075</xdr:colOff>
      <xdr:row>3</xdr:row>
      <xdr:rowOff>0</xdr:rowOff>
    </xdr:from>
    <xdr:to>
      <xdr:col>0</xdr:col>
      <xdr:colOff>390525</xdr:colOff>
      <xdr:row>3</xdr:row>
      <xdr:rowOff>0</xdr:rowOff>
    </xdr:to>
    <xdr:sp macro="" textlink="">
      <xdr:nvSpPr>
        <xdr:cNvPr id="25" name="AutoShape 24">
          <a:extLst>
            <a:ext uri="{FF2B5EF4-FFF2-40B4-BE49-F238E27FC236}">
              <a16:creationId xmlns:a16="http://schemas.microsoft.com/office/drawing/2014/main" xmlns="" id="{0D87AF97-D224-4E32-9279-4010AAD9DD53}"/>
            </a:ext>
          </a:extLst>
        </xdr:cNvPr>
        <xdr:cNvSpPr>
          <a:spLocks/>
        </xdr:cNvSpPr>
      </xdr:nvSpPr>
      <xdr:spPr bwMode="auto">
        <a:xfrm>
          <a:off x="495300" y="11430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95250</xdr:colOff>
      <xdr:row>3</xdr:row>
      <xdr:rowOff>0</xdr:rowOff>
    </xdr:from>
    <xdr:to>
      <xdr:col>0</xdr:col>
      <xdr:colOff>390525</xdr:colOff>
      <xdr:row>3</xdr:row>
      <xdr:rowOff>0</xdr:rowOff>
    </xdr:to>
    <xdr:sp macro="" textlink="">
      <xdr:nvSpPr>
        <xdr:cNvPr id="26" name="Text Box 25">
          <a:extLst>
            <a:ext uri="{FF2B5EF4-FFF2-40B4-BE49-F238E27FC236}">
              <a16:creationId xmlns:a16="http://schemas.microsoft.com/office/drawing/2014/main" xmlns="" id="{47B2F4AF-1971-4E21-8631-38537A207F8C}"/>
            </a:ext>
          </a:extLst>
        </xdr:cNvPr>
        <xdr:cNvSpPr txBox="1">
          <a:spLocks noChangeArrowheads="1"/>
        </xdr:cNvSpPr>
      </xdr:nvSpPr>
      <xdr:spPr bwMode="auto">
        <a:xfrm>
          <a:off x="95250" y="1143000"/>
          <a:ext cx="2952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ctr" rtl="0">
            <a:defRPr sz="1000"/>
          </a:pPr>
          <a:r>
            <a:rPr lang="zh-TW" altLang="en-US" sz="1200" b="0" i="0" u="none" strike="noStrike" baseline="0">
              <a:solidFill>
                <a:srgbClr val="000000"/>
              </a:solidFill>
              <a:latin typeface="Times New Roman"/>
              <a:cs typeface="Times New Roman"/>
            </a:rPr>
            <a:t>91</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609600</xdr:colOff>
      <xdr:row>3</xdr:row>
      <xdr:rowOff>0</xdr:rowOff>
    </xdr:from>
    <xdr:to>
      <xdr:col>0</xdr:col>
      <xdr:colOff>390525</xdr:colOff>
      <xdr:row>3</xdr:row>
      <xdr:rowOff>0</xdr:rowOff>
    </xdr:to>
    <xdr:sp macro="" textlink="">
      <xdr:nvSpPr>
        <xdr:cNvPr id="27" name="AutoShape 27">
          <a:extLst>
            <a:ext uri="{FF2B5EF4-FFF2-40B4-BE49-F238E27FC236}">
              <a16:creationId xmlns:a16="http://schemas.microsoft.com/office/drawing/2014/main" xmlns="" id="{F1FED1BF-0B31-4105-8D12-228B6E334B6F}"/>
            </a:ext>
          </a:extLst>
        </xdr:cNvPr>
        <xdr:cNvSpPr>
          <a:spLocks/>
        </xdr:cNvSpPr>
      </xdr:nvSpPr>
      <xdr:spPr bwMode="auto">
        <a:xfrm>
          <a:off x="495300" y="11430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104775</xdr:colOff>
      <xdr:row>3</xdr:row>
      <xdr:rowOff>0</xdr:rowOff>
    </xdr:from>
    <xdr:to>
      <xdr:col>0</xdr:col>
      <xdr:colOff>390525</xdr:colOff>
      <xdr:row>3</xdr:row>
      <xdr:rowOff>0</xdr:rowOff>
    </xdr:to>
    <xdr:sp macro="" textlink="">
      <xdr:nvSpPr>
        <xdr:cNvPr id="28" name="Text Box 28">
          <a:extLst>
            <a:ext uri="{FF2B5EF4-FFF2-40B4-BE49-F238E27FC236}">
              <a16:creationId xmlns:a16="http://schemas.microsoft.com/office/drawing/2014/main" xmlns="" id="{E2F1BCB9-EAF8-4EAB-9C55-4BC0E61419CA}"/>
            </a:ext>
          </a:extLst>
        </xdr:cNvPr>
        <xdr:cNvSpPr txBox="1">
          <a:spLocks noChangeArrowheads="1"/>
        </xdr:cNvSpPr>
      </xdr:nvSpPr>
      <xdr:spPr bwMode="auto">
        <a:xfrm>
          <a:off x="104775" y="1143000"/>
          <a:ext cx="285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ctr" rtl="0">
            <a:defRPr sz="1000"/>
          </a:pPr>
          <a:r>
            <a:rPr lang="zh-TW" altLang="en-US" sz="1200" b="0" i="0" u="none" strike="noStrike" baseline="0">
              <a:solidFill>
                <a:srgbClr val="000000"/>
              </a:solidFill>
              <a:latin typeface="Times New Roman"/>
              <a:cs typeface="Times New Roman"/>
            </a:rPr>
            <a:t>93</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1</xdr:col>
      <xdr:colOff>38100</xdr:colOff>
      <xdr:row>3</xdr:row>
      <xdr:rowOff>66675</xdr:rowOff>
    </xdr:from>
    <xdr:to>
      <xdr:col>1</xdr:col>
      <xdr:colOff>114300</xdr:colOff>
      <xdr:row>4</xdr:row>
      <xdr:rowOff>171450</xdr:rowOff>
    </xdr:to>
    <xdr:sp macro="" textlink="">
      <xdr:nvSpPr>
        <xdr:cNvPr id="29" name="AutoShape 42">
          <a:extLst>
            <a:ext uri="{FF2B5EF4-FFF2-40B4-BE49-F238E27FC236}">
              <a16:creationId xmlns:a16="http://schemas.microsoft.com/office/drawing/2014/main" xmlns="" id="{5C6155E9-36C4-4B3B-9A66-6A6C7E82137D}"/>
            </a:ext>
          </a:extLst>
        </xdr:cNvPr>
        <xdr:cNvSpPr>
          <a:spLocks/>
        </xdr:cNvSpPr>
      </xdr:nvSpPr>
      <xdr:spPr bwMode="auto">
        <a:xfrm>
          <a:off x="533400" y="1209675"/>
          <a:ext cx="76200" cy="323850"/>
        </a:xfrm>
        <a:prstGeom prst="leftBrace">
          <a:avLst>
            <a:gd name="adj1" fmla="val 3541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21</xdr:row>
      <xdr:rowOff>66675</xdr:rowOff>
    </xdr:from>
    <xdr:to>
      <xdr:col>1</xdr:col>
      <xdr:colOff>114300</xdr:colOff>
      <xdr:row>22</xdr:row>
      <xdr:rowOff>171450</xdr:rowOff>
    </xdr:to>
    <xdr:sp macro="" textlink="">
      <xdr:nvSpPr>
        <xdr:cNvPr id="30" name="AutoShape 43">
          <a:extLst>
            <a:ext uri="{FF2B5EF4-FFF2-40B4-BE49-F238E27FC236}">
              <a16:creationId xmlns:a16="http://schemas.microsoft.com/office/drawing/2014/main" xmlns="" id="{E65DDAA8-4A26-4BE7-BFFE-6AD49951F011}"/>
            </a:ext>
          </a:extLst>
        </xdr:cNvPr>
        <xdr:cNvSpPr>
          <a:spLocks/>
        </xdr:cNvSpPr>
      </xdr:nvSpPr>
      <xdr:spPr bwMode="auto">
        <a:xfrm>
          <a:off x="533400" y="5153025"/>
          <a:ext cx="76200" cy="323850"/>
        </a:xfrm>
        <a:prstGeom prst="leftBrace">
          <a:avLst>
            <a:gd name="adj1" fmla="val 3541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5</xdr:row>
      <xdr:rowOff>66675</xdr:rowOff>
    </xdr:from>
    <xdr:to>
      <xdr:col>1</xdr:col>
      <xdr:colOff>114300</xdr:colOff>
      <xdr:row>6</xdr:row>
      <xdr:rowOff>171450</xdr:rowOff>
    </xdr:to>
    <xdr:sp macro="" textlink="">
      <xdr:nvSpPr>
        <xdr:cNvPr id="31" name="AutoShape 42">
          <a:extLst>
            <a:ext uri="{FF2B5EF4-FFF2-40B4-BE49-F238E27FC236}">
              <a16:creationId xmlns:a16="http://schemas.microsoft.com/office/drawing/2014/main" xmlns="" id="{922CCE1F-C9B0-4CF2-B1CC-1500D5705FE0}"/>
            </a:ext>
          </a:extLst>
        </xdr:cNvPr>
        <xdr:cNvSpPr>
          <a:spLocks/>
        </xdr:cNvSpPr>
      </xdr:nvSpPr>
      <xdr:spPr bwMode="auto">
        <a:xfrm>
          <a:off x="533400" y="1647825"/>
          <a:ext cx="76200" cy="323850"/>
        </a:xfrm>
        <a:prstGeom prst="leftBrace">
          <a:avLst>
            <a:gd name="adj1" fmla="val 3541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7</xdr:row>
      <xdr:rowOff>66675</xdr:rowOff>
    </xdr:from>
    <xdr:to>
      <xdr:col>1</xdr:col>
      <xdr:colOff>114300</xdr:colOff>
      <xdr:row>8</xdr:row>
      <xdr:rowOff>171450</xdr:rowOff>
    </xdr:to>
    <xdr:sp macro="" textlink="">
      <xdr:nvSpPr>
        <xdr:cNvPr id="32" name="AutoShape 42">
          <a:extLst>
            <a:ext uri="{FF2B5EF4-FFF2-40B4-BE49-F238E27FC236}">
              <a16:creationId xmlns:a16="http://schemas.microsoft.com/office/drawing/2014/main" xmlns="" id="{D01058F2-5E92-4BBE-9B97-DB9073833598}"/>
            </a:ext>
          </a:extLst>
        </xdr:cNvPr>
        <xdr:cNvSpPr>
          <a:spLocks/>
        </xdr:cNvSpPr>
      </xdr:nvSpPr>
      <xdr:spPr bwMode="auto">
        <a:xfrm>
          <a:off x="533400" y="2085975"/>
          <a:ext cx="76200" cy="323850"/>
        </a:xfrm>
        <a:prstGeom prst="leftBrace">
          <a:avLst>
            <a:gd name="adj1" fmla="val 3541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9</xdr:row>
      <xdr:rowOff>66675</xdr:rowOff>
    </xdr:from>
    <xdr:to>
      <xdr:col>1</xdr:col>
      <xdr:colOff>114300</xdr:colOff>
      <xdr:row>10</xdr:row>
      <xdr:rowOff>171450</xdr:rowOff>
    </xdr:to>
    <xdr:sp macro="" textlink="">
      <xdr:nvSpPr>
        <xdr:cNvPr id="33" name="AutoShape 42">
          <a:extLst>
            <a:ext uri="{FF2B5EF4-FFF2-40B4-BE49-F238E27FC236}">
              <a16:creationId xmlns:a16="http://schemas.microsoft.com/office/drawing/2014/main" xmlns="" id="{8E891E43-7330-4BA9-AE67-456F8DB070C2}"/>
            </a:ext>
          </a:extLst>
        </xdr:cNvPr>
        <xdr:cNvSpPr>
          <a:spLocks/>
        </xdr:cNvSpPr>
      </xdr:nvSpPr>
      <xdr:spPr bwMode="auto">
        <a:xfrm>
          <a:off x="533400" y="2524125"/>
          <a:ext cx="76200" cy="323850"/>
        </a:xfrm>
        <a:prstGeom prst="leftBrace">
          <a:avLst>
            <a:gd name="adj1" fmla="val 3541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11</xdr:row>
      <xdr:rowOff>66675</xdr:rowOff>
    </xdr:from>
    <xdr:to>
      <xdr:col>1</xdr:col>
      <xdr:colOff>114300</xdr:colOff>
      <xdr:row>12</xdr:row>
      <xdr:rowOff>171450</xdr:rowOff>
    </xdr:to>
    <xdr:sp macro="" textlink="">
      <xdr:nvSpPr>
        <xdr:cNvPr id="34" name="AutoShape 42">
          <a:extLst>
            <a:ext uri="{FF2B5EF4-FFF2-40B4-BE49-F238E27FC236}">
              <a16:creationId xmlns:a16="http://schemas.microsoft.com/office/drawing/2014/main" xmlns="" id="{6475CAE3-94A6-4179-BBE7-9E03D1F03D66}"/>
            </a:ext>
          </a:extLst>
        </xdr:cNvPr>
        <xdr:cNvSpPr>
          <a:spLocks/>
        </xdr:cNvSpPr>
      </xdr:nvSpPr>
      <xdr:spPr bwMode="auto">
        <a:xfrm>
          <a:off x="533400" y="2962275"/>
          <a:ext cx="76200" cy="323850"/>
        </a:xfrm>
        <a:prstGeom prst="leftBrace">
          <a:avLst>
            <a:gd name="adj1" fmla="val 3541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13</xdr:row>
      <xdr:rowOff>66675</xdr:rowOff>
    </xdr:from>
    <xdr:to>
      <xdr:col>1</xdr:col>
      <xdr:colOff>114300</xdr:colOff>
      <xdr:row>14</xdr:row>
      <xdr:rowOff>171450</xdr:rowOff>
    </xdr:to>
    <xdr:sp macro="" textlink="">
      <xdr:nvSpPr>
        <xdr:cNvPr id="35" name="AutoShape 42">
          <a:extLst>
            <a:ext uri="{FF2B5EF4-FFF2-40B4-BE49-F238E27FC236}">
              <a16:creationId xmlns:a16="http://schemas.microsoft.com/office/drawing/2014/main" xmlns="" id="{DA84FA0A-4509-4197-B983-57B99C22CF8B}"/>
            </a:ext>
          </a:extLst>
        </xdr:cNvPr>
        <xdr:cNvSpPr>
          <a:spLocks/>
        </xdr:cNvSpPr>
      </xdr:nvSpPr>
      <xdr:spPr bwMode="auto">
        <a:xfrm>
          <a:off x="533400" y="3400425"/>
          <a:ext cx="76200" cy="323850"/>
        </a:xfrm>
        <a:prstGeom prst="leftBrace">
          <a:avLst>
            <a:gd name="adj1" fmla="val 3541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15</xdr:row>
      <xdr:rowOff>66675</xdr:rowOff>
    </xdr:from>
    <xdr:to>
      <xdr:col>1</xdr:col>
      <xdr:colOff>114300</xdr:colOff>
      <xdr:row>16</xdr:row>
      <xdr:rowOff>171450</xdr:rowOff>
    </xdr:to>
    <xdr:sp macro="" textlink="">
      <xdr:nvSpPr>
        <xdr:cNvPr id="36" name="AutoShape 42">
          <a:extLst>
            <a:ext uri="{FF2B5EF4-FFF2-40B4-BE49-F238E27FC236}">
              <a16:creationId xmlns:a16="http://schemas.microsoft.com/office/drawing/2014/main" xmlns="" id="{82BB8026-C959-480D-AA54-86E8DE1DE8B5}"/>
            </a:ext>
          </a:extLst>
        </xdr:cNvPr>
        <xdr:cNvSpPr>
          <a:spLocks/>
        </xdr:cNvSpPr>
      </xdr:nvSpPr>
      <xdr:spPr bwMode="auto">
        <a:xfrm>
          <a:off x="533400" y="3838575"/>
          <a:ext cx="76200" cy="323850"/>
        </a:xfrm>
        <a:prstGeom prst="leftBrace">
          <a:avLst>
            <a:gd name="adj1" fmla="val 3541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17</xdr:row>
      <xdr:rowOff>66675</xdr:rowOff>
    </xdr:from>
    <xdr:to>
      <xdr:col>1</xdr:col>
      <xdr:colOff>114300</xdr:colOff>
      <xdr:row>18</xdr:row>
      <xdr:rowOff>171450</xdr:rowOff>
    </xdr:to>
    <xdr:sp macro="" textlink="">
      <xdr:nvSpPr>
        <xdr:cNvPr id="37" name="AutoShape 42">
          <a:extLst>
            <a:ext uri="{FF2B5EF4-FFF2-40B4-BE49-F238E27FC236}">
              <a16:creationId xmlns:a16="http://schemas.microsoft.com/office/drawing/2014/main" xmlns="" id="{378C3E80-A5C1-46D6-B189-AF40E4C63DEE}"/>
            </a:ext>
          </a:extLst>
        </xdr:cNvPr>
        <xdr:cNvSpPr>
          <a:spLocks/>
        </xdr:cNvSpPr>
      </xdr:nvSpPr>
      <xdr:spPr bwMode="auto">
        <a:xfrm>
          <a:off x="533400" y="4276725"/>
          <a:ext cx="76200" cy="323850"/>
        </a:xfrm>
        <a:prstGeom prst="leftBrace">
          <a:avLst>
            <a:gd name="adj1" fmla="val 3541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19</xdr:row>
      <xdr:rowOff>66675</xdr:rowOff>
    </xdr:from>
    <xdr:to>
      <xdr:col>1</xdr:col>
      <xdr:colOff>114300</xdr:colOff>
      <xdr:row>20</xdr:row>
      <xdr:rowOff>171450</xdr:rowOff>
    </xdr:to>
    <xdr:sp macro="" textlink="">
      <xdr:nvSpPr>
        <xdr:cNvPr id="38" name="AutoShape 42">
          <a:extLst>
            <a:ext uri="{FF2B5EF4-FFF2-40B4-BE49-F238E27FC236}">
              <a16:creationId xmlns:a16="http://schemas.microsoft.com/office/drawing/2014/main" xmlns="" id="{D071C299-4D04-45E3-A912-8E12F0589E66}"/>
            </a:ext>
          </a:extLst>
        </xdr:cNvPr>
        <xdr:cNvSpPr>
          <a:spLocks/>
        </xdr:cNvSpPr>
      </xdr:nvSpPr>
      <xdr:spPr bwMode="auto">
        <a:xfrm>
          <a:off x="533400" y="4714875"/>
          <a:ext cx="76200" cy="323850"/>
        </a:xfrm>
        <a:prstGeom prst="leftBrace">
          <a:avLst>
            <a:gd name="adj1" fmla="val 3541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180975</xdr:colOff>
      <xdr:row>4</xdr:row>
      <xdr:rowOff>0</xdr:rowOff>
    </xdr:from>
    <xdr:to>
      <xdr:col>0</xdr:col>
      <xdr:colOff>390525</xdr:colOff>
      <xdr:row>4</xdr:row>
      <xdr:rowOff>0</xdr:rowOff>
    </xdr:to>
    <xdr:sp macro="" textlink="">
      <xdr:nvSpPr>
        <xdr:cNvPr id="2" name="Text Box 1">
          <a:extLst>
            <a:ext uri="{FF2B5EF4-FFF2-40B4-BE49-F238E27FC236}">
              <a16:creationId xmlns:a16="http://schemas.microsoft.com/office/drawing/2014/main" xmlns="" id="{43E96844-FE2D-4D6A-AA28-4947D8D7228D}"/>
            </a:ext>
          </a:extLst>
        </xdr:cNvPr>
        <xdr:cNvSpPr txBox="1">
          <a:spLocks noChangeArrowheads="1"/>
        </xdr:cNvSpPr>
      </xdr:nvSpPr>
      <xdr:spPr bwMode="auto">
        <a:xfrm>
          <a:off x="180975" y="1485900"/>
          <a:ext cx="2095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Times New Roman"/>
              <a:cs typeface="Times New Roman"/>
            </a:rPr>
            <a:t>81</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600075</xdr:colOff>
      <xdr:row>4</xdr:row>
      <xdr:rowOff>0</xdr:rowOff>
    </xdr:from>
    <xdr:to>
      <xdr:col>0</xdr:col>
      <xdr:colOff>390525</xdr:colOff>
      <xdr:row>4</xdr:row>
      <xdr:rowOff>0</xdr:rowOff>
    </xdr:to>
    <xdr:sp macro="" textlink="">
      <xdr:nvSpPr>
        <xdr:cNvPr id="3" name="AutoShape 2">
          <a:extLst>
            <a:ext uri="{FF2B5EF4-FFF2-40B4-BE49-F238E27FC236}">
              <a16:creationId xmlns:a16="http://schemas.microsoft.com/office/drawing/2014/main" xmlns="" id="{1A18F62E-5B09-4A8E-B47D-8C6BB48846AD}"/>
            </a:ext>
          </a:extLst>
        </xdr:cNvPr>
        <xdr:cNvSpPr>
          <a:spLocks/>
        </xdr:cNvSpPr>
      </xdr:nvSpPr>
      <xdr:spPr bwMode="auto">
        <a:xfrm>
          <a:off x="466725" y="14859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180975</xdr:colOff>
      <xdr:row>4</xdr:row>
      <xdr:rowOff>0</xdr:rowOff>
    </xdr:from>
    <xdr:to>
      <xdr:col>0</xdr:col>
      <xdr:colOff>390525</xdr:colOff>
      <xdr:row>4</xdr:row>
      <xdr:rowOff>0</xdr:rowOff>
    </xdr:to>
    <xdr:sp macro="" textlink="">
      <xdr:nvSpPr>
        <xdr:cNvPr id="4" name="Text Box 3">
          <a:extLst>
            <a:ext uri="{FF2B5EF4-FFF2-40B4-BE49-F238E27FC236}">
              <a16:creationId xmlns:a16="http://schemas.microsoft.com/office/drawing/2014/main" xmlns="" id="{9FF12B07-8A2A-4F9C-9706-D5A37B299C94}"/>
            </a:ext>
          </a:extLst>
        </xdr:cNvPr>
        <xdr:cNvSpPr txBox="1">
          <a:spLocks noChangeArrowheads="1"/>
        </xdr:cNvSpPr>
      </xdr:nvSpPr>
      <xdr:spPr bwMode="auto">
        <a:xfrm>
          <a:off x="180975" y="1485900"/>
          <a:ext cx="2095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zh-TW" altLang="en-US" sz="1200" b="0" i="0" u="none" strike="noStrike" baseline="0">
              <a:solidFill>
                <a:srgbClr val="000000"/>
              </a:solidFill>
              <a:latin typeface="新細明體"/>
              <a:ea typeface="新細明體"/>
            </a:rPr>
            <a:t>82年</a:t>
          </a:r>
          <a:endParaRPr lang="zh-TW" altLang="en-US"/>
        </a:p>
      </xdr:txBody>
    </xdr:sp>
    <xdr:clientData/>
  </xdr:twoCellAnchor>
  <xdr:twoCellAnchor>
    <xdr:from>
      <xdr:col>0</xdr:col>
      <xdr:colOff>600075</xdr:colOff>
      <xdr:row>4</xdr:row>
      <xdr:rowOff>0</xdr:rowOff>
    </xdr:from>
    <xdr:to>
      <xdr:col>0</xdr:col>
      <xdr:colOff>390525</xdr:colOff>
      <xdr:row>4</xdr:row>
      <xdr:rowOff>0</xdr:rowOff>
    </xdr:to>
    <xdr:sp macro="" textlink="">
      <xdr:nvSpPr>
        <xdr:cNvPr id="5" name="AutoShape 4">
          <a:extLst>
            <a:ext uri="{FF2B5EF4-FFF2-40B4-BE49-F238E27FC236}">
              <a16:creationId xmlns:a16="http://schemas.microsoft.com/office/drawing/2014/main" xmlns="" id="{00D602A8-6939-421F-A3E5-CF04B6C396BE}"/>
            </a:ext>
          </a:extLst>
        </xdr:cNvPr>
        <xdr:cNvSpPr>
          <a:spLocks/>
        </xdr:cNvSpPr>
      </xdr:nvSpPr>
      <xdr:spPr bwMode="auto">
        <a:xfrm>
          <a:off x="466725" y="14859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85725</xdr:colOff>
      <xdr:row>4</xdr:row>
      <xdr:rowOff>0</xdr:rowOff>
    </xdr:from>
    <xdr:to>
      <xdr:col>0</xdr:col>
      <xdr:colOff>390525</xdr:colOff>
      <xdr:row>4</xdr:row>
      <xdr:rowOff>0</xdr:rowOff>
    </xdr:to>
    <xdr:sp macro="" textlink="">
      <xdr:nvSpPr>
        <xdr:cNvPr id="6" name="Text Box 5">
          <a:extLst>
            <a:ext uri="{FF2B5EF4-FFF2-40B4-BE49-F238E27FC236}">
              <a16:creationId xmlns:a16="http://schemas.microsoft.com/office/drawing/2014/main" xmlns="" id="{395BF010-A9A7-4647-AD86-4B51F3E007EF}"/>
            </a:ext>
          </a:extLst>
        </xdr:cNvPr>
        <xdr:cNvSpPr txBox="1">
          <a:spLocks noChangeArrowheads="1"/>
        </xdr:cNvSpPr>
      </xdr:nvSpPr>
      <xdr:spPr bwMode="auto">
        <a:xfrm>
          <a:off x="85725" y="1485900"/>
          <a:ext cx="30480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zh-TW" altLang="en-US" sz="1200" b="0" i="0" u="none" strike="noStrike" baseline="0">
              <a:solidFill>
                <a:srgbClr val="000000"/>
              </a:solidFill>
              <a:latin typeface="新細明體"/>
              <a:ea typeface="新細明體"/>
            </a:rPr>
            <a:t>83年</a:t>
          </a:r>
          <a:endParaRPr lang="zh-TW" altLang="en-US"/>
        </a:p>
      </xdr:txBody>
    </xdr:sp>
    <xdr:clientData/>
  </xdr:twoCellAnchor>
  <xdr:twoCellAnchor>
    <xdr:from>
      <xdr:col>0</xdr:col>
      <xdr:colOff>600075</xdr:colOff>
      <xdr:row>4</xdr:row>
      <xdr:rowOff>0</xdr:rowOff>
    </xdr:from>
    <xdr:to>
      <xdr:col>0</xdr:col>
      <xdr:colOff>390525</xdr:colOff>
      <xdr:row>4</xdr:row>
      <xdr:rowOff>0</xdr:rowOff>
    </xdr:to>
    <xdr:sp macro="" textlink="">
      <xdr:nvSpPr>
        <xdr:cNvPr id="7" name="AutoShape 6">
          <a:extLst>
            <a:ext uri="{FF2B5EF4-FFF2-40B4-BE49-F238E27FC236}">
              <a16:creationId xmlns:a16="http://schemas.microsoft.com/office/drawing/2014/main" xmlns="" id="{43DFAB54-FFC9-4977-989D-E004A69DD046}"/>
            </a:ext>
          </a:extLst>
        </xdr:cNvPr>
        <xdr:cNvSpPr>
          <a:spLocks/>
        </xdr:cNvSpPr>
      </xdr:nvSpPr>
      <xdr:spPr bwMode="auto">
        <a:xfrm>
          <a:off x="466725" y="14859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104775</xdr:colOff>
      <xdr:row>4</xdr:row>
      <xdr:rowOff>0</xdr:rowOff>
    </xdr:from>
    <xdr:to>
      <xdr:col>0</xdr:col>
      <xdr:colOff>390525</xdr:colOff>
      <xdr:row>4</xdr:row>
      <xdr:rowOff>0</xdr:rowOff>
    </xdr:to>
    <xdr:sp macro="" textlink="">
      <xdr:nvSpPr>
        <xdr:cNvPr id="8" name="Text Box 7">
          <a:extLst>
            <a:ext uri="{FF2B5EF4-FFF2-40B4-BE49-F238E27FC236}">
              <a16:creationId xmlns:a16="http://schemas.microsoft.com/office/drawing/2014/main" xmlns="" id="{14E38E27-DD7F-4E86-B864-E7193DD7DB13}"/>
            </a:ext>
          </a:extLst>
        </xdr:cNvPr>
        <xdr:cNvSpPr txBox="1">
          <a:spLocks noChangeArrowheads="1"/>
        </xdr:cNvSpPr>
      </xdr:nvSpPr>
      <xdr:spPr bwMode="auto">
        <a:xfrm>
          <a:off x="104775" y="1485900"/>
          <a:ext cx="285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zh-TW" altLang="en-US" sz="1200" b="0" i="0" u="none" strike="noStrike" baseline="0">
              <a:solidFill>
                <a:srgbClr val="000000"/>
              </a:solidFill>
              <a:latin typeface="新細明體"/>
              <a:ea typeface="新細明體"/>
            </a:rPr>
            <a:t>84年</a:t>
          </a:r>
          <a:endParaRPr lang="zh-TW" altLang="en-US"/>
        </a:p>
      </xdr:txBody>
    </xdr:sp>
    <xdr:clientData/>
  </xdr:twoCellAnchor>
  <xdr:twoCellAnchor>
    <xdr:from>
      <xdr:col>0</xdr:col>
      <xdr:colOff>590550</xdr:colOff>
      <xdr:row>4</xdr:row>
      <xdr:rowOff>0</xdr:rowOff>
    </xdr:from>
    <xdr:to>
      <xdr:col>0</xdr:col>
      <xdr:colOff>390525</xdr:colOff>
      <xdr:row>4</xdr:row>
      <xdr:rowOff>0</xdr:rowOff>
    </xdr:to>
    <xdr:sp macro="" textlink="">
      <xdr:nvSpPr>
        <xdr:cNvPr id="9" name="AutoShape 8">
          <a:extLst>
            <a:ext uri="{FF2B5EF4-FFF2-40B4-BE49-F238E27FC236}">
              <a16:creationId xmlns:a16="http://schemas.microsoft.com/office/drawing/2014/main" xmlns="" id="{2F009834-E7F2-4B58-BA80-92A8CADAE716}"/>
            </a:ext>
          </a:extLst>
        </xdr:cNvPr>
        <xdr:cNvSpPr>
          <a:spLocks/>
        </xdr:cNvSpPr>
      </xdr:nvSpPr>
      <xdr:spPr bwMode="auto">
        <a:xfrm>
          <a:off x="466725" y="14859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104775</xdr:colOff>
      <xdr:row>4</xdr:row>
      <xdr:rowOff>0</xdr:rowOff>
    </xdr:from>
    <xdr:to>
      <xdr:col>0</xdr:col>
      <xdr:colOff>390525</xdr:colOff>
      <xdr:row>4</xdr:row>
      <xdr:rowOff>0</xdr:rowOff>
    </xdr:to>
    <xdr:sp macro="" textlink="">
      <xdr:nvSpPr>
        <xdr:cNvPr id="10" name="Text Box 9">
          <a:extLst>
            <a:ext uri="{FF2B5EF4-FFF2-40B4-BE49-F238E27FC236}">
              <a16:creationId xmlns:a16="http://schemas.microsoft.com/office/drawing/2014/main" xmlns="" id="{7E1D56C3-7261-4942-8B56-47F7B0DFAB33}"/>
            </a:ext>
          </a:extLst>
        </xdr:cNvPr>
        <xdr:cNvSpPr txBox="1">
          <a:spLocks noChangeArrowheads="1"/>
        </xdr:cNvSpPr>
      </xdr:nvSpPr>
      <xdr:spPr bwMode="auto">
        <a:xfrm>
          <a:off x="104775" y="1485900"/>
          <a:ext cx="285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zh-TW" altLang="en-US" sz="1200" b="0" i="0" u="none" strike="noStrike" baseline="0">
              <a:solidFill>
                <a:srgbClr val="000000"/>
              </a:solidFill>
              <a:latin typeface="新細明體"/>
              <a:ea typeface="新細明體"/>
            </a:rPr>
            <a:t>85年</a:t>
          </a:r>
          <a:endParaRPr lang="zh-TW" altLang="en-US"/>
        </a:p>
      </xdr:txBody>
    </xdr:sp>
    <xdr:clientData/>
  </xdr:twoCellAnchor>
  <xdr:twoCellAnchor>
    <xdr:from>
      <xdr:col>0</xdr:col>
      <xdr:colOff>581025</xdr:colOff>
      <xdr:row>4</xdr:row>
      <xdr:rowOff>0</xdr:rowOff>
    </xdr:from>
    <xdr:to>
      <xdr:col>0</xdr:col>
      <xdr:colOff>390525</xdr:colOff>
      <xdr:row>4</xdr:row>
      <xdr:rowOff>0</xdr:rowOff>
    </xdr:to>
    <xdr:sp macro="" textlink="">
      <xdr:nvSpPr>
        <xdr:cNvPr id="11" name="AutoShape 10">
          <a:extLst>
            <a:ext uri="{FF2B5EF4-FFF2-40B4-BE49-F238E27FC236}">
              <a16:creationId xmlns:a16="http://schemas.microsoft.com/office/drawing/2014/main" xmlns="" id="{9FDE3661-5D9F-4590-B412-A2F3665ABE32}"/>
            </a:ext>
          </a:extLst>
        </xdr:cNvPr>
        <xdr:cNvSpPr>
          <a:spLocks/>
        </xdr:cNvSpPr>
      </xdr:nvSpPr>
      <xdr:spPr bwMode="auto">
        <a:xfrm>
          <a:off x="466725" y="14859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190500</xdr:colOff>
      <xdr:row>4</xdr:row>
      <xdr:rowOff>0</xdr:rowOff>
    </xdr:from>
    <xdr:to>
      <xdr:col>0</xdr:col>
      <xdr:colOff>390525</xdr:colOff>
      <xdr:row>4</xdr:row>
      <xdr:rowOff>0</xdr:rowOff>
    </xdr:to>
    <xdr:sp macro="" textlink="">
      <xdr:nvSpPr>
        <xdr:cNvPr id="12" name="Text Box 11">
          <a:extLst>
            <a:ext uri="{FF2B5EF4-FFF2-40B4-BE49-F238E27FC236}">
              <a16:creationId xmlns:a16="http://schemas.microsoft.com/office/drawing/2014/main" xmlns="" id="{63D27D4A-01E7-4878-82B8-285D1588D89E}"/>
            </a:ext>
          </a:extLst>
        </xdr:cNvPr>
        <xdr:cNvSpPr txBox="1">
          <a:spLocks noChangeArrowheads="1"/>
        </xdr:cNvSpPr>
      </xdr:nvSpPr>
      <xdr:spPr bwMode="auto">
        <a:xfrm>
          <a:off x="190500" y="1485900"/>
          <a:ext cx="2000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1200" b="0" i="0" u="none" strike="noStrike" baseline="0">
              <a:solidFill>
                <a:srgbClr val="000000"/>
              </a:solidFill>
              <a:latin typeface="Times New Roman"/>
              <a:cs typeface="Times New Roman"/>
            </a:rPr>
            <a:t>88</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600075</xdr:colOff>
      <xdr:row>4</xdr:row>
      <xdr:rowOff>0</xdr:rowOff>
    </xdr:from>
    <xdr:to>
      <xdr:col>0</xdr:col>
      <xdr:colOff>390525</xdr:colOff>
      <xdr:row>4</xdr:row>
      <xdr:rowOff>0</xdr:rowOff>
    </xdr:to>
    <xdr:sp macro="" textlink="">
      <xdr:nvSpPr>
        <xdr:cNvPr id="13" name="AutoShape 12">
          <a:extLst>
            <a:ext uri="{FF2B5EF4-FFF2-40B4-BE49-F238E27FC236}">
              <a16:creationId xmlns:a16="http://schemas.microsoft.com/office/drawing/2014/main" xmlns="" id="{349BC1FA-6BB3-4618-9E1D-E633C7746EF6}"/>
            </a:ext>
          </a:extLst>
        </xdr:cNvPr>
        <xdr:cNvSpPr>
          <a:spLocks/>
        </xdr:cNvSpPr>
      </xdr:nvSpPr>
      <xdr:spPr bwMode="auto">
        <a:xfrm>
          <a:off x="466725" y="14859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85725</xdr:colOff>
      <xdr:row>4</xdr:row>
      <xdr:rowOff>0</xdr:rowOff>
    </xdr:from>
    <xdr:to>
      <xdr:col>0</xdr:col>
      <xdr:colOff>390525</xdr:colOff>
      <xdr:row>4</xdr:row>
      <xdr:rowOff>0</xdr:rowOff>
    </xdr:to>
    <xdr:sp macro="" textlink="">
      <xdr:nvSpPr>
        <xdr:cNvPr id="14" name="Text Box 13">
          <a:extLst>
            <a:ext uri="{FF2B5EF4-FFF2-40B4-BE49-F238E27FC236}">
              <a16:creationId xmlns:a16="http://schemas.microsoft.com/office/drawing/2014/main" xmlns="" id="{B17079C2-AD97-4AA1-BA17-C2ED1008D1D9}"/>
            </a:ext>
          </a:extLst>
        </xdr:cNvPr>
        <xdr:cNvSpPr txBox="1">
          <a:spLocks noChangeArrowheads="1"/>
        </xdr:cNvSpPr>
      </xdr:nvSpPr>
      <xdr:spPr bwMode="auto">
        <a:xfrm>
          <a:off x="85725" y="1485900"/>
          <a:ext cx="30480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zh-TW" altLang="en-US" sz="1200" b="0" i="0" u="none" strike="noStrike" baseline="0">
              <a:solidFill>
                <a:srgbClr val="000000"/>
              </a:solidFill>
              <a:latin typeface="新細明體"/>
              <a:ea typeface="新細明體"/>
            </a:rPr>
            <a:t>86年</a:t>
          </a:r>
          <a:endParaRPr lang="zh-TW" altLang="en-US"/>
        </a:p>
      </xdr:txBody>
    </xdr:sp>
    <xdr:clientData/>
  </xdr:twoCellAnchor>
  <xdr:twoCellAnchor>
    <xdr:from>
      <xdr:col>0</xdr:col>
      <xdr:colOff>590550</xdr:colOff>
      <xdr:row>4</xdr:row>
      <xdr:rowOff>0</xdr:rowOff>
    </xdr:from>
    <xdr:to>
      <xdr:col>0</xdr:col>
      <xdr:colOff>390525</xdr:colOff>
      <xdr:row>4</xdr:row>
      <xdr:rowOff>0</xdr:rowOff>
    </xdr:to>
    <xdr:sp macro="" textlink="">
      <xdr:nvSpPr>
        <xdr:cNvPr id="15" name="AutoShape 14">
          <a:extLst>
            <a:ext uri="{FF2B5EF4-FFF2-40B4-BE49-F238E27FC236}">
              <a16:creationId xmlns:a16="http://schemas.microsoft.com/office/drawing/2014/main" xmlns="" id="{A43802DA-32F4-49EC-BA05-3E9AFB9F2B19}"/>
            </a:ext>
          </a:extLst>
        </xdr:cNvPr>
        <xdr:cNvSpPr>
          <a:spLocks/>
        </xdr:cNvSpPr>
      </xdr:nvSpPr>
      <xdr:spPr bwMode="auto">
        <a:xfrm>
          <a:off x="466725" y="14859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133350</xdr:colOff>
      <xdr:row>4</xdr:row>
      <xdr:rowOff>0</xdr:rowOff>
    </xdr:from>
    <xdr:to>
      <xdr:col>0</xdr:col>
      <xdr:colOff>390525</xdr:colOff>
      <xdr:row>4</xdr:row>
      <xdr:rowOff>0</xdr:rowOff>
    </xdr:to>
    <xdr:sp macro="" textlink="">
      <xdr:nvSpPr>
        <xdr:cNvPr id="16" name="Text Box 15">
          <a:extLst>
            <a:ext uri="{FF2B5EF4-FFF2-40B4-BE49-F238E27FC236}">
              <a16:creationId xmlns:a16="http://schemas.microsoft.com/office/drawing/2014/main" xmlns="" id="{EB682D13-2248-45AB-9C4F-39557CE4FF08}"/>
            </a:ext>
          </a:extLst>
        </xdr:cNvPr>
        <xdr:cNvSpPr txBox="1">
          <a:spLocks noChangeArrowheads="1"/>
        </xdr:cNvSpPr>
      </xdr:nvSpPr>
      <xdr:spPr bwMode="auto">
        <a:xfrm>
          <a:off x="133350" y="1485900"/>
          <a:ext cx="2571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zh-TW" altLang="en-US" sz="1200" b="0" i="0" u="none" strike="noStrike" baseline="0">
              <a:solidFill>
                <a:srgbClr val="000000"/>
              </a:solidFill>
              <a:latin typeface="新細明體"/>
              <a:ea typeface="新細明體"/>
            </a:rPr>
            <a:t>87年</a:t>
          </a:r>
          <a:endParaRPr lang="zh-TW" altLang="en-US"/>
        </a:p>
      </xdr:txBody>
    </xdr:sp>
    <xdr:clientData/>
  </xdr:twoCellAnchor>
  <xdr:twoCellAnchor>
    <xdr:from>
      <xdr:col>0</xdr:col>
      <xdr:colOff>600075</xdr:colOff>
      <xdr:row>4</xdr:row>
      <xdr:rowOff>0</xdr:rowOff>
    </xdr:from>
    <xdr:to>
      <xdr:col>0</xdr:col>
      <xdr:colOff>390525</xdr:colOff>
      <xdr:row>4</xdr:row>
      <xdr:rowOff>0</xdr:rowOff>
    </xdr:to>
    <xdr:sp macro="" textlink="">
      <xdr:nvSpPr>
        <xdr:cNvPr id="17" name="AutoShape 16">
          <a:extLst>
            <a:ext uri="{FF2B5EF4-FFF2-40B4-BE49-F238E27FC236}">
              <a16:creationId xmlns:a16="http://schemas.microsoft.com/office/drawing/2014/main" xmlns="" id="{11EB31CD-7C20-4257-81EB-F6A76FA38510}"/>
            </a:ext>
          </a:extLst>
        </xdr:cNvPr>
        <xdr:cNvSpPr>
          <a:spLocks/>
        </xdr:cNvSpPr>
      </xdr:nvSpPr>
      <xdr:spPr bwMode="auto">
        <a:xfrm>
          <a:off x="466725" y="14859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142875</xdr:colOff>
      <xdr:row>4</xdr:row>
      <xdr:rowOff>0</xdr:rowOff>
    </xdr:from>
    <xdr:to>
      <xdr:col>0</xdr:col>
      <xdr:colOff>390525</xdr:colOff>
      <xdr:row>4</xdr:row>
      <xdr:rowOff>0</xdr:rowOff>
    </xdr:to>
    <xdr:sp macro="" textlink="">
      <xdr:nvSpPr>
        <xdr:cNvPr id="18" name="Text Box 17">
          <a:extLst>
            <a:ext uri="{FF2B5EF4-FFF2-40B4-BE49-F238E27FC236}">
              <a16:creationId xmlns:a16="http://schemas.microsoft.com/office/drawing/2014/main" xmlns="" id="{ABA2B926-DDC3-46D1-AF80-2EB4B7357A4F}"/>
            </a:ext>
          </a:extLst>
        </xdr:cNvPr>
        <xdr:cNvSpPr txBox="1">
          <a:spLocks noChangeArrowheads="1"/>
        </xdr:cNvSpPr>
      </xdr:nvSpPr>
      <xdr:spPr bwMode="auto">
        <a:xfrm>
          <a:off x="142875" y="1485900"/>
          <a:ext cx="247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1200" b="0" i="0" u="none" strike="noStrike" baseline="0">
              <a:solidFill>
                <a:srgbClr val="000000"/>
              </a:solidFill>
              <a:latin typeface="Times New Roman"/>
              <a:cs typeface="Times New Roman"/>
            </a:rPr>
            <a:t>92</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600075</xdr:colOff>
      <xdr:row>4</xdr:row>
      <xdr:rowOff>0</xdr:rowOff>
    </xdr:from>
    <xdr:to>
      <xdr:col>0</xdr:col>
      <xdr:colOff>390525</xdr:colOff>
      <xdr:row>4</xdr:row>
      <xdr:rowOff>0</xdr:rowOff>
    </xdr:to>
    <xdr:sp macro="" textlink="">
      <xdr:nvSpPr>
        <xdr:cNvPr id="19" name="AutoShape 18">
          <a:extLst>
            <a:ext uri="{FF2B5EF4-FFF2-40B4-BE49-F238E27FC236}">
              <a16:creationId xmlns:a16="http://schemas.microsoft.com/office/drawing/2014/main" xmlns="" id="{F6AD1D0D-5DB8-4EA0-8882-E45753821B04}"/>
            </a:ext>
          </a:extLst>
        </xdr:cNvPr>
        <xdr:cNvSpPr>
          <a:spLocks/>
        </xdr:cNvSpPr>
      </xdr:nvSpPr>
      <xdr:spPr bwMode="auto">
        <a:xfrm>
          <a:off x="466725" y="14859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142875</xdr:colOff>
      <xdr:row>4</xdr:row>
      <xdr:rowOff>0</xdr:rowOff>
    </xdr:from>
    <xdr:to>
      <xdr:col>0</xdr:col>
      <xdr:colOff>390525</xdr:colOff>
      <xdr:row>4</xdr:row>
      <xdr:rowOff>0</xdr:rowOff>
    </xdr:to>
    <xdr:sp macro="" textlink="">
      <xdr:nvSpPr>
        <xdr:cNvPr id="20" name="Text Box 19">
          <a:extLst>
            <a:ext uri="{FF2B5EF4-FFF2-40B4-BE49-F238E27FC236}">
              <a16:creationId xmlns:a16="http://schemas.microsoft.com/office/drawing/2014/main" xmlns="" id="{9FBDBBE6-A4B6-4D1A-BECC-71E6C3A44151}"/>
            </a:ext>
          </a:extLst>
        </xdr:cNvPr>
        <xdr:cNvSpPr txBox="1">
          <a:spLocks noChangeArrowheads="1"/>
        </xdr:cNvSpPr>
      </xdr:nvSpPr>
      <xdr:spPr bwMode="auto">
        <a:xfrm>
          <a:off x="142875" y="1485900"/>
          <a:ext cx="24765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22860" anchor="ctr" upright="1"/>
        <a:lstStyle/>
        <a:p>
          <a:pPr algn="l" rtl="0">
            <a:defRPr sz="1000"/>
          </a:pPr>
          <a:r>
            <a:rPr lang="zh-TW" altLang="en-US" sz="1200" b="0" i="0" u="none" strike="noStrike" baseline="0">
              <a:solidFill>
                <a:srgbClr val="000000"/>
              </a:solidFill>
              <a:latin typeface="Times New Roman"/>
              <a:cs typeface="Times New Roman"/>
            </a:rPr>
            <a:t>89</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600075</xdr:colOff>
      <xdr:row>4</xdr:row>
      <xdr:rowOff>0</xdr:rowOff>
    </xdr:from>
    <xdr:to>
      <xdr:col>0</xdr:col>
      <xdr:colOff>390525</xdr:colOff>
      <xdr:row>4</xdr:row>
      <xdr:rowOff>0</xdr:rowOff>
    </xdr:to>
    <xdr:sp macro="" textlink="">
      <xdr:nvSpPr>
        <xdr:cNvPr id="21" name="AutoShape 20">
          <a:extLst>
            <a:ext uri="{FF2B5EF4-FFF2-40B4-BE49-F238E27FC236}">
              <a16:creationId xmlns:a16="http://schemas.microsoft.com/office/drawing/2014/main" xmlns="" id="{B941A9F8-18BD-46A1-8D9A-D7AB3D01AF97}"/>
            </a:ext>
          </a:extLst>
        </xdr:cNvPr>
        <xdr:cNvSpPr>
          <a:spLocks/>
        </xdr:cNvSpPr>
      </xdr:nvSpPr>
      <xdr:spPr bwMode="auto">
        <a:xfrm>
          <a:off x="466725" y="14859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161925</xdr:colOff>
      <xdr:row>4</xdr:row>
      <xdr:rowOff>0</xdr:rowOff>
    </xdr:from>
    <xdr:to>
      <xdr:col>0</xdr:col>
      <xdr:colOff>390525</xdr:colOff>
      <xdr:row>4</xdr:row>
      <xdr:rowOff>0</xdr:rowOff>
    </xdr:to>
    <xdr:sp macro="" textlink="">
      <xdr:nvSpPr>
        <xdr:cNvPr id="22" name="Text Box 21">
          <a:extLst>
            <a:ext uri="{FF2B5EF4-FFF2-40B4-BE49-F238E27FC236}">
              <a16:creationId xmlns:a16="http://schemas.microsoft.com/office/drawing/2014/main" xmlns="" id="{058F7859-E096-44FE-BCBB-0A160A1C8CC3}"/>
            </a:ext>
          </a:extLst>
        </xdr:cNvPr>
        <xdr:cNvSpPr txBox="1">
          <a:spLocks noChangeArrowheads="1"/>
        </xdr:cNvSpPr>
      </xdr:nvSpPr>
      <xdr:spPr bwMode="auto">
        <a:xfrm>
          <a:off x="161925" y="1485900"/>
          <a:ext cx="22860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22860" anchor="ctr" upright="1"/>
        <a:lstStyle/>
        <a:p>
          <a:pPr algn="l" rtl="0">
            <a:defRPr sz="1000"/>
          </a:pPr>
          <a:r>
            <a:rPr lang="zh-TW" altLang="en-US" sz="1200" b="0" i="0" u="none" strike="noStrike" baseline="0">
              <a:solidFill>
                <a:srgbClr val="000000"/>
              </a:solidFill>
              <a:latin typeface="Times New Roman"/>
              <a:cs typeface="Times New Roman"/>
            </a:rPr>
            <a:t>90</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600075</xdr:colOff>
      <xdr:row>4</xdr:row>
      <xdr:rowOff>0</xdr:rowOff>
    </xdr:from>
    <xdr:to>
      <xdr:col>0</xdr:col>
      <xdr:colOff>390525</xdr:colOff>
      <xdr:row>4</xdr:row>
      <xdr:rowOff>0</xdr:rowOff>
    </xdr:to>
    <xdr:sp macro="" textlink="">
      <xdr:nvSpPr>
        <xdr:cNvPr id="23" name="AutoShape 22">
          <a:extLst>
            <a:ext uri="{FF2B5EF4-FFF2-40B4-BE49-F238E27FC236}">
              <a16:creationId xmlns:a16="http://schemas.microsoft.com/office/drawing/2014/main" xmlns="" id="{001CA0D1-652E-4D22-8E46-1120A1B6692D}"/>
            </a:ext>
          </a:extLst>
        </xdr:cNvPr>
        <xdr:cNvSpPr>
          <a:spLocks/>
        </xdr:cNvSpPr>
      </xdr:nvSpPr>
      <xdr:spPr bwMode="auto">
        <a:xfrm>
          <a:off x="466725" y="14859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152400</xdr:colOff>
      <xdr:row>4</xdr:row>
      <xdr:rowOff>0</xdr:rowOff>
    </xdr:from>
    <xdr:to>
      <xdr:col>0</xdr:col>
      <xdr:colOff>390525</xdr:colOff>
      <xdr:row>4</xdr:row>
      <xdr:rowOff>0</xdr:rowOff>
    </xdr:to>
    <xdr:sp macro="" textlink="">
      <xdr:nvSpPr>
        <xdr:cNvPr id="24" name="Text Box 23">
          <a:extLst>
            <a:ext uri="{FF2B5EF4-FFF2-40B4-BE49-F238E27FC236}">
              <a16:creationId xmlns:a16="http://schemas.microsoft.com/office/drawing/2014/main" xmlns="" id="{9CA25488-68C9-426F-A2BF-4767C1B79D07}"/>
            </a:ext>
          </a:extLst>
        </xdr:cNvPr>
        <xdr:cNvSpPr txBox="1">
          <a:spLocks noChangeArrowheads="1"/>
        </xdr:cNvSpPr>
      </xdr:nvSpPr>
      <xdr:spPr bwMode="auto">
        <a:xfrm>
          <a:off x="152400" y="1485900"/>
          <a:ext cx="2381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1200" b="0" i="0" u="none" strike="noStrike" baseline="0">
              <a:solidFill>
                <a:srgbClr val="000000"/>
              </a:solidFill>
              <a:latin typeface="Times New Roman"/>
              <a:cs typeface="Times New Roman"/>
            </a:rPr>
            <a:t>91</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600075</xdr:colOff>
      <xdr:row>4</xdr:row>
      <xdr:rowOff>0</xdr:rowOff>
    </xdr:from>
    <xdr:to>
      <xdr:col>0</xdr:col>
      <xdr:colOff>390525</xdr:colOff>
      <xdr:row>4</xdr:row>
      <xdr:rowOff>0</xdr:rowOff>
    </xdr:to>
    <xdr:sp macro="" textlink="">
      <xdr:nvSpPr>
        <xdr:cNvPr id="25" name="AutoShape 24">
          <a:extLst>
            <a:ext uri="{FF2B5EF4-FFF2-40B4-BE49-F238E27FC236}">
              <a16:creationId xmlns:a16="http://schemas.microsoft.com/office/drawing/2014/main" xmlns="" id="{F254A77B-1830-43C1-AABB-E11A4001C84F}"/>
            </a:ext>
          </a:extLst>
        </xdr:cNvPr>
        <xdr:cNvSpPr>
          <a:spLocks/>
        </xdr:cNvSpPr>
      </xdr:nvSpPr>
      <xdr:spPr bwMode="auto">
        <a:xfrm>
          <a:off x="466725" y="14859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142875</xdr:colOff>
      <xdr:row>4</xdr:row>
      <xdr:rowOff>0</xdr:rowOff>
    </xdr:from>
    <xdr:to>
      <xdr:col>0</xdr:col>
      <xdr:colOff>390525</xdr:colOff>
      <xdr:row>4</xdr:row>
      <xdr:rowOff>0</xdr:rowOff>
    </xdr:to>
    <xdr:sp macro="" textlink="">
      <xdr:nvSpPr>
        <xdr:cNvPr id="26" name="Text Box 26">
          <a:extLst>
            <a:ext uri="{FF2B5EF4-FFF2-40B4-BE49-F238E27FC236}">
              <a16:creationId xmlns:a16="http://schemas.microsoft.com/office/drawing/2014/main" xmlns="" id="{31151B69-4F1C-48E9-B009-1F72A5844D3B}"/>
            </a:ext>
          </a:extLst>
        </xdr:cNvPr>
        <xdr:cNvSpPr txBox="1">
          <a:spLocks noChangeArrowheads="1"/>
        </xdr:cNvSpPr>
      </xdr:nvSpPr>
      <xdr:spPr bwMode="auto">
        <a:xfrm>
          <a:off x="142875" y="1485900"/>
          <a:ext cx="247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1200" b="0" i="0" u="none" strike="noStrike" baseline="0">
              <a:solidFill>
                <a:srgbClr val="000000"/>
              </a:solidFill>
              <a:latin typeface="Times New Roman"/>
              <a:cs typeface="Times New Roman"/>
            </a:rPr>
            <a:t>93</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600075</xdr:colOff>
      <xdr:row>4</xdr:row>
      <xdr:rowOff>0</xdr:rowOff>
    </xdr:from>
    <xdr:to>
      <xdr:col>0</xdr:col>
      <xdr:colOff>390525</xdr:colOff>
      <xdr:row>4</xdr:row>
      <xdr:rowOff>0</xdr:rowOff>
    </xdr:to>
    <xdr:sp macro="" textlink="">
      <xdr:nvSpPr>
        <xdr:cNvPr id="27" name="AutoShape 27">
          <a:extLst>
            <a:ext uri="{FF2B5EF4-FFF2-40B4-BE49-F238E27FC236}">
              <a16:creationId xmlns:a16="http://schemas.microsoft.com/office/drawing/2014/main" xmlns="" id="{2F9423A2-AD66-489D-AECA-D77C6C8D42DF}"/>
            </a:ext>
          </a:extLst>
        </xdr:cNvPr>
        <xdr:cNvSpPr>
          <a:spLocks/>
        </xdr:cNvSpPr>
      </xdr:nvSpPr>
      <xdr:spPr bwMode="auto">
        <a:xfrm>
          <a:off x="466725" y="14859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4</xdr:row>
      <xdr:rowOff>57150</xdr:rowOff>
    </xdr:from>
    <xdr:to>
      <xdr:col>1</xdr:col>
      <xdr:colOff>114300</xdr:colOff>
      <xdr:row>5</xdr:row>
      <xdr:rowOff>171450</xdr:rowOff>
    </xdr:to>
    <xdr:sp macro="" textlink="">
      <xdr:nvSpPr>
        <xdr:cNvPr id="28" name="AutoShape 41">
          <a:extLst>
            <a:ext uri="{FF2B5EF4-FFF2-40B4-BE49-F238E27FC236}">
              <a16:creationId xmlns:a16="http://schemas.microsoft.com/office/drawing/2014/main" xmlns="" id="{E807F6C2-2F1B-4A83-A3C2-22CDD8B2049A}"/>
            </a:ext>
          </a:extLst>
        </xdr:cNvPr>
        <xdr:cNvSpPr>
          <a:spLocks/>
        </xdr:cNvSpPr>
      </xdr:nvSpPr>
      <xdr:spPr bwMode="auto">
        <a:xfrm>
          <a:off x="504825" y="1543050"/>
          <a:ext cx="76200" cy="323850"/>
        </a:xfrm>
        <a:prstGeom prst="leftBrace">
          <a:avLst>
            <a:gd name="adj1" fmla="val 3541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22</xdr:row>
      <xdr:rowOff>76200</xdr:rowOff>
    </xdr:from>
    <xdr:to>
      <xdr:col>1</xdr:col>
      <xdr:colOff>114300</xdr:colOff>
      <xdr:row>23</xdr:row>
      <xdr:rowOff>152400</xdr:rowOff>
    </xdr:to>
    <xdr:sp macro="" textlink="">
      <xdr:nvSpPr>
        <xdr:cNvPr id="29" name="AutoShape 42">
          <a:extLst>
            <a:ext uri="{FF2B5EF4-FFF2-40B4-BE49-F238E27FC236}">
              <a16:creationId xmlns:a16="http://schemas.microsoft.com/office/drawing/2014/main" xmlns="" id="{6F71E71B-D712-4B77-9388-A050B9C52048}"/>
            </a:ext>
          </a:extLst>
        </xdr:cNvPr>
        <xdr:cNvSpPr>
          <a:spLocks/>
        </xdr:cNvSpPr>
      </xdr:nvSpPr>
      <xdr:spPr bwMode="auto">
        <a:xfrm>
          <a:off x="504825" y="5334000"/>
          <a:ext cx="76200" cy="285750"/>
        </a:xfrm>
        <a:prstGeom prst="leftBrace">
          <a:avLst>
            <a:gd name="adj1" fmla="val 3125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6</xdr:row>
      <xdr:rowOff>57150</xdr:rowOff>
    </xdr:from>
    <xdr:to>
      <xdr:col>1</xdr:col>
      <xdr:colOff>114300</xdr:colOff>
      <xdr:row>7</xdr:row>
      <xdr:rowOff>171450</xdr:rowOff>
    </xdr:to>
    <xdr:sp macro="" textlink="">
      <xdr:nvSpPr>
        <xdr:cNvPr id="30" name="AutoShape 41">
          <a:extLst>
            <a:ext uri="{FF2B5EF4-FFF2-40B4-BE49-F238E27FC236}">
              <a16:creationId xmlns:a16="http://schemas.microsoft.com/office/drawing/2014/main" xmlns="" id="{CAE63D88-A500-47C6-9473-DD02B6846B95}"/>
            </a:ext>
          </a:extLst>
        </xdr:cNvPr>
        <xdr:cNvSpPr>
          <a:spLocks/>
        </xdr:cNvSpPr>
      </xdr:nvSpPr>
      <xdr:spPr bwMode="auto">
        <a:xfrm>
          <a:off x="504825" y="1962150"/>
          <a:ext cx="76200" cy="323850"/>
        </a:xfrm>
        <a:prstGeom prst="leftBrace">
          <a:avLst>
            <a:gd name="adj1" fmla="val 3541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8</xdr:row>
      <xdr:rowOff>57150</xdr:rowOff>
    </xdr:from>
    <xdr:to>
      <xdr:col>1</xdr:col>
      <xdr:colOff>114300</xdr:colOff>
      <xdr:row>9</xdr:row>
      <xdr:rowOff>171450</xdr:rowOff>
    </xdr:to>
    <xdr:sp macro="" textlink="">
      <xdr:nvSpPr>
        <xdr:cNvPr id="31" name="AutoShape 41">
          <a:extLst>
            <a:ext uri="{FF2B5EF4-FFF2-40B4-BE49-F238E27FC236}">
              <a16:creationId xmlns:a16="http://schemas.microsoft.com/office/drawing/2014/main" xmlns="" id="{A7F9B354-2069-425B-BDDE-AB9A6C368978}"/>
            </a:ext>
          </a:extLst>
        </xdr:cNvPr>
        <xdr:cNvSpPr>
          <a:spLocks/>
        </xdr:cNvSpPr>
      </xdr:nvSpPr>
      <xdr:spPr bwMode="auto">
        <a:xfrm>
          <a:off x="504825" y="2381250"/>
          <a:ext cx="76200" cy="323850"/>
        </a:xfrm>
        <a:prstGeom prst="leftBrace">
          <a:avLst>
            <a:gd name="adj1" fmla="val 3541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10</xdr:row>
      <xdr:rowOff>57150</xdr:rowOff>
    </xdr:from>
    <xdr:to>
      <xdr:col>1</xdr:col>
      <xdr:colOff>114300</xdr:colOff>
      <xdr:row>11</xdr:row>
      <xdr:rowOff>171450</xdr:rowOff>
    </xdr:to>
    <xdr:sp macro="" textlink="">
      <xdr:nvSpPr>
        <xdr:cNvPr id="32" name="AutoShape 41">
          <a:extLst>
            <a:ext uri="{FF2B5EF4-FFF2-40B4-BE49-F238E27FC236}">
              <a16:creationId xmlns:a16="http://schemas.microsoft.com/office/drawing/2014/main" xmlns="" id="{F71D1694-9D69-4D43-808E-97765E8CAA53}"/>
            </a:ext>
          </a:extLst>
        </xdr:cNvPr>
        <xdr:cNvSpPr>
          <a:spLocks/>
        </xdr:cNvSpPr>
      </xdr:nvSpPr>
      <xdr:spPr bwMode="auto">
        <a:xfrm>
          <a:off x="504825" y="2800350"/>
          <a:ext cx="76200" cy="323850"/>
        </a:xfrm>
        <a:prstGeom prst="leftBrace">
          <a:avLst>
            <a:gd name="adj1" fmla="val 3541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12</xdr:row>
      <xdr:rowOff>57150</xdr:rowOff>
    </xdr:from>
    <xdr:to>
      <xdr:col>1</xdr:col>
      <xdr:colOff>114300</xdr:colOff>
      <xdr:row>13</xdr:row>
      <xdr:rowOff>171450</xdr:rowOff>
    </xdr:to>
    <xdr:sp macro="" textlink="">
      <xdr:nvSpPr>
        <xdr:cNvPr id="33" name="AutoShape 41">
          <a:extLst>
            <a:ext uri="{FF2B5EF4-FFF2-40B4-BE49-F238E27FC236}">
              <a16:creationId xmlns:a16="http://schemas.microsoft.com/office/drawing/2014/main" xmlns="" id="{585E8DE5-475A-442C-B758-CC5F30FE1E91}"/>
            </a:ext>
          </a:extLst>
        </xdr:cNvPr>
        <xdr:cNvSpPr>
          <a:spLocks/>
        </xdr:cNvSpPr>
      </xdr:nvSpPr>
      <xdr:spPr bwMode="auto">
        <a:xfrm>
          <a:off x="504825" y="3219450"/>
          <a:ext cx="76200" cy="323850"/>
        </a:xfrm>
        <a:prstGeom prst="leftBrace">
          <a:avLst>
            <a:gd name="adj1" fmla="val 3541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14</xdr:row>
      <xdr:rowOff>57150</xdr:rowOff>
    </xdr:from>
    <xdr:to>
      <xdr:col>1</xdr:col>
      <xdr:colOff>114300</xdr:colOff>
      <xdr:row>15</xdr:row>
      <xdr:rowOff>171450</xdr:rowOff>
    </xdr:to>
    <xdr:sp macro="" textlink="">
      <xdr:nvSpPr>
        <xdr:cNvPr id="34" name="AutoShape 41">
          <a:extLst>
            <a:ext uri="{FF2B5EF4-FFF2-40B4-BE49-F238E27FC236}">
              <a16:creationId xmlns:a16="http://schemas.microsoft.com/office/drawing/2014/main" xmlns="" id="{468BC537-FD0F-4DE9-A638-5472189FE89D}"/>
            </a:ext>
          </a:extLst>
        </xdr:cNvPr>
        <xdr:cNvSpPr>
          <a:spLocks/>
        </xdr:cNvSpPr>
      </xdr:nvSpPr>
      <xdr:spPr bwMode="auto">
        <a:xfrm>
          <a:off x="504825" y="3638550"/>
          <a:ext cx="76200" cy="323850"/>
        </a:xfrm>
        <a:prstGeom prst="leftBrace">
          <a:avLst>
            <a:gd name="adj1" fmla="val 3541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16</xdr:row>
      <xdr:rowOff>57150</xdr:rowOff>
    </xdr:from>
    <xdr:to>
      <xdr:col>1</xdr:col>
      <xdr:colOff>114300</xdr:colOff>
      <xdr:row>17</xdr:row>
      <xdr:rowOff>171450</xdr:rowOff>
    </xdr:to>
    <xdr:sp macro="" textlink="">
      <xdr:nvSpPr>
        <xdr:cNvPr id="35" name="AutoShape 41">
          <a:extLst>
            <a:ext uri="{FF2B5EF4-FFF2-40B4-BE49-F238E27FC236}">
              <a16:creationId xmlns:a16="http://schemas.microsoft.com/office/drawing/2014/main" xmlns="" id="{F2E6CB7E-9FAC-442B-806A-7A33F857784C}"/>
            </a:ext>
          </a:extLst>
        </xdr:cNvPr>
        <xdr:cNvSpPr>
          <a:spLocks/>
        </xdr:cNvSpPr>
      </xdr:nvSpPr>
      <xdr:spPr bwMode="auto">
        <a:xfrm>
          <a:off x="504825" y="4057650"/>
          <a:ext cx="76200" cy="323850"/>
        </a:xfrm>
        <a:prstGeom prst="leftBrace">
          <a:avLst>
            <a:gd name="adj1" fmla="val 3541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18</xdr:row>
      <xdr:rowOff>57150</xdr:rowOff>
    </xdr:from>
    <xdr:to>
      <xdr:col>1</xdr:col>
      <xdr:colOff>114300</xdr:colOff>
      <xdr:row>19</xdr:row>
      <xdr:rowOff>171450</xdr:rowOff>
    </xdr:to>
    <xdr:sp macro="" textlink="">
      <xdr:nvSpPr>
        <xdr:cNvPr id="36" name="AutoShape 41">
          <a:extLst>
            <a:ext uri="{FF2B5EF4-FFF2-40B4-BE49-F238E27FC236}">
              <a16:creationId xmlns:a16="http://schemas.microsoft.com/office/drawing/2014/main" xmlns="" id="{4F818C5E-EEFA-4251-A5B7-3747A2505212}"/>
            </a:ext>
          </a:extLst>
        </xdr:cNvPr>
        <xdr:cNvSpPr>
          <a:spLocks/>
        </xdr:cNvSpPr>
      </xdr:nvSpPr>
      <xdr:spPr bwMode="auto">
        <a:xfrm>
          <a:off x="504825" y="4476750"/>
          <a:ext cx="76200" cy="323850"/>
        </a:xfrm>
        <a:prstGeom prst="leftBrace">
          <a:avLst>
            <a:gd name="adj1" fmla="val 3541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20</xdr:row>
      <xdr:rowOff>57150</xdr:rowOff>
    </xdr:from>
    <xdr:to>
      <xdr:col>1</xdr:col>
      <xdr:colOff>114300</xdr:colOff>
      <xdr:row>21</xdr:row>
      <xdr:rowOff>171450</xdr:rowOff>
    </xdr:to>
    <xdr:sp macro="" textlink="">
      <xdr:nvSpPr>
        <xdr:cNvPr id="37" name="AutoShape 41">
          <a:extLst>
            <a:ext uri="{FF2B5EF4-FFF2-40B4-BE49-F238E27FC236}">
              <a16:creationId xmlns:a16="http://schemas.microsoft.com/office/drawing/2014/main" xmlns="" id="{B72E5A9A-0834-4A53-81FE-8067CFA45BFD}"/>
            </a:ext>
          </a:extLst>
        </xdr:cNvPr>
        <xdr:cNvSpPr>
          <a:spLocks/>
        </xdr:cNvSpPr>
      </xdr:nvSpPr>
      <xdr:spPr bwMode="auto">
        <a:xfrm>
          <a:off x="504825" y="4895850"/>
          <a:ext cx="76200" cy="323850"/>
        </a:xfrm>
        <a:prstGeom prst="leftBrace">
          <a:avLst>
            <a:gd name="adj1" fmla="val 3541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0</xdr:colOff>
      <xdr:row>4</xdr:row>
      <xdr:rowOff>0</xdr:rowOff>
    </xdr:from>
    <xdr:to>
      <xdr:col>9</xdr:col>
      <xdr:colOff>0</xdr:colOff>
      <xdr:row>4</xdr:row>
      <xdr:rowOff>0</xdr:rowOff>
    </xdr:to>
    <xdr:sp macro="" textlink="">
      <xdr:nvSpPr>
        <xdr:cNvPr id="2" name="Line 20">
          <a:extLst>
            <a:ext uri="{FF2B5EF4-FFF2-40B4-BE49-F238E27FC236}">
              <a16:creationId xmlns:a16="http://schemas.microsoft.com/office/drawing/2014/main" xmlns="" id="{625FEAE8-E9CA-4A1F-8AB1-B19F4AFE6DF9}"/>
            </a:ext>
          </a:extLst>
        </xdr:cNvPr>
        <xdr:cNvSpPr>
          <a:spLocks noChangeShapeType="1"/>
        </xdr:cNvSpPr>
      </xdr:nvSpPr>
      <xdr:spPr bwMode="auto">
        <a:xfrm>
          <a:off x="5829300" y="226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xdr:row>
      <xdr:rowOff>0</xdr:rowOff>
    </xdr:from>
    <xdr:to>
      <xdr:col>9</xdr:col>
      <xdr:colOff>0</xdr:colOff>
      <xdr:row>4</xdr:row>
      <xdr:rowOff>0</xdr:rowOff>
    </xdr:to>
    <xdr:sp macro="" textlink="">
      <xdr:nvSpPr>
        <xdr:cNvPr id="3" name="Line 21">
          <a:extLst>
            <a:ext uri="{FF2B5EF4-FFF2-40B4-BE49-F238E27FC236}">
              <a16:creationId xmlns:a16="http://schemas.microsoft.com/office/drawing/2014/main" xmlns="" id="{47BE5F08-FE3D-4919-BB04-3641CE3E1A5F}"/>
            </a:ext>
          </a:extLst>
        </xdr:cNvPr>
        <xdr:cNvSpPr>
          <a:spLocks noChangeShapeType="1"/>
        </xdr:cNvSpPr>
      </xdr:nvSpPr>
      <xdr:spPr bwMode="auto">
        <a:xfrm>
          <a:off x="5829300" y="226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247650</xdr:colOff>
      <xdr:row>2</xdr:row>
      <xdr:rowOff>0</xdr:rowOff>
    </xdr:from>
    <xdr:to>
      <xdr:col>0</xdr:col>
      <xdr:colOff>647700</xdr:colOff>
      <xdr:row>2</xdr:row>
      <xdr:rowOff>0</xdr:rowOff>
    </xdr:to>
    <xdr:sp macro="" textlink="">
      <xdr:nvSpPr>
        <xdr:cNvPr id="2" name="Text Box 1">
          <a:extLst>
            <a:ext uri="{FF2B5EF4-FFF2-40B4-BE49-F238E27FC236}">
              <a16:creationId xmlns:a16="http://schemas.microsoft.com/office/drawing/2014/main" xmlns="" id="{CC9E9744-BD4E-4EA3-A88F-347482E15652}"/>
            </a:ext>
          </a:extLst>
        </xdr:cNvPr>
        <xdr:cNvSpPr txBox="1">
          <a:spLocks noChangeArrowheads="1"/>
        </xdr:cNvSpPr>
      </xdr:nvSpPr>
      <xdr:spPr bwMode="auto">
        <a:xfrm>
          <a:off x="247650" y="704850"/>
          <a:ext cx="4000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Times New Roman"/>
              <a:cs typeface="Times New Roman"/>
            </a:rPr>
            <a:t>81</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866775</xdr:colOff>
      <xdr:row>2</xdr:row>
      <xdr:rowOff>0</xdr:rowOff>
    </xdr:from>
    <xdr:to>
      <xdr:col>0</xdr:col>
      <xdr:colOff>704850</xdr:colOff>
      <xdr:row>2</xdr:row>
      <xdr:rowOff>0</xdr:rowOff>
    </xdr:to>
    <xdr:sp macro="" textlink="">
      <xdr:nvSpPr>
        <xdr:cNvPr id="3" name="Text Box 2">
          <a:extLst>
            <a:ext uri="{FF2B5EF4-FFF2-40B4-BE49-F238E27FC236}">
              <a16:creationId xmlns:a16="http://schemas.microsoft.com/office/drawing/2014/main" xmlns="" id="{1DC1178A-7DBC-40FF-90B5-0F78FE48199C}"/>
            </a:ext>
          </a:extLst>
        </xdr:cNvPr>
        <xdr:cNvSpPr txBox="1">
          <a:spLocks noChangeArrowheads="1"/>
        </xdr:cNvSpPr>
      </xdr:nvSpPr>
      <xdr:spPr bwMode="auto">
        <a:xfrm>
          <a:off x="704850"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新細明體"/>
              <a:ea typeface="新細明體"/>
            </a:rPr>
            <a:t>人數</a:t>
          </a:r>
          <a:r>
            <a:rPr lang="zh-TW" altLang="en-US" sz="1200" b="0" i="0" u="none" strike="noStrike" baseline="0">
              <a:solidFill>
                <a:srgbClr val="000000"/>
              </a:solidFill>
              <a:latin typeface="Times New Roman"/>
              <a:ea typeface="新細明體"/>
              <a:cs typeface="Times New Roman"/>
            </a:rPr>
            <a:t> %</a:t>
          </a:r>
          <a:endParaRPr lang="zh-TW" altLang="en-US"/>
        </a:p>
      </xdr:txBody>
    </xdr:sp>
    <xdr:clientData/>
  </xdr:twoCellAnchor>
  <xdr:twoCellAnchor>
    <xdr:from>
      <xdr:col>0</xdr:col>
      <xdr:colOff>266700</xdr:colOff>
      <xdr:row>2</xdr:row>
      <xdr:rowOff>0</xdr:rowOff>
    </xdr:from>
    <xdr:to>
      <xdr:col>0</xdr:col>
      <xdr:colOff>657225</xdr:colOff>
      <xdr:row>2</xdr:row>
      <xdr:rowOff>0</xdr:rowOff>
    </xdr:to>
    <xdr:sp macro="" textlink="">
      <xdr:nvSpPr>
        <xdr:cNvPr id="4" name="Text Box 3">
          <a:extLst>
            <a:ext uri="{FF2B5EF4-FFF2-40B4-BE49-F238E27FC236}">
              <a16:creationId xmlns:a16="http://schemas.microsoft.com/office/drawing/2014/main" xmlns="" id="{0FC1934F-847F-4D36-A45C-6898142A248A}"/>
            </a:ext>
          </a:extLst>
        </xdr:cNvPr>
        <xdr:cNvSpPr txBox="1">
          <a:spLocks noChangeArrowheads="1"/>
        </xdr:cNvSpPr>
      </xdr:nvSpPr>
      <xdr:spPr bwMode="auto">
        <a:xfrm>
          <a:off x="266700" y="704850"/>
          <a:ext cx="3905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zh-TW" altLang="en-US" sz="1200" b="0" i="0" u="none" strike="noStrike" baseline="0">
              <a:solidFill>
                <a:srgbClr val="000000"/>
              </a:solidFill>
              <a:latin typeface="Times New Roman"/>
              <a:cs typeface="Times New Roman"/>
            </a:rPr>
            <a:t>82</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866775</xdr:colOff>
      <xdr:row>2</xdr:row>
      <xdr:rowOff>0</xdr:rowOff>
    </xdr:from>
    <xdr:to>
      <xdr:col>0</xdr:col>
      <xdr:colOff>704850</xdr:colOff>
      <xdr:row>2</xdr:row>
      <xdr:rowOff>0</xdr:rowOff>
    </xdr:to>
    <xdr:sp macro="" textlink="">
      <xdr:nvSpPr>
        <xdr:cNvPr id="5" name="Text Box 4">
          <a:extLst>
            <a:ext uri="{FF2B5EF4-FFF2-40B4-BE49-F238E27FC236}">
              <a16:creationId xmlns:a16="http://schemas.microsoft.com/office/drawing/2014/main" xmlns="" id="{97E6205F-C416-42BF-9F85-817EF5FBFF20}"/>
            </a:ext>
          </a:extLst>
        </xdr:cNvPr>
        <xdr:cNvSpPr txBox="1">
          <a:spLocks noChangeArrowheads="1"/>
        </xdr:cNvSpPr>
      </xdr:nvSpPr>
      <xdr:spPr bwMode="auto">
        <a:xfrm>
          <a:off x="704850"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人數</a:t>
          </a:r>
          <a:r>
            <a:rPr lang="zh-TW" altLang="en-US" sz="1200" b="0" i="0" u="none" strike="noStrike" baseline="0">
              <a:solidFill>
                <a:srgbClr val="000000"/>
              </a:solidFill>
              <a:latin typeface="Times New Roman"/>
              <a:ea typeface="新細明體"/>
              <a:cs typeface="Times New Roman"/>
            </a:rPr>
            <a:t> %</a:t>
          </a:r>
          <a:endParaRPr lang="zh-TW" altLang="en-US"/>
        </a:p>
      </xdr:txBody>
    </xdr:sp>
    <xdr:clientData/>
  </xdr:twoCellAnchor>
  <xdr:twoCellAnchor>
    <xdr:from>
      <xdr:col>0</xdr:col>
      <xdr:colOff>819150</xdr:colOff>
      <xdr:row>2</xdr:row>
      <xdr:rowOff>0</xdr:rowOff>
    </xdr:from>
    <xdr:to>
      <xdr:col>0</xdr:col>
      <xdr:colOff>704850</xdr:colOff>
      <xdr:row>2</xdr:row>
      <xdr:rowOff>0</xdr:rowOff>
    </xdr:to>
    <xdr:sp macro="" textlink="">
      <xdr:nvSpPr>
        <xdr:cNvPr id="6" name="Text Box 5">
          <a:extLst>
            <a:ext uri="{FF2B5EF4-FFF2-40B4-BE49-F238E27FC236}">
              <a16:creationId xmlns:a16="http://schemas.microsoft.com/office/drawing/2014/main" xmlns="" id="{8D071F60-C16E-493C-8486-C7252A697ABC}"/>
            </a:ext>
          </a:extLst>
        </xdr:cNvPr>
        <xdr:cNvSpPr txBox="1">
          <a:spLocks noChangeArrowheads="1"/>
        </xdr:cNvSpPr>
      </xdr:nvSpPr>
      <xdr:spPr bwMode="auto">
        <a:xfrm>
          <a:off x="704850"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人數</a:t>
          </a:r>
          <a:r>
            <a:rPr lang="zh-TW" altLang="en-US" sz="1200" b="0" i="0" u="none" strike="noStrike" baseline="0">
              <a:solidFill>
                <a:srgbClr val="000000"/>
              </a:solidFill>
              <a:latin typeface="Times New Roman"/>
              <a:ea typeface="新細明體"/>
              <a:cs typeface="Times New Roman"/>
            </a:rPr>
            <a:t> %</a:t>
          </a:r>
          <a:endParaRPr lang="zh-TW" altLang="en-US"/>
        </a:p>
      </xdr:txBody>
    </xdr:sp>
    <xdr:clientData/>
  </xdr:twoCellAnchor>
  <xdr:twoCellAnchor>
    <xdr:from>
      <xdr:col>0</xdr:col>
      <xdr:colOff>847725</xdr:colOff>
      <xdr:row>2</xdr:row>
      <xdr:rowOff>0</xdr:rowOff>
    </xdr:from>
    <xdr:to>
      <xdr:col>0</xdr:col>
      <xdr:colOff>704850</xdr:colOff>
      <xdr:row>2</xdr:row>
      <xdr:rowOff>0</xdr:rowOff>
    </xdr:to>
    <xdr:sp macro="" textlink="">
      <xdr:nvSpPr>
        <xdr:cNvPr id="7" name="Text Box 6">
          <a:extLst>
            <a:ext uri="{FF2B5EF4-FFF2-40B4-BE49-F238E27FC236}">
              <a16:creationId xmlns:a16="http://schemas.microsoft.com/office/drawing/2014/main" xmlns="" id="{DDEA3B4C-5B41-4920-B74C-8FD222E8F56B}"/>
            </a:ext>
          </a:extLst>
        </xdr:cNvPr>
        <xdr:cNvSpPr txBox="1">
          <a:spLocks noChangeArrowheads="1"/>
        </xdr:cNvSpPr>
      </xdr:nvSpPr>
      <xdr:spPr bwMode="auto">
        <a:xfrm>
          <a:off x="704850"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人數</a:t>
          </a:r>
          <a:r>
            <a:rPr lang="zh-TW" altLang="en-US" sz="1200" b="0" i="0" u="none" strike="noStrike" baseline="0">
              <a:solidFill>
                <a:srgbClr val="000000"/>
              </a:solidFill>
              <a:latin typeface="Times New Roman"/>
              <a:ea typeface="新細明體"/>
              <a:cs typeface="Times New Roman"/>
            </a:rPr>
            <a:t> %</a:t>
          </a:r>
          <a:endParaRPr lang="zh-TW" altLang="en-US"/>
        </a:p>
      </xdr:txBody>
    </xdr:sp>
    <xdr:clientData/>
  </xdr:twoCellAnchor>
  <xdr:twoCellAnchor>
    <xdr:from>
      <xdr:col>0</xdr:col>
      <xdr:colOff>295275</xdr:colOff>
      <xdr:row>2</xdr:row>
      <xdr:rowOff>0</xdr:rowOff>
    </xdr:from>
    <xdr:to>
      <xdr:col>0</xdr:col>
      <xdr:colOff>695325</xdr:colOff>
      <xdr:row>2</xdr:row>
      <xdr:rowOff>0</xdr:rowOff>
    </xdr:to>
    <xdr:sp macro="" textlink="">
      <xdr:nvSpPr>
        <xdr:cNvPr id="8" name="Text Box 7">
          <a:extLst>
            <a:ext uri="{FF2B5EF4-FFF2-40B4-BE49-F238E27FC236}">
              <a16:creationId xmlns:a16="http://schemas.microsoft.com/office/drawing/2014/main" xmlns="" id="{04F66747-E46F-452B-A0A5-E06198D9B9A1}"/>
            </a:ext>
          </a:extLst>
        </xdr:cNvPr>
        <xdr:cNvSpPr txBox="1">
          <a:spLocks noChangeArrowheads="1"/>
        </xdr:cNvSpPr>
      </xdr:nvSpPr>
      <xdr:spPr bwMode="auto">
        <a:xfrm>
          <a:off x="295275" y="704850"/>
          <a:ext cx="4000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zh-TW" altLang="en-US" sz="1200" b="0" i="0" u="none" strike="noStrike" baseline="0">
              <a:solidFill>
                <a:srgbClr val="000000"/>
              </a:solidFill>
              <a:latin typeface="Times New Roman"/>
              <a:cs typeface="Times New Roman"/>
            </a:rPr>
            <a:t>83</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295275</xdr:colOff>
      <xdr:row>2</xdr:row>
      <xdr:rowOff>0</xdr:rowOff>
    </xdr:from>
    <xdr:to>
      <xdr:col>0</xdr:col>
      <xdr:colOff>695325</xdr:colOff>
      <xdr:row>2</xdr:row>
      <xdr:rowOff>0</xdr:rowOff>
    </xdr:to>
    <xdr:sp macro="" textlink="">
      <xdr:nvSpPr>
        <xdr:cNvPr id="9" name="Text Box 8">
          <a:extLst>
            <a:ext uri="{FF2B5EF4-FFF2-40B4-BE49-F238E27FC236}">
              <a16:creationId xmlns:a16="http://schemas.microsoft.com/office/drawing/2014/main" xmlns="" id="{B9344296-103E-4D88-8EEB-D2CBDBB0312C}"/>
            </a:ext>
          </a:extLst>
        </xdr:cNvPr>
        <xdr:cNvSpPr txBox="1">
          <a:spLocks noChangeArrowheads="1"/>
        </xdr:cNvSpPr>
      </xdr:nvSpPr>
      <xdr:spPr bwMode="auto">
        <a:xfrm>
          <a:off x="295275" y="704850"/>
          <a:ext cx="4000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zh-TW" altLang="en-US" sz="1200" b="0" i="0" u="none" strike="noStrike" baseline="0">
              <a:solidFill>
                <a:srgbClr val="000000"/>
              </a:solidFill>
              <a:latin typeface="Times New Roman"/>
              <a:cs typeface="Times New Roman"/>
            </a:rPr>
            <a:t>84</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819150</xdr:colOff>
      <xdr:row>2</xdr:row>
      <xdr:rowOff>0</xdr:rowOff>
    </xdr:from>
    <xdr:to>
      <xdr:col>0</xdr:col>
      <xdr:colOff>704850</xdr:colOff>
      <xdr:row>2</xdr:row>
      <xdr:rowOff>0</xdr:rowOff>
    </xdr:to>
    <xdr:sp macro="" textlink="">
      <xdr:nvSpPr>
        <xdr:cNvPr id="10" name="Text Box 9">
          <a:extLst>
            <a:ext uri="{FF2B5EF4-FFF2-40B4-BE49-F238E27FC236}">
              <a16:creationId xmlns:a16="http://schemas.microsoft.com/office/drawing/2014/main" xmlns="" id="{DB86B3DE-37FE-451C-A6EB-987CD91397A4}"/>
            </a:ext>
          </a:extLst>
        </xdr:cNvPr>
        <xdr:cNvSpPr txBox="1">
          <a:spLocks noChangeArrowheads="1"/>
        </xdr:cNvSpPr>
      </xdr:nvSpPr>
      <xdr:spPr bwMode="auto">
        <a:xfrm>
          <a:off x="704850"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人數</a:t>
          </a:r>
          <a:r>
            <a:rPr lang="zh-TW" altLang="en-US" sz="1200" b="0" i="0" u="none" strike="noStrike" baseline="0">
              <a:solidFill>
                <a:srgbClr val="000000"/>
              </a:solidFill>
              <a:latin typeface="Times New Roman"/>
              <a:ea typeface="新細明體"/>
              <a:cs typeface="Times New Roman"/>
            </a:rPr>
            <a:t> %</a:t>
          </a:r>
          <a:endParaRPr lang="zh-TW" altLang="en-US"/>
        </a:p>
      </xdr:txBody>
    </xdr:sp>
    <xdr:clientData/>
  </xdr:twoCellAnchor>
  <xdr:twoCellAnchor>
    <xdr:from>
      <xdr:col>0</xdr:col>
      <xdr:colOff>295275</xdr:colOff>
      <xdr:row>2</xdr:row>
      <xdr:rowOff>0</xdr:rowOff>
    </xdr:from>
    <xdr:to>
      <xdr:col>0</xdr:col>
      <xdr:colOff>695325</xdr:colOff>
      <xdr:row>2</xdr:row>
      <xdr:rowOff>0</xdr:rowOff>
    </xdr:to>
    <xdr:sp macro="" textlink="">
      <xdr:nvSpPr>
        <xdr:cNvPr id="11" name="Text Box 10">
          <a:extLst>
            <a:ext uri="{FF2B5EF4-FFF2-40B4-BE49-F238E27FC236}">
              <a16:creationId xmlns:a16="http://schemas.microsoft.com/office/drawing/2014/main" xmlns="" id="{763647C7-89A2-43B0-8EAF-FBD99400DFD2}"/>
            </a:ext>
          </a:extLst>
        </xdr:cNvPr>
        <xdr:cNvSpPr txBox="1">
          <a:spLocks noChangeArrowheads="1"/>
        </xdr:cNvSpPr>
      </xdr:nvSpPr>
      <xdr:spPr bwMode="auto">
        <a:xfrm>
          <a:off x="295275" y="704850"/>
          <a:ext cx="4000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zh-TW" altLang="en-US" sz="1200" b="0" i="0" u="none" strike="noStrike" baseline="0">
              <a:solidFill>
                <a:srgbClr val="000000"/>
              </a:solidFill>
              <a:latin typeface="Times New Roman"/>
              <a:cs typeface="Times New Roman"/>
            </a:rPr>
            <a:t>85</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295275</xdr:colOff>
      <xdr:row>2</xdr:row>
      <xdr:rowOff>0</xdr:rowOff>
    </xdr:from>
    <xdr:to>
      <xdr:col>0</xdr:col>
      <xdr:colOff>695325</xdr:colOff>
      <xdr:row>2</xdr:row>
      <xdr:rowOff>0</xdr:rowOff>
    </xdr:to>
    <xdr:sp macro="" textlink="">
      <xdr:nvSpPr>
        <xdr:cNvPr id="12" name="Text Box 11">
          <a:extLst>
            <a:ext uri="{FF2B5EF4-FFF2-40B4-BE49-F238E27FC236}">
              <a16:creationId xmlns:a16="http://schemas.microsoft.com/office/drawing/2014/main" xmlns="" id="{613DF17B-FF51-4520-ADDA-E8CD43F705DB}"/>
            </a:ext>
          </a:extLst>
        </xdr:cNvPr>
        <xdr:cNvSpPr txBox="1">
          <a:spLocks noChangeArrowheads="1"/>
        </xdr:cNvSpPr>
      </xdr:nvSpPr>
      <xdr:spPr bwMode="auto">
        <a:xfrm>
          <a:off x="295275" y="704850"/>
          <a:ext cx="4000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zh-TW" altLang="en-US" sz="1200" b="0" i="0" u="none" strike="noStrike" baseline="0">
              <a:solidFill>
                <a:srgbClr val="000000"/>
              </a:solidFill>
              <a:latin typeface="Times New Roman"/>
              <a:cs typeface="Times New Roman"/>
            </a:rPr>
            <a:t>86</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847725</xdr:colOff>
      <xdr:row>2</xdr:row>
      <xdr:rowOff>0</xdr:rowOff>
    </xdr:from>
    <xdr:to>
      <xdr:col>0</xdr:col>
      <xdr:colOff>704850</xdr:colOff>
      <xdr:row>2</xdr:row>
      <xdr:rowOff>0</xdr:rowOff>
    </xdr:to>
    <xdr:sp macro="" textlink="">
      <xdr:nvSpPr>
        <xdr:cNvPr id="13" name="Text Box 12">
          <a:extLst>
            <a:ext uri="{FF2B5EF4-FFF2-40B4-BE49-F238E27FC236}">
              <a16:creationId xmlns:a16="http://schemas.microsoft.com/office/drawing/2014/main" xmlns="" id="{370B8F16-27EE-417C-815C-B466CC018FFA}"/>
            </a:ext>
          </a:extLst>
        </xdr:cNvPr>
        <xdr:cNvSpPr txBox="1">
          <a:spLocks noChangeArrowheads="1"/>
        </xdr:cNvSpPr>
      </xdr:nvSpPr>
      <xdr:spPr bwMode="auto">
        <a:xfrm>
          <a:off x="704850"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人數</a:t>
          </a:r>
          <a:r>
            <a:rPr lang="zh-TW" altLang="en-US" sz="1200" b="0" i="0" u="none" strike="noStrike" baseline="0">
              <a:solidFill>
                <a:srgbClr val="000000"/>
              </a:solidFill>
              <a:latin typeface="Times New Roman"/>
              <a:ea typeface="新細明體"/>
              <a:cs typeface="Times New Roman"/>
            </a:rPr>
            <a:t> %</a:t>
          </a:r>
          <a:endParaRPr lang="zh-TW" altLang="en-US"/>
        </a:p>
      </xdr:txBody>
    </xdr:sp>
    <xdr:clientData/>
  </xdr:twoCellAnchor>
  <xdr:twoCellAnchor>
    <xdr:from>
      <xdr:col>0</xdr:col>
      <xdr:colOff>762000</xdr:colOff>
      <xdr:row>2</xdr:row>
      <xdr:rowOff>0</xdr:rowOff>
    </xdr:from>
    <xdr:to>
      <xdr:col>0</xdr:col>
      <xdr:colOff>704850</xdr:colOff>
      <xdr:row>2</xdr:row>
      <xdr:rowOff>0</xdr:rowOff>
    </xdr:to>
    <xdr:sp macro="" textlink="">
      <xdr:nvSpPr>
        <xdr:cNvPr id="14" name="AutoShape 13">
          <a:extLst>
            <a:ext uri="{FF2B5EF4-FFF2-40B4-BE49-F238E27FC236}">
              <a16:creationId xmlns:a16="http://schemas.microsoft.com/office/drawing/2014/main" xmlns="" id="{F7E0CD2D-DABF-4EB2-9A91-FA6CEC2FCEE2}"/>
            </a:ext>
          </a:extLst>
        </xdr:cNvPr>
        <xdr:cNvSpPr>
          <a:spLocks/>
        </xdr:cNvSpPr>
      </xdr:nvSpPr>
      <xdr:spPr bwMode="auto">
        <a:xfrm>
          <a:off x="704850" y="7048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790575</xdr:colOff>
      <xdr:row>2</xdr:row>
      <xdr:rowOff>0</xdr:rowOff>
    </xdr:from>
    <xdr:to>
      <xdr:col>0</xdr:col>
      <xdr:colOff>704850</xdr:colOff>
      <xdr:row>2</xdr:row>
      <xdr:rowOff>0</xdr:rowOff>
    </xdr:to>
    <xdr:sp macro="" textlink="">
      <xdr:nvSpPr>
        <xdr:cNvPr id="15" name="AutoShape 14">
          <a:extLst>
            <a:ext uri="{FF2B5EF4-FFF2-40B4-BE49-F238E27FC236}">
              <a16:creationId xmlns:a16="http://schemas.microsoft.com/office/drawing/2014/main" xmlns="" id="{CCCAE2FB-2370-46AD-92E9-AD71158241D6}"/>
            </a:ext>
          </a:extLst>
        </xdr:cNvPr>
        <xdr:cNvSpPr>
          <a:spLocks/>
        </xdr:cNvSpPr>
      </xdr:nvSpPr>
      <xdr:spPr bwMode="auto">
        <a:xfrm>
          <a:off x="704850" y="7048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790575</xdr:colOff>
      <xdr:row>2</xdr:row>
      <xdr:rowOff>0</xdr:rowOff>
    </xdr:from>
    <xdr:to>
      <xdr:col>0</xdr:col>
      <xdr:colOff>704850</xdr:colOff>
      <xdr:row>2</xdr:row>
      <xdr:rowOff>0</xdr:rowOff>
    </xdr:to>
    <xdr:sp macro="" textlink="">
      <xdr:nvSpPr>
        <xdr:cNvPr id="16" name="AutoShape 15">
          <a:extLst>
            <a:ext uri="{FF2B5EF4-FFF2-40B4-BE49-F238E27FC236}">
              <a16:creationId xmlns:a16="http://schemas.microsoft.com/office/drawing/2014/main" xmlns="" id="{57A94B8D-B458-4065-B303-987C5509DB7A}"/>
            </a:ext>
          </a:extLst>
        </xdr:cNvPr>
        <xdr:cNvSpPr>
          <a:spLocks/>
        </xdr:cNvSpPr>
      </xdr:nvSpPr>
      <xdr:spPr bwMode="auto">
        <a:xfrm>
          <a:off x="704850" y="7048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790575</xdr:colOff>
      <xdr:row>2</xdr:row>
      <xdr:rowOff>0</xdr:rowOff>
    </xdr:from>
    <xdr:to>
      <xdr:col>0</xdr:col>
      <xdr:colOff>704850</xdr:colOff>
      <xdr:row>2</xdr:row>
      <xdr:rowOff>0</xdr:rowOff>
    </xdr:to>
    <xdr:sp macro="" textlink="">
      <xdr:nvSpPr>
        <xdr:cNvPr id="17" name="AutoShape 16">
          <a:extLst>
            <a:ext uri="{FF2B5EF4-FFF2-40B4-BE49-F238E27FC236}">
              <a16:creationId xmlns:a16="http://schemas.microsoft.com/office/drawing/2014/main" xmlns="" id="{57B14FF3-AACA-4918-AAF0-0B47C34F38EC}"/>
            </a:ext>
          </a:extLst>
        </xdr:cNvPr>
        <xdr:cNvSpPr>
          <a:spLocks/>
        </xdr:cNvSpPr>
      </xdr:nvSpPr>
      <xdr:spPr bwMode="auto">
        <a:xfrm>
          <a:off x="704850" y="7048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790575</xdr:colOff>
      <xdr:row>2</xdr:row>
      <xdr:rowOff>0</xdr:rowOff>
    </xdr:from>
    <xdr:to>
      <xdr:col>0</xdr:col>
      <xdr:colOff>704850</xdr:colOff>
      <xdr:row>2</xdr:row>
      <xdr:rowOff>0</xdr:rowOff>
    </xdr:to>
    <xdr:sp macro="" textlink="">
      <xdr:nvSpPr>
        <xdr:cNvPr id="18" name="AutoShape 17">
          <a:extLst>
            <a:ext uri="{FF2B5EF4-FFF2-40B4-BE49-F238E27FC236}">
              <a16:creationId xmlns:a16="http://schemas.microsoft.com/office/drawing/2014/main" xmlns="" id="{D3A81FE4-D0C6-451B-BAE8-9D08AE4E317D}"/>
            </a:ext>
          </a:extLst>
        </xdr:cNvPr>
        <xdr:cNvSpPr>
          <a:spLocks/>
        </xdr:cNvSpPr>
      </xdr:nvSpPr>
      <xdr:spPr bwMode="auto">
        <a:xfrm>
          <a:off x="704850" y="7048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790575</xdr:colOff>
      <xdr:row>2</xdr:row>
      <xdr:rowOff>0</xdr:rowOff>
    </xdr:from>
    <xdr:to>
      <xdr:col>0</xdr:col>
      <xdr:colOff>704850</xdr:colOff>
      <xdr:row>2</xdr:row>
      <xdr:rowOff>0</xdr:rowOff>
    </xdr:to>
    <xdr:sp macro="" textlink="">
      <xdr:nvSpPr>
        <xdr:cNvPr id="19" name="AutoShape 18">
          <a:extLst>
            <a:ext uri="{FF2B5EF4-FFF2-40B4-BE49-F238E27FC236}">
              <a16:creationId xmlns:a16="http://schemas.microsoft.com/office/drawing/2014/main" xmlns="" id="{C663F252-6020-4247-8E1C-B4829D517B03}"/>
            </a:ext>
          </a:extLst>
        </xdr:cNvPr>
        <xdr:cNvSpPr>
          <a:spLocks/>
        </xdr:cNvSpPr>
      </xdr:nvSpPr>
      <xdr:spPr bwMode="auto">
        <a:xfrm>
          <a:off x="704850" y="7048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847725</xdr:colOff>
      <xdr:row>2</xdr:row>
      <xdr:rowOff>0</xdr:rowOff>
    </xdr:from>
    <xdr:to>
      <xdr:col>0</xdr:col>
      <xdr:colOff>704850</xdr:colOff>
      <xdr:row>2</xdr:row>
      <xdr:rowOff>0</xdr:rowOff>
    </xdr:to>
    <xdr:sp macro="" textlink="">
      <xdr:nvSpPr>
        <xdr:cNvPr id="20" name="Text Box 19">
          <a:extLst>
            <a:ext uri="{FF2B5EF4-FFF2-40B4-BE49-F238E27FC236}">
              <a16:creationId xmlns:a16="http://schemas.microsoft.com/office/drawing/2014/main" xmlns="" id="{EBA24995-F928-4B9B-8DBD-12CBC4E41EEF}"/>
            </a:ext>
          </a:extLst>
        </xdr:cNvPr>
        <xdr:cNvSpPr txBox="1">
          <a:spLocks noChangeArrowheads="1"/>
        </xdr:cNvSpPr>
      </xdr:nvSpPr>
      <xdr:spPr bwMode="auto">
        <a:xfrm>
          <a:off x="704850"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人數</a:t>
          </a:r>
          <a:r>
            <a:rPr lang="zh-TW" altLang="en-US" sz="1200" b="0" i="0" u="none" strike="noStrike" baseline="0">
              <a:solidFill>
                <a:srgbClr val="000000"/>
              </a:solidFill>
              <a:latin typeface="Times New Roman"/>
              <a:ea typeface="新細明體"/>
              <a:cs typeface="Times New Roman"/>
            </a:rPr>
            <a:t> %</a:t>
          </a:r>
          <a:endParaRPr lang="zh-TW" altLang="en-US"/>
        </a:p>
      </xdr:txBody>
    </xdr:sp>
    <xdr:clientData/>
  </xdr:twoCellAnchor>
  <xdr:twoCellAnchor>
    <xdr:from>
      <xdr:col>0</xdr:col>
      <xdr:colOff>790575</xdr:colOff>
      <xdr:row>2</xdr:row>
      <xdr:rowOff>0</xdr:rowOff>
    </xdr:from>
    <xdr:to>
      <xdr:col>0</xdr:col>
      <xdr:colOff>704850</xdr:colOff>
      <xdr:row>2</xdr:row>
      <xdr:rowOff>0</xdr:rowOff>
    </xdr:to>
    <xdr:sp macro="" textlink="">
      <xdr:nvSpPr>
        <xdr:cNvPr id="21" name="AutoShape 20">
          <a:extLst>
            <a:ext uri="{FF2B5EF4-FFF2-40B4-BE49-F238E27FC236}">
              <a16:creationId xmlns:a16="http://schemas.microsoft.com/office/drawing/2014/main" xmlns="" id="{F23594C2-4CDD-4DDF-B228-9D25DA4EF89D}"/>
            </a:ext>
          </a:extLst>
        </xdr:cNvPr>
        <xdr:cNvSpPr>
          <a:spLocks/>
        </xdr:cNvSpPr>
      </xdr:nvSpPr>
      <xdr:spPr bwMode="auto">
        <a:xfrm>
          <a:off x="704850" y="7048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295275</xdr:colOff>
      <xdr:row>2</xdr:row>
      <xdr:rowOff>0</xdr:rowOff>
    </xdr:from>
    <xdr:to>
      <xdr:col>0</xdr:col>
      <xdr:colOff>695325</xdr:colOff>
      <xdr:row>2</xdr:row>
      <xdr:rowOff>0</xdr:rowOff>
    </xdr:to>
    <xdr:sp macro="" textlink="">
      <xdr:nvSpPr>
        <xdr:cNvPr id="22" name="Text Box 21">
          <a:extLst>
            <a:ext uri="{FF2B5EF4-FFF2-40B4-BE49-F238E27FC236}">
              <a16:creationId xmlns:a16="http://schemas.microsoft.com/office/drawing/2014/main" xmlns="" id="{E76DF01B-B576-494E-8F2C-0312E3389D3A}"/>
            </a:ext>
          </a:extLst>
        </xdr:cNvPr>
        <xdr:cNvSpPr txBox="1">
          <a:spLocks noChangeArrowheads="1"/>
        </xdr:cNvSpPr>
      </xdr:nvSpPr>
      <xdr:spPr bwMode="auto">
        <a:xfrm>
          <a:off x="295275" y="704850"/>
          <a:ext cx="4000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zh-TW" altLang="en-US" sz="1200" b="0" i="0" u="none" strike="noStrike" baseline="0">
              <a:solidFill>
                <a:srgbClr val="000000"/>
              </a:solidFill>
              <a:latin typeface="Times New Roman"/>
              <a:cs typeface="Times New Roman"/>
            </a:rPr>
            <a:t>88</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847725</xdr:colOff>
      <xdr:row>2</xdr:row>
      <xdr:rowOff>0</xdr:rowOff>
    </xdr:from>
    <xdr:to>
      <xdr:col>0</xdr:col>
      <xdr:colOff>704850</xdr:colOff>
      <xdr:row>2</xdr:row>
      <xdr:rowOff>0</xdr:rowOff>
    </xdr:to>
    <xdr:sp macro="" textlink="">
      <xdr:nvSpPr>
        <xdr:cNvPr id="23" name="Text Box 22">
          <a:extLst>
            <a:ext uri="{FF2B5EF4-FFF2-40B4-BE49-F238E27FC236}">
              <a16:creationId xmlns:a16="http://schemas.microsoft.com/office/drawing/2014/main" xmlns="" id="{7732E6FF-EB4C-4ED0-A45B-D9DC693427C9}"/>
            </a:ext>
          </a:extLst>
        </xdr:cNvPr>
        <xdr:cNvSpPr txBox="1">
          <a:spLocks noChangeArrowheads="1"/>
        </xdr:cNvSpPr>
      </xdr:nvSpPr>
      <xdr:spPr bwMode="auto">
        <a:xfrm>
          <a:off x="704850"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人數</a:t>
          </a:r>
          <a:r>
            <a:rPr lang="zh-TW" altLang="en-US" sz="1200" b="0" i="0" u="none" strike="noStrike" baseline="0">
              <a:solidFill>
                <a:srgbClr val="000000"/>
              </a:solidFill>
              <a:latin typeface="Times New Roman"/>
              <a:ea typeface="新細明體"/>
              <a:cs typeface="Times New Roman"/>
            </a:rPr>
            <a:t> %</a:t>
          </a:r>
          <a:endParaRPr lang="zh-TW" altLang="en-US"/>
        </a:p>
      </xdr:txBody>
    </xdr:sp>
    <xdr:clientData/>
  </xdr:twoCellAnchor>
  <xdr:twoCellAnchor>
    <xdr:from>
      <xdr:col>0</xdr:col>
      <xdr:colOff>847725</xdr:colOff>
      <xdr:row>2</xdr:row>
      <xdr:rowOff>0</xdr:rowOff>
    </xdr:from>
    <xdr:to>
      <xdr:col>0</xdr:col>
      <xdr:colOff>704850</xdr:colOff>
      <xdr:row>2</xdr:row>
      <xdr:rowOff>0</xdr:rowOff>
    </xdr:to>
    <xdr:sp macro="" textlink="">
      <xdr:nvSpPr>
        <xdr:cNvPr id="24" name="Text Box 23">
          <a:extLst>
            <a:ext uri="{FF2B5EF4-FFF2-40B4-BE49-F238E27FC236}">
              <a16:creationId xmlns:a16="http://schemas.microsoft.com/office/drawing/2014/main" xmlns="" id="{0AF706D7-C60E-4338-841B-F262E49421B3}"/>
            </a:ext>
          </a:extLst>
        </xdr:cNvPr>
        <xdr:cNvSpPr txBox="1">
          <a:spLocks noChangeArrowheads="1"/>
        </xdr:cNvSpPr>
      </xdr:nvSpPr>
      <xdr:spPr bwMode="auto">
        <a:xfrm>
          <a:off x="704850"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人數</a:t>
          </a:r>
          <a:r>
            <a:rPr lang="zh-TW" altLang="en-US" sz="1200" b="0" i="0" u="none" strike="noStrike" baseline="0">
              <a:solidFill>
                <a:srgbClr val="000000"/>
              </a:solidFill>
              <a:latin typeface="Times New Roman"/>
              <a:ea typeface="新細明體"/>
              <a:cs typeface="Times New Roman"/>
            </a:rPr>
            <a:t> %</a:t>
          </a:r>
          <a:endParaRPr lang="zh-TW" altLang="en-US"/>
        </a:p>
      </xdr:txBody>
    </xdr:sp>
    <xdr:clientData/>
  </xdr:twoCellAnchor>
  <xdr:twoCellAnchor>
    <xdr:from>
      <xdr:col>0</xdr:col>
      <xdr:colOff>790575</xdr:colOff>
      <xdr:row>2</xdr:row>
      <xdr:rowOff>0</xdr:rowOff>
    </xdr:from>
    <xdr:to>
      <xdr:col>0</xdr:col>
      <xdr:colOff>704850</xdr:colOff>
      <xdr:row>2</xdr:row>
      <xdr:rowOff>0</xdr:rowOff>
    </xdr:to>
    <xdr:sp macro="" textlink="">
      <xdr:nvSpPr>
        <xdr:cNvPr id="25" name="AutoShape 24">
          <a:extLst>
            <a:ext uri="{FF2B5EF4-FFF2-40B4-BE49-F238E27FC236}">
              <a16:creationId xmlns:a16="http://schemas.microsoft.com/office/drawing/2014/main" xmlns="" id="{0CA751AB-DC77-4349-8FA2-3E4FF498F1B3}"/>
            </a:ext>
          </a:extLst>
        </xdr:cNvPr>
        <xdr:cNvSpPr>
          <a:spLocks/>
        </xdr:cNvSpPr>
      </xdr:nvSpPr>
      <xdr:spPr bwMode="auto">
        <a:xfrm>
          <a:off x="704850" y="7048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285750</xdr:colOff>
      <xdr:row>2</xdr:row>
      <xdr:rowOff>0</xdr:rowOff>
    </xdr:from>
    <xdr:to>
      <xdr:col>0</xdr:col>
      <xdr:colOff>685800</xdr:colOff>
      <xdr:row>2</xdr:row>
      <xdr:rowOff>0</xdr:rowOff>
    </xdr:to>
    <xdr:sp macro="" textlink="">
      <xdr:nvSpPr>
        <xdr:cNvPr id="26" name="Text Box 25">
          <a:extLst>
            <a:ext uri="{FF2B5EF4-FFF2-40B4-BE49-F238E27FC236}">
              <a16:creationId xmlns:a16="http://schemas.microsoft.com/office/drawing/2014/main" xmlns="" id="{1840982C-D1E5-444B-B55D-E178DF812A5D}"/>
            </a:ext>
          </a:extLst>
        </xdr:cNvPr>
        <xdr:cNvSpPr txBox="1">
          <a:spLocks noChangeArrowheads="1"/>
        </xdr:cNvSpPr>
      </xdr:nvSpPr>
      <xdr:spPr bwMode="auto">
        <a:xfrm>
          <a:off x="285750" y="704850"/>
          <a:ext cx="4000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zh-TW" altLang="en-US" sz="1200" b="0" i="0" u="none" strike="noStrike" baseline="0">
              <a:solidFill>
                <a:srgbClr val="000000"/>
              </a:solidFill>
              <a:latin typeface="Times New Roman"/>
              <a:cs typeface="Times New Roman"/>
            </a:rPr>
            <a:t>87</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847725</xdr:colOff>
      <xdr:row>2</xdr:row>
      <xdr:rowOff>0</xdr:rowOff>
    </xdr:from>
    <xdr:to>
      <xdr:col>0</xdr:col>
      <xdr:colOff>704850</xdr:colOff>
      <xdr:row>2</xdr:row>
      <xdr:rowOff>0</xdr:rowOff>
    </xdr:to>
    <xdr:sp macro="" textlink="">
      <xdr:nvSpPr>
        <xdr:cNvPr id="27" name="Text Box 26">
          <a:extLst>
            <a:ext uri="{FF2B5EF4-FFF2-40B4-BE49-F238E27FC236}">
              <a16:creationId xmlns:a16="http://schemas.microsoft.com/office/drawing/2014/main" xmlns="" id="{FCC6098E-8F80-47A9-B137-059165EC0640}"/>
            </a:ext>
          </a:extLst>
        </xdr:cNvPr>
        <xdr:cNvSpPr txBox="1">
          <a:spLocks noChangeArrowheads="1"/>
        </xdr:cNvSpPr>
      </xdr:nvSpPr>
      <xdr:spPr bwMode="auto">
        <a:xfrm>
          <a:off x="704850"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人數</a:t>
          </a:r>
          <a:r>
            <a:rPr lang="zh-TW" altLang="en-US" sz="1200" b="0" i="0" u="none" strike="noStrike" baseline="0">
              <a:solidFill>
                <a:srgbClr val="000000"/>
              </a:solidFill>
              <a:latin typeface="Times New Roman"/>
              <a:ea typeface="新細明體"/>
              <a:cs typeface="Times New Roman"/>
            </a:rPr>
            <a:t> %</a:t>
          </a:r>
          <a:endParaRPr lang="zh-TW" altLang="en-US"/>
        </a:p>
      </xdr:txBody>
    </xdr:sp>
    <xdr:clientData/>
  </xdr:twoCellAnchor>
  <xdr:twoCellAnchor>
    <xdr:from>
      <xdr:col>0</xdr:col>
      <xdr:colOff>790575</xdr:colOff>
      <xdr:row>2</xdr:row>
      <xdr:rowOff>0</xdr:rowOff>
    </xdr:from>
    <xdr:to>
      <xdr:col>0</xdr:col>
      <xdr:colOff>704850</xdr:colOff>
      <xdr:row>2</xdr:row>
      <xdr:rowOff>0</xdr:rowOff>
    </xdr:to>
    <xdr:sp macro="" textlink="">
      <xdr:nvSpPr>
        <xdr:cNvPr id="28" name="AutoShape 27">
          <a:extLst>
            <a:ext uri="{FF2B5EF4-FFF2-40B4-BE49-F238E27FC236}">
              <a16:creationId xmlns:a16="http://schemas.microsoft.com/office/drawing/2014/main" xmlns="" id="{FD38FEBA-F386-4F5D-9682-18F26C72D655}"/>
            </a:ext>
          </a:extLst>
        </xdr:cNvPr>
        <xdr:cNvSpPr>
          <a:spLocks/>
        </xdr:cNvSpPr>
      </xdr:nvSpPr>
      <xdr:spPr bwMode="auto">
        <a:xfrm>
          <a:off x="704850" y="7048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200025</xdr:colOff>
      <xdr:row>2</xdr:row>
      <xdr:rowOff>0</xdr:rowOff>
    </xdr:from>
    <xdr:to>
      <xdr:col>0</xdr:col>
      <xdr:colOff>704850</xdr:colOff>
      <xdr:row>2</xdr:row>
      <xdr:rowOff>0</xdr:rowOff>
    </xdr:to>
    <xdr:sp macro="" textlink="">
      <xdr:nvSpPr>
        <xdr:cNvPr id="29" name="Text Box 28">
          <a:extLst>
            <a:ext uri="{FF2B5EF4-FFF2-40B4-BE49-F238E27FC236}">
              <a16:creationId xmlns:a16="http://schemas.microsoft.com/office/drawing/2014/main" xmlns="" id="{A5375398-230F-4C71-B421-CF2BA6C66CF3}"/>
            </a:ext>
          </a:extLst>
        </xdr:cNvPr>
        <xdr:cNvSpPr txBox="1">
          <a:spLocks noChangeArrowheads="1"/>
        </xdr:cNvSpPr>
      </xdr:nvSpPr>
      <xdr:spPr bwMode="auto">
        <a:xfrm>
          <a:off x="200025" y="704850"/>
          <a:ext cx="5048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zh-TW" altLang="en-US" sz="1200" b="0" i="0" u="none" strike="noStrike" baseline="0">
              <a:solidFill>
                <a:srgbClr val="000000"/>
              </a:solidFill>
              <a:latin typeface="Times New Roman"/>
              <a:cs typeface="Times New Roman"/>
            </a:rPr>
            <a:t>92</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847725</xdr:colOff>
      <xdr:row>2</xdr:row>
      <xdr:rowOff>0</xdr:rowOff>
    </xdr:from>
    <xdr:to>
      <xdr:col>0</xdr:col>
      <xdr:colOff>704850</xdr:colOff>
      <xdr:row>2</xdr:row>
      <xdr:rowOff>0</xdr:rowOff>
    </xdr:to>
    <xdr:sp macro="" textlink="">
      <xdr:nvSpPr>
        <xdr:cNvPr id="30" name="Text Box 29">
          <a:extLst>
            <a:ext uri="{FF2B5EF4-FFF2-40B4-BE49-F238E27FC236}">
              <a16:creationId xmlns:a16="http://schemas.microsoft.com/office/drawing/2014/main" xmlns="" id="{C589A8CD-281D-4BCB-B41E-49F91AA280D9}"/>
            </a:ext>
          </a:extLst>
        </xdr:cNvPr>
        <xdr:cNvSpPr txBox="1">
          <a:spLocks noChangeArrowheads="1"/>
        </xdr:cNvSpPr>
      </xdr:nvSpPr>
      <xdr:spPr bwMode="auto">
        <a:xfrm>
          <a:off x="704850"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人</a:t>
          </a:r>
          <a:r>
            <a:rPr lang="zh-TW" altLang="en-US" sz="1200" b="0" i="0" u="none" strike="noStrike" baseline="0">
              <a:solidFill>
                <a:srgbClr val="000000"/>
              </a:solidFill>
              <a:latin typeface="Times New Roman"/>
              <a:ea typeface="新細明體"/>
              <a:cs typeface="Times New Roman"/>
            </a:rPr>
            <a:t>   %</a:t>
          </a:r>
          <a:endParaRPr lang="zh-TW" altLang="en-US"/>
        </a:p>
      </xdr:txBody>
    </xdr:sp>
    <xdr:clientData/>
  </xdr:twoCellAnchor>
  <xdr:twoCellAnchor>
    <xdr:from>
      <xdr:col>0</xdr:col>
      <xdr:colOff>295275</xdr:colOff>
      <xdr:row>2</xdr:row>
      <xdr:rowOff>0</xdr:rowOff>
    </xdr:from>
    <xdr:to>
      <xdr:col>0</xdr:col>
      <xdr:colOff>695325</xdr:colOff>
      <xdr:row>2</xdr:row>
      <xdr:rowOff>0</xdr:rowOff>
    </xdr:to>
    <xdr:sp macro="" textlink="">
      <xdr:nvSpPr>
        <xdr:cNvPr id="31" name="Text Box 30">
          <a:extLst>
            <a:ext uri="{FF2B5EF4-FFF2-40B4-BE49-F238E27FC236}">
              <a16:creationId xmlns:a16="http://schemas.microsoft.com/office/drawing/2014/main" xmlns="" id="{11D673EB-DE5C-453B-BE3A-F584EC7BC9D8}"/>
            </a:ext>
          </a:extLst>
        </xdr:cNvPr>
        <xdr:cNvSpPr txBox="1">
          <a:spLocks noChangeArrowheads="1"/>
        </xdr:cNvSpPr>
      </xdr:nvSpPr>
      <xdr:spPr bwMode="auto">
        <a:xfrm>
          <a:off x="295275" y="704850"/>
          <a:ext cx="4000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zh-TW" altLang="en-US" sz="1200" b="0" i="0" u="none" strike="noStrike" baseline="0">
              <a:solidFill>
                <a:srgbClr val="000000"/>
              </a:solidFill>
              <a:latin typeface="Times New Roman"/>
              <a:cs typeface="Times New Roman"/>
            </a:rPr>
            <a:t>89</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847725</xdr:colOff>
      <xdr:row>2</xdr:row>
      <xdr:rowOff>0</xdr:rowOff>
    </xdr:from>
    <xdr:to>
      <xdr:col>0</xdr:col>
      <xdr:colOff>704850</xdr:colOff>
      <xdr:row>2</xdr:row>
      <xdr:rowOff>0</xdr:rowOff>
    </xdr:to>
    <xdr:sp macro="" textlink="">
      <xdr:nvSpPr>
        <xdr:cNvPr id="32" name="Text Box 31">
          <a:extLst>
            <a:ext uri="{FF2B5EF4-FFF2-40B4-BE49-F238E27FC236}">
              <a16:creationId xmlns:a16="http://schemas.microsoft.com/office/drawing/2014/main" xmlns="" id="{FBDCFD4B-B5DB-440A-9301-5035C5D58DA4}"/>
            </a:ext>
          </a:extLst>
        </xdr:cNvPr>
        <xdr:cNvSpPr txBox="1">
          <a:spLocks noChangeArrowheads="1"/>
        </xdr:cNvSpPr>
      </xdr:nvSpPr>
      <xdr:spPr bwMode="auto">
        <a:xfrm>
          <a:off x="704850"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人數</a:t>
          </a:r>
          <a:r>
            <a:rPr lang="zh-TW" altLang="en-US" sz="1200" b="0" i="0" u="none" strike="noStrike" baseline="0">
              <a:solidFill>
                <a:srgbClr val="000000"/>
              </a:solidFill>
              <a:latin typeface="Times New Roman"/>
              <a:ea typeface="新細明體"/>
              <a:cs typeface="Times New Roman"/>
            </a:rPr>
            <a:t> %</a:t>
          </a:r>
          <a:endParaRPr lang="zh-TW" altLang="en-US"/>
        </a:p>
      </xdr:txBody>
    </xdr:sp>
    <xdr:clientData/>
  </xdr:twoCellAnchor>
  <xdr:twoCellAnchor>
    <xdr:from>
      <xdr:col>0</xdr:col>
      <xdr:colOff>790575</xdr:colOff>
      <xdr:row>2</xdr:row>
      <xdr:rowOff>0</xdr:rowOff>
    </xdr:from>
    <xdr:to>
      <xdr:col>0</xdr:col>
      <xdr:colOff>704850</xdr:colOff>
      <xdr:row>2</xdr:row>
      <xdr:rowOff>0</xdr:rowOff>
    </xdr:to>
    <xdr:sp macro="" textlink="">
      <xdr:nvSpPr>
        <xdr:cNvPr id="33" name="AutoShape 32">
          <a:extLst>
            <a:ext uri="{FF2B5EF4-FFF2-40B4-BE49-F238E27FC236}">
              <a16:creationId xmlns:a16="http://schemas.microsoft.com/office/drawing/2014/main" xmlns="" id="{E032BB9D-974E-48A4-A530-57E16069BCAF}"/>
            </a:ext>
          </a:extLst>
        </xdr:cNvPr>
        <xdr:cNvSpPr>
          <a:spLocks/>
        </xdr:cNvSpPr>
      </xdr:nvSpPr>
      <xdr:spPr bwMode="auto">
        <a:xfrm>
          <a:off x="704850" y="7048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295275</xdr:colOff>
      <xdr:row>2</xdr:row>
      <xdr:rowOff>0</xdr:rowOff>
    </xdr:from>
    <xdr:to>
      <xdr:col>0</xdr:col>
      <xdr:colOff>695325</xdr:colOff>
      <xdr:row>2</xdr:row>
      <xdr:rowOff>0</xdr:rowOff>
    </xdr:to>
    <xdr:sp macro="" textlink="">
      <xdr:nvSpPr>
        <xdr:cNvPr id="34" name="Text Box 33">
          <a:extLst>
            <a:ext uri="{FF2B5EF4-FFF2-40B4-BE49-F238E27FC236}">
              <a16:creationId xmlns:a16="http://schemas.microsoft.com/office/drawing/2014/main" xmlns="" id="{BCF7A1E8-BBA3-4801-938F-0BE927733C54}"/>
            </a:ext>
          </a:extLst>
        </xdr:cNvPr>
        <xdr:cNvSpPr txBox="1">
          <a:spLocks noChangeArrowheads="1"/>
        </xdr:cNvSpPr>
      </xdr:nvSpPr>
      <xdr:spPr bwMode="auto">
        <a:xfrm>
          <a:off x="295275" y="704850"/>
          <a:ext cx="4000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zh-TW" altLang="en-US" sz="1200" b="0" i="0" u="none" strike="noStrike" baseline="0">
              <a:solidFill>
                <a:srgbClr val="000000"/>
              </a:solidFill>
              <a:latin typeface="Times New Roman"/>
              <a:cs typeface="Times New Roman"/>
            </a:rPr>
            <a:t>90</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847725</xdr:colOff>
      <xdr:row>2</xdr:row>
      <xdr:rowOff>0</xdr:rowOff>
    </xdr:from>
    <xdr:to>
      <xdr:col>0</xdr:col>
      <xdr:colOff>704850</xdr:colOff>
      <xdr:row>2</xdr:row>
      <xdr:rowOff>0</xdr:rowOff>
    </xdr:to>
    <xdr:sp macro="" textlink="">
      <xdr:nvSpPr>
        <xdr:cNvPr id="35" name="Text Box 34">
          <a:extLst>
            <a:ext uri="{FF2B5EF4-FFF2-40B4-BE49-F238E27FC236}">
              <a16:creationId xmlns:a16="http://schemas.microsoft.com/office/drawing/2014/main" xmlns="" id="{9C8A6C1C-5B85-4341-8A36-97FD859495DB}"/>
            </a:ext>
          </a:extLst>
        </xdr:cNvPr>
        <xdr:cNvSpPr txBox="1">
          <a:spLocks noChangeArrowheads="1"/>
        </xdr:cNvSpPr>
      </xdr:nvSpPr>
      <xdr:spPr bwMode="auto">
        <a:xfrm>
          <a:off x="704850"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人數</a:t>
          </a:r>
          <a:r>
            <a:rPr lang="zh-TW" altLang="en-US" sz="1200" b="0" i="0" u="none" strike="noStrike" baseline="0">
              <a:solidFill>
                <a:srgbClr val="000000"/>
              </a:solidFill>
              <a:latin typeface="Times New Roman"/>
              <a:ea typeface="新細明體"/>
              <a:cs typeface="Times New Roman"/>
            </a:rPr>
            <a:t> %</a:t>
          </a:r>
          <a:endParaRPr lang="zh-TW" altLang="en-US"/>
        </a:p>
      </xdr:txBody>
    </xdr:sp>
    <xdr:clientData/>
  </xdr:twoCellAnchor>
  <xdr:twoCellAnchor>
    <xdr:from>
      <xdr:col>0</xdr:col>
      <xdr:colOff>790575</xdr:colOff>
      <xdr:row>2</xdr:row>
      <xdr:rowOff>0</xdr:rowOff>
    </xdr:from>
    <xdr:to>
      <xdr:col>0</xdr:col>
      <xdr:colOff>704850</xdr:colOff>
      <xdr:row>2</xdr:row>
      <xdr:rowOff>0</xdr:rowOff>
    </xdr:to>
    <xdr:sp macro="" textlink="">
      <xdr:nvSpPr>
        <xdr:cNvPr id="36" name="AutoShape 35">
          <a:extLst>
            <a:ext uri="{FF2B5EF4-FFF2-40B4-BE49-F238E27FC236}">
              <a16:creationId xmlns:a16="http://schemas.microsoft.com/office/drawing/2014/main" xmlns="" id="{2ED24DA6-750F-4604-A00C-6579E2EDADB7}"/>
            </a:ext>
          </a:extLst>
        </xdr:cNvPr>
        <xdr:cNvSpPr>
          <a:spLocks/>
        </xdr:cNvSpPr>
      </xdr:nvSpPr>
      <xdr:spPr bwMode="auto">
        <a:xfrm>
          <a:off x="704850" y="7048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228600</xdr:colOff>
      <xdr:row>2</xdr:row>
      <xdr:rowOff>0</xdr:rowOff>
    </xdr:from>
    <xdr:to>
      <xdr:col>0</xdr:col>
      <xdr:colOff>695325</xdr:colOff>
      <xdr:row>2</xdr:row>
      <xdr:rowOff>0</xdr:rowOff>
    </xdr:to>
    <xdr:sp macro="" textlink="">
      <xdr:nvSpPr>
        <xdr:cNvPr id="37" name="Text Box 36">
          <a:extLst>
            <a:ext uri="{FF2B5EF4-FFF2-40B4-BE49-F238E27FC236}">
              <a16:creationId xmlns:a16="http://schemas.microsoft.com/office/drawing/2014/main" xmlns="" id="{2BDB78DB-B8D7-4DF2-B005-EAF67119CBB2}"/>
            </a:ext>
          </a:extLst>
        </xdr:cNvPr>
        <xdr:cNvSpPr txBox="1">
          <a:spLocks noChangeArrowheads="1"/>
        </xdr:cNvSpPr>
      </xdr:nvSpPr>
      <xdr:spPr bwMode="auto">
        <a:xfrm>
          <a:off x="228600" y="704850"/>
          <a:ext cx="4667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zh-TW" altLang="en-US" sz="1200" b="0" i="0" u="none" strike="noStrike" baseline="0">
              <a:solidFill>
                <a:srgbClr val="000000"/>
              </a:solidFill>
              <a:latin typeface="Times New Roman"/>
              <a:cs typeface="Times New Roman"/>
            </a:rPr>
            <a:t>91</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847725</xdr:colOff>
      <xdr:row>2</xdr:row>
      <xdr:rowOff>0</xdr:rowOff>
    </xdr:from>
    <xdr:to>
      <xdr:col>0</xdr:col>
      <xdr:colOff>704850</xdr:colOff>
      <xdr:row>2</xdr:row>
      <xdr:rowOff>0</xdr:rowOff>
    </xdr:to>
    <xdr:sp macro="" textlink="">
      <xdr:nvSpPr>
        <xdr:cNvPr id="38" name="Text Box 37">
          <a:extLst>
            <a:ext uri="{FF2B5EF4-FFF2-40B4-BE49-F238E27FC236}">
              <a16:creationId xmlns:a16="http://schemas.microsoft.com/office/drawing/2014/main" xmlns="" id="{6CFE1F67-C551-4C56-91BD-6DB4D0863735}"/>
            </a:ext>
          </a:extLst>
        </xdr:cNvPr>
        <xdr:cNvSpPr txBox="1">
          <a:spLocks noChangeArrowheads="1"/>
        </xdr:cNvSpPr>
      </xdr:nvSpPr>
      <xdr:spPr bwMode="auto">
        <a:xfrm>
          <a:off x="704850"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人</a:t>
          </a:r>
        </a:p>
        <a:p>
          <a:pPr algn="ctr" rtl="0">
            <a:defRPr sz="1000"/>
          </a:pPr>
          <a:r>
            <a:rPr lang="zh-TW" altLang="en-US" sz="1200" b="0" i="0" u="none" strike="noStrike" baseline="0">
              <a:solidFill>
                <a:srgbClr val="000000"/>
              </a:solidFill>
              <a:latin typeface="Times New Roman"/>
              <a:cs typeface="Times New Roman"/>
            </a:rPr>
            <a:t> %</a:t>
          </a:r>
          <a:endParaRPr lang="zh-TW" altLang="en-US"/>
        </a:p>
      </xdr:txBody>
    </xdr:sp>
    <xdr:clientData/>
  </xdr:twoCellAnchor>
  <xdr:twoCellAnchor>
    <xdr:from>
      <xdr:col>0</xdr:col>
      <xdr:colOff>790575</xdr:colOff>
      <xdr:row>2</xdr:row>
      <xdr:rowOff>0</xdr:rowOff>
    </xdr:from>
    <xdr:to>
      <xdr:col>0</xdr:col>
      <xdr:colOff>704850</xdr:colOff>
      <xdr:row>2</xdr:row>
      <xdr:rowOff>0</xdr:rowOff>
    </xdr:to>
    <xdr:sp macro="" textlink="">
      <xdr:nvSpPr>
        <xdr:cNvPr id="39" name="AutoShape 38">
          <a:extLst>
            <a:ext uri="{FF2B5EF4-FFF2-40B4-BE49-F238E27FC236}">
              <a16:creationId xmlns:a16="http://schemas.microsoft.com/office/drawing/2014/main" xmlns="" id="{5C34256D-E27C-4164-A4CB-950944E582F0}"/>
            </a:ext>
          </a:extLst>
        </xdr:cNvPr>
        <xdr:cNvSpPr>
          <a:spLocks/>
        </xdr:cNvSpPr>
      </xdr:nvSpPr>
      <xdr:spPr bwMode="auto">
        <a:xfrm>
          <a:off x="704850" y="7048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790575</xdr:colOff>
      <xdr:row>2</xdr:row>
      <xdr:rowOff>0</xdr:rowOff>
    </xdr:from>
    <xdr:to>
      <xdr:col>0</xdr:col>
      <xdr:colOff>704850</xdr:colOff>
      <xdr:row>2</xdr:row>
      <xdr:rowOff>0</xdr:rowOff>
    </xdr:to>
    <xdr:sp macro="" textlink="">
      <xdr:nvSpPr>
        <xdr:cNvPr id="40" name="AutoShape 40">
          <a:extLst>
            <a:ext uri="{FF2B5EF4-FFF2-40B4-BE49-F238E27FC236}">
              <a16:creationId xmlns:a16="http://schemas.microsoft.com/office/drawing/2014/main" xmlns="" id="{43308F92-656B-43AB-9A13-9713D946BD8E}"/>
            </a:ext>
          </a:extLst>
        </xdr:cNvPr>
        <xdr:cNvSpPr>
          <a:spLocks/>
        </xdr:cNvSpPr>
      </xdr:nvSpPr>
      <xdr:spPr bwMode="auto">
        <a:xfrm>
          <a:off x="704850" y="7048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200025</xdr:colOff>
      <xdr:row>2</xdr:row>
      <xdr:rowOff>0</xdr:rowOff>
    </xdr:from>
    <xdr:to>
      <xdr:col>0</xdr:col>
      <xdr:colOff>704850</xdr:colOff>
      <xdr:row>2</xdr:row>
      <xdr:rowOff>0</xdr:rowOff>
    </xdr:to>
    <xdr:sp macro="" textlink="">
      <xdr:nvSpPr>
        <xdr:cNvPr id="41" name="Text Box 41">
          <a:extLst>
            <a:ext uri="{FF2B5EF4-FFF2-40B4-BE49-F238E27FC236}">
              <a16:creationId xmlns:a16="http://schemas.microsoft.com/office/drawing/2014/main" xmlns="" id="{7EC29582-39B8-49A4-99C0-872F5DAD1D62}"/>
            </a:ext>
          </a:extLst>
        </xdr:cNvPr>
        <xdr:cNvSpPr txBox="1">
          <a:spLocks noChangeArrowheads="1"/>
        </xdr:cNvSpPr>
      </xdr:nvSpPr>
      <xdr:spPr bwMode="auto">
        <a:xfrm>
          <a:off x="200025" y="704850"/>
          <a:ext cx="5048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zh-TW" altLang="en-US" sz="1200" b="0" i="0" u="none" strike="noStrike" baseline="0">
              <a:solidFill>
                <a:srgbClr val="000000"/>
              </a:solidFill>
              <a:latin typeface="Times New Roman"/>
              <a:cs typeface="Times New Roman"/>
            </a:rPr>
            <a:t>93</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847725</xdr:colOff>
      <xdr:row>2</xdr:row>
      <xdr:rowOff>0</xdr:rowOff>
    </xdr:from>
    <xdr:to>
      <xdr:col>0</xdr:col>
      <xdr:colOff>704850</xdr:colOff>
      <xdr:row>2</xdr:row>
      <xdr:rowOff>0</xdr:rowOff>
    </xdr:to>
    <xdr:sp macro="" textlink="">
      <xdr:nvSpPr>
        <xdr:cNvPr id="42" name="Text Box 42">
          <a:extLst>
            <a:ext uri="{FF2B5EF4-FFF2-40B4-BE49-F238E27FC236}">
              <a16:creationId xmlns:a16="http://schemas.microsoft.com/office/drawing/2014/main" xmlns="" id="{76025AC0-6D1A-4306-B483-1028FF6C38EE}"/>
            </a:ext>
          </a:extLst>
        </xdr:cNvPr>
        <xdr:cNvSpPr txBox="1">
          <a:spLocks noChangeArrowheads="1"/>
        </xdr:cNvSpPr>
      </xdr:nvSpPr>
      <xdr:spPr bwMode="auto">
        <a:xfrm>
          <a:off x="704850" y="7048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人</a:t>
          </a:r>
          <a:r>
            <a:rPr lang="zh-TW" altLang="en-US" sz="1200" b="0" i="0" u="none" strike="noStrike" baseline="0">
              <a:solidFill>
                <a:srgbClr val="000000"/>
              </a:solidFill>
              <a:latin typeface="Times New Roman"/>
              <a:ea typeface="新細明體"/>
              <a:cs typeface="Times New Roman"/>
            </a:rPr>
            <a:t>   %</a:t>
          </a:r>
          <a:endParaRPr lang="zh-TW" altLang="en-US"/>
        </a:p>
      </xdr:txBody>
    </xdr:sp>
    <xdr:clientData/>
  </xdr:twoCellAnchor>
  <xdr:twoCellAnchor>
    <xdr:from>
      <xdr:col>0</xdr:col>
      <xdr:colOff>790575</xdr:colOff>
      <xdr:row>2</xdr:row>
      <xdr:rowOff>0</xdr:rowOff>
    </xdr:from>
    <xdr:to>
      <xdr:col>0</xdr:col>
      <xdr:colOff>704850</xdr:colOff>
      <xdr:row>2</xdr:row>
      <xdr:rowOff>0</xdr:rowOff>
    </xdr:to>
    <xdr:sp macro="" textlink="">
      <xdr:nvSpPr>
        <xdr:cNvPr id="43" name="AutoShape 43">
          <a:extLst>
            <a:ext uri="{FF2B5EF4-FFF2-40B4-BE49-F238E27FC236}">
              <a16:creationId xmlns:a16="http://schemas.microsoft.com/office/drawing/2014/main" xmlns="" id="{897115EE-1AFF-4043-8905-71B81BE822BF}"/>
            </a:ext>
          </a:extLst>
        </xdr:cNvPr>
        <xdr:cNvSpPr>
          <a:spLocks/>
        </xdr:cNvSpPr>
      </xdr:nvSpPr>
      <xdr:spPr bwMode="auto">
        <a:xfrm>
          <a:off x="704850" y="7048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2</xdr:row>
      <xdr:rowOff>85725</xdr:rowOff>
    </xdr:from>
    <xdr:to>
      <xdr:col>1</xdr:col>
      <xdr:colOff>114300</xdr:colOff>
      <xdr:row>3</xdr:row>
      <xdr:rowOff>190500</xdr:rowOff>
    </xdr:to>
    <xdr:sp macro="" textlink="">
      <xdr:nvSpPr>
        <xdr:cNvPr id="44" name="AutoShape 62">
          <a:extLst>
            <a:ext uri="{FF2B5EF4-FFF2-40B4-BE49-F238E27FC236}">
              <a16:creationId xmlns:a16="http://schemas.microsoft.com/office/drawing/2014/main" xmlns="" id="{DB9E6198-9808-419F-A670-2B031984180D}"/>
            </a:ext>
          </a:extLst>
        </xdr:cNvPr>
        <xdr:cNvSpPr>
          <a:spLocks/>
        </xdr:cNvSpPr>
      </xdr:nvSpPr>
      <xdr:spPr bwMode="auto">
        <a:xfrm>
          <a:off x="742950" y="790575"/>
          <a:ext cx="76200" cy="352425"/>
        </a:xfrm>
        <a:prstGeom prst="leftBrace">
          <a:avLst>
            <a:gd name="adj1" fmla="val 38542"/>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20</xdr:row>
      <xdr:rowOff>66675</xdr:rowOff>
    </xdr:from>
    <xdr:to>
      <xdr:col>1</xdr:col>
      <xdr:colOff>114300</xdr:colOff>
      <xdr:row>21</xdr:row>
      <xdr:rowOff>180975</xdr:rowOff>
    </xdr:to>
    <xdr:sp macro="" textlink="">
      <xdr:nvSpPr>
        <xdr:cNvPr id="45" name="AutoShape 63">
          <a:extLst>
            <a:ext uri="{FF2B5EF4-FFF2-40B4-BE49-F238E27FC236}">
              <a16:creationId xmlns:a16="http://schemas.microsoft.com/office/drawing/2014/main" xmlns="" id="{0B2E5B38-D0EA-4823-AC40-1FE3705AE5B0}"/>
            </a:ext>
          </a:extLst>
        </xdr:cNvPr>
        <xdr:cNvSpPr>
          <a:spLocks/>
        </xdr:cNvSpPr>
      </xdr:nvSpPr>
      <xdr:spPr bwMode="auto">
        <a:xfrm>
          <a:off x="742950" y="5229225"/>
          <a:ext cx="76200" cy="361950"/>
        </a:xfrm>
        <a:prstGeom prst="leftBrace">
          <a:avLst>
            <a:gd name="adj1" fmla="val 3958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4</xdr:row>
      <xdr:rowOff>85725</xdr:rowOff>
    </xdr:from>
    <xdr:to>
      <xdr:col>1</xdr:col>
      <xdr:colOff>114300</xdr:colOff>
      <xdr:row>5</xdr:row>
      <xdr:rowOff>190500</xdr:rowOff>
    </xdr:to>
    <xdr:sp macro="" textlink="">
      <xdr:nvSpPr>
        <xdr:cNvPr id="46" name="AutoShape 62">
          <a:extLst>
            <a:ext uri="{FF2B5EF4-FFF2-40B4-BE49-F238E27FC236}">
              <a16:creationId xmlns:a16="http://schemas.microsoft.com/office/drawing/2014/main" xmlns="" id="{99DBB1FF-9BBA-4D0A-A039-D7F0BEEB168F}"/>
            </a:ext>
          </a:extLst>
        </xdr:cNvPr>
        <xdr:cNvSpPr>
          <a:spLocks/>
        </xdr:cNvSpPr>
      </xdr:nvSpPr>
      <xdr:spPr bwMode="auto">
        <a:xfrm>
          <a:off x="742950" y="1285875"/>
          <a:ext cx="76200" cy="352425"/>
        </a:xfrm>
        <a:prstGeom prst="leftBrace">
          <a:avLst>
            <a:gd name="adj1" fmla="val 3811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6</xdr:row>
      <xdr:rowOff>85725</xdr:rowOff>
    </xdr:from>
    <xdr:to>
      <xdr:col>1</xdr:col>
      <xdr:colOff>114300</xdr:colOff>
      <xdr:row>7</xdr:row>
      <xdr:rowOff>190500</xdr:rowOff>
    </xdr:to>
    <xdr:sp macro="" textlink="">
      <xdr:nvSpPr>
        <xdr:cNvPr id="47" name="AutoShape 62">
          <a:extLst>
            <a:ext uri="{FF2B5EF4-FFF2-40B4-BE49-F238E27FC236}">
              <a16:creationId xmlns:a16="http://schemas.microsoft.com/office/drawing/2014/main" xmlns="" id="{E98BC12C-9DA5-40C1-8C13-2D380C611B5B}"/>
            </a:ext>
          </a:extLst>
        </xdr:cNvPr>
        <xdr:cNvSpPr>
          <a:spLocks/>
        </xdr:cNvSpPr>
      </xdr:nvSpPr>
      <xdr:spPr bwMode="auto">
        <a:xfrm>
          <a:off x="742950" y="1781175"/>
          <a:ext cx="76200" cy="352425"/>
        </a:xfrm>
        <a:prstGeom prst="leftBrace">
          <a:avLst>
            <a:gd name="adj1" fmla="val 3811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8</xdr:row>
      <xdr:rowOff>85725</xdr:rowOff>
    </xdr:from>
    <xdr:to>
      <xdr:col>1</xdr:col>
      <xdr:colOff>114300</xdr:colOff>
      <xdr:row>9</xdr:row>
      <xdr:rowOff>190500</xdr:rowOff>
    </xdr:to>
    <xdr:sp macro="" textlink="">
      <xdr:nvSpPr>
        <xdr:cNvPr id="48" name="AutoShape 62">
          <a:extLst>
            <a:ext uri="{FF2B5EF4-FFF2-40B4-BE49-F238E27FC236}">
              <a16:creationId xmlns:a16="http://schemas.microsoft.com/office/drawing/2014/main" xmlns="" id="{60DEB58C-FAB1-42FE-ADCD-C7666637698B}"/>
            </a:ext>
          </a:extLst>
        </xdr:cNvPr>
        <xdr:cNvSpPr>
          <a:spLocks/>
        </xdr:cNvSpPr>
      </xdr:nvSpPr>
      <xdr:spPr bwMode="auto">
        <a:xfrm>
          <a:off x="742950" y="2276475"/>
          <a:ext cx="76200" cy="352425"/>
        </a:xfrm>
        <a:prstGeom prst="leftBrace">
          <a:avLst>
            <a:gd name="adj1" fmla="val 3811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10</xdr:row>
      <xdr:rowOff>85725</xdr:rowOff>
    </xdr:from>
    <xdr:to>
      <xdr:col>1</xdr:col>
      <xdr:colOff>114300</xdr:colOff>
      <xdr:row>11</xdr:row>
      <xdr:rowOff>190500</xdr:rowOff>
    </xdr:to>
    <xdr:sp macro="" textlink="">
      <xdr:nvSpPr>
        <xdr:cNvPr id="49" name="AutoShape 62">
          <a:extLst>
            <a:ext uri="{FF2B5EF4-FFF2-40B4-BE49-F238E27FC236}">
              <a16:creationId xmlns:a16="http://schemas.microsoft.com/office/drawing/2014/main" xmlns="" id="{24BD21C1-1E53-44AE-8B14-92B47350AC20}"/>
            </a:ext>
          </a:extLst>
        </xdr:cNvPr>
        <xdr:cNvSpPr>
          <a:spLocks/>
        </xdr:cNvSpPr>
      </xdr:nvSpPr>
      <xdr:spPr bwMode="auto">
        <a:xfrm>
          <a:off x="742950" y="2771775"/>
          <a:ext cx="76200" cy="352425"/>
        </a:xfrm>
        <a:prstGeom prst="leftBrace">
          <a:avLst>
            <a:gd name="adj1" fmla="val 3811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12</xdr:row>
      <xdr:rowOff>85725</xdr:rowOff>
    </xdr:from>
    <xdr:to>
      <xdr:col>1</xdr:col>
      <xdr:colOff>114300</xdr:colOff>
      <xdr:row>13</xdr:row>
      <xdr:rowOff>190500</xdr:rowOff>
    </xdr:to>
    <xdr:sp macro="" textlink="">
      <xdr:nvSpPr>
        <xdr:cNvPr id="50" name="AutoShape 62">
          <a:extLst>
            <a:ext uri="{FF2B5EF4-FFF2-40B4-BE49-F238E27FC236}">
              <a16:creationId xmlns:a16="http://schemas.microsoft.com/office/drawing/2014/main" xmlns="" id="{1DE2A426-B141-4EC1-A391-ABD0D0B96164}"/>
            </a:ext>
          </a:extLst>
        </xdr:cNvPr>
        <xdr:cNvSpPr>
          <a:spLocks/>
        </xdr:cNvSpPr>
      </xdr:nvSpPr>
      <xdr:spPr bwMode="auto">
        <a:xfrm>
          <a:off x="742950" y="3267075"/>
          <a:ext cx="76200" cy="352425"/>
        </a:xfrm>
        <a:prstGeom prst="leftBrace">
          <a:avLst>
            <a:gd name="adj1" fmla="val 3811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14</xdr:row>
      <xdr:rowOff>85725</xdr:rowOff>
    </xdr:from>
    <xdr:to>
      <xdr:col>1</xdr:col>
      <xdr:colOff>114300</xdr:colOff>
      <xdr:row>15</xdr:row>
      <xdr:rowOff>190500</xdr:rowOff>
    </xdr:to>
    <xdr:sp macro="" textlink="">
      <xdr:nvSpPr>
        <xdr:cNvPr id="51" name="AutoShape 62">
          <a:extLst>
            <a:ext uri="{FF2B5EF4-FFF2-40B4-BE49-F238E27FC236}">
              <a16:creationId xmlns:a16="http://schemas.microsoft.com/office/drawing/2014/main" xmlns="" id="{F08345B0-8463-43F9-8EF0-C2EC7CD7B98F}"/>
            </a:ext>
          </a:extLst>
        </xdr:cNvPr>
        <xdr:cNvSpPr>
          <a:spLocks/>
        </xdr:cNvSpPr>
      </xdr:nvSpPr>
      <xdr:spPr bwMode="auto">
        <a:xfrm>
          <a:off x="742950" y="3762375"/>
          <a:ext cx="76200" cy="352425"/>
        </a:xfrm>
        <a:prstGeom prst="leftBrace">
          <a:avLst>
            <a:gd name="adj1" fmla="val 3811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16</xdr:row>
      <xdr:rowOff>85725</xdr:rowOff>
    </xdr:from>
    <xdr:to>
      <xdr:col>1</xdr:col>
      <xdr:colOff>114300</xdr:colOff>
      <xdr:row>17</xdr:row>
      <xdr:rowOff>190500</xdr:rowOff>
    </xdr:to>
    <xdr:sp macro="" textlink="">
      <xdr:nvSpPr>
        <xdr:cNvPr id="52" name="AutoShape 62">
          <a:extLst>
            <a:ext uri="{FF2B5EF4-FFF2-40B4-BE49-F238E27FC236}">
              <a16:creationId xmlns:a16="http://schemas.microsoft.com/office/drawing/2014/main" xmlns="" id="{7A0CBA35-6CA8-409A-A86F-669525A14A5C}"/>
            </a:ext>
          </a:extLst>
        </xdr:cNvPr>
        <xdr:cNvSpPr>
          <a:spLocks/>
        </xdr:cNvSpPr>
      </xdr:nvSpPr>
      <xdr:spPr bwMode="auto">
        <a:xfrm>
          <a:off x="742950" y="4257675"/>
          <a:ext cx="76200" cy="352425"/>
        </a:xfrm>
        <a:prstGeom prst="leftBrace">
          <a:avLst>
            <a:gd name="adj1" fmla="val 3811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38100</xdr:colOff>
      <xdr:row>18</xdr:row>
      <xdr:rowOff>85725</xdr:rowOff>
    </xdr:from>
    <xdr:to>
      <xdr:col>1</xdr:col>
      <xdr:colOff>114300</xdr:colOff>
      <xdr:row>19</xdr:row>
      <xdr:rowOff>190500</xdr:rowOff>
    </xdr:to>
    <xdr:sp macro="" textlink="">
      <xdr:nvSpPr>
        <xdr:cNvPr id="53" name="AutoShape 62">
          <a:extLst>
            <a:ext uri="{FF2B5EF4-FFF2-40B4-BE49-F238E27FC236}">
              <a16:creationId xmlns:a16="http://schemas.microsoft.com/office/drawing/2014/main" xmlns="" id="{55282154-E924-4350-B9E4-796675E08C58}"/>
            </a:ext>
          </a:extLst>
        </xdr:cNvPr>
        <xdr:cNvSpPr>
          <a:spLocks/>
        </xdr:cNvSpPr>
      </xdr:nvSpPr>
      <xdr:spPr bwMode="auto">
        <a:xfrm>
          <a:off x="742950" y="4752975"/>
          <a:ext cx="76200" cy="352425"/>
        </a:xfrm>
        <a:prstGeom prst="leftBrace">
          <a:avLst>
            <a:gd name="adj1" fmla="val 3811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866775</xdr:colOff>
      <xdr:row>2</xdr:row>
      <xdr:rowOff>0</xdr:rowOff>
    </xdr:from>
    <xdr:to>
      <xdr:col>0</xdr:col>
      <xdr:colOff>390525</xdr:colOff>
      <xdr:row>2</xdr:row>
      <xdr:rowOff>0</xdr:rowOff>
    </xdr:to>
    <xdr:sp macro="" textlink="">
      <xdr:nvSpPr>
        <xdr:cNvPr id="2" name="Text Box 2">
          <a:extLst>
            <a:ext uri="{FF2B5EF4-FFF2-40B4-BE49-F238E27FC236}">
              <a16:creationId xmlns:a16="http://schemas.microsoft.com/office/drawing/2014/main" xmlns="" id="{482726DF-87D4-4083-91EA-5AD0F170F742}"/>
            </a:ext>
          </a:extLst>
        </xdr:cNvPr>
        <xdr:cNvSpPr txBox="1">
          <a:spLocks noChangeArrowheads="1"/>
        </xdr:cNvSpPr>
      </xdr:nvSpPr>
      <xdr:spPr bwMode="auto">
        <a:xfrm>
          <a:off x="457200" y="7239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新細明體"/>
              <a:ea typeface="新細明體"/>
            </a:rPr>
            <a:t>人數</a:t>
          </a:r>
          <a:r>
            <a:rPr lang="zh-TW" altLang="en-US" sz="1200" b="0" i="0" u="none" strike="noStrike" baseline="0">
              <a:solidFill>
                <a:srgbClr val="000000"/>
              </a:solidFill>
              <a:latin typeface="Times New Roman"/>
              <a:ea typeface="新細明體"/>
              <a:cs typeface="Times New Roman"/>
            </a:rPr>
            <a:t> %</a:t>
          </a:r>
          <a:endParaRPr lang="zh-TW" altLang="en-US" sz="1200" b="0" i="0" u="none" strike="noStrike" baseline="0">
            <a:solidFill>
              <a:srgbClr val="000000"/>
            </a:solidFill>
            <a:latin typeface="Times New Roman"/>
            <a:cs typeface="Times New Roman"/>
          </a:endParaRPr>
        </a:p>
      </xdr:txBody>
    </xdr:sp>
    <xdr:clientData/>
  </xdr:twoCellAnchor>
  <xdr:twoCellAnchor>
    <xdr:from>
      <xdr:col>0</xdr:col>
      <xdr:colOff>866775</xdr:colOff>
      <xdr:row>2</xdr:row>
      <xdr:rowOff>0</xdr:rowOff>
    </xdr:from>
    <xdr:to>
      <xdr:col>0</xdr:col>
      <xdr:colOff>390525</xdr:colOff>
      <xdr:row>2</xdr:row>
      <xdr:rowOff>0</xdr:rowOff>
    </xdr:to>
    <xdr:sp macro="" textlink="">
      <xdr:nvSpPr>
        <xdr:cNvPr id="3" name="Text Box 4">
          <a:extLst>
            <a:ext uri="{FF2B5EF4-FFF2-40B4-BE49-F238E27FC236}">
              <a16:creationId xmlns:a16="http://schemas.microsoft.com/office/drawing/2014/main" xmlns="" id="{7B04F9D5-ECC2-4A8C-88CC-0E82C18DF3AA}"/>
            </a:ext>
          </a:extLst>
        </xdr:cNvPr>
        <xdr:cNvSpPr txBox="1">
          <a:spLocks noChangeArrowheads="1"/>
        </xdr:cNvSpPr>
      </xdr:nvSpPr>
      <xdr:spPr bwMode="auto">
        <a:xfrm>
          <a:off x="457200" y="7239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人數</a:t>
          </a:r>
          <a:r>
            <a:rPr lang="zh-TW" altLang="en-US" sz="1200" b="0" i="0" u="none" strike="noStrike" baseline="0">
              <a:solidFill>
                <a:srgbClr val="000000"/>
              </a:solidFill>
              <a:latin typeface="Times New Roman"/>
              <a:ea typeface="新細明體"/>
              <a:cs typeface="Times New Roman"/>
            </a:rPr>
            <a:t> %</a:t>
          </a:r>
          <a:endParaRPr lang="zh-TW" altLang="en-US" sz="1200" b="0" i="0" u="none" strike="noStrike" baseline="0">
            <a:solidFill>
              <a:srgbClr val="000000"/>
            </a:solidFill>
            <a:latin typeface="Times New Roman"/>
            <a:cs typeface="Times New Roman"/>
          </a:endParaRPr>
        </a:p>
      </xdr:txBody>
    </xdr:sp>
    <xdr:clientData/>
  </xdr:twoCellAnchor>
  <xdr:twoCellAnchor>
    <xdr:from>
      <xdr:col>0</xdr:col>
      <xdr:colOff>819150</xdr:colOff>
      <xdr:row>2</xdr:row>
      <xdr:rowOff>0</xdr:rowOff>
    </xdr:from>
    <xdr:to>
      <xdr:col>0</xdr:col>
      <xdr:colOff>390525</xdr:colOff>
      <xdr:row>2</xdr:row>
      <xdr:rowOff>0</xdr:rowOff>
    </xdr:to>
    <xdr:sp macro="" textlink="">
      <xdr:nvSpPr>
        <xdr:cNvPr id="4" name="Text Box 5">
          <a:extLst>
            <a:ext uri="{FF2B5EF4-FFF2-40B4-BE49-F238E27FC236}">
              <a16:creationId xmlns:a16="http://schemas.microsoft.com/office/drawing/2014/main" xmlns="" id="{724D6827-6193-4789-8317-2A164A220B56}"/>
            </a:ext>
          </a:extLst>
        </xdr:cNvPr>
        <xdr:cNvSpPr txBox="1">
          <a:spLocks noChangeArrowheads="1"/>
        </xdr:cNvSpPr>
      </xdr:nvSpPr>
      <xdr:spPr bwMode="auto">
        <a:xfrm>
          <a:off x="457200" y="7239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人數</a:t>
          </a:r>
          <a:r>
            <a:rPr lang="zh-TW" altLang="en-US" sz="1200" b="0" i="0" u="none" strike="noStrike" baseline="0">
              <a:solidFill>
                <a:srgbClr val="000000"/>
              </a:solidFill>
              <a:latin typeface="Times New Roman"/>
              <a:ea typeface="新細明體"/>
              <a:cs typeface="Times New Roman"/>
            </a:rPr>
            <a:t> %</a:t>
          </a:r>
          <a:endParaRPr lang="zh-TW" altLang="en-US" sz="1200" b="0" i="0" u="none" strike="noStrike" baseline="0">
            <a:solidFill>
              <a:srgbClr val="000000"/>
            </a:solidFill>
            <a:latin typeface="Times New Roman"/>
            <a:cs typeface="Times New Roman"/>
          </a:endParaRPr>
        </a:p>
      </xdr:txBody>
    </xdr:sp>
    <xdr:clientData/>
  </xdr:twoCellAnchor>
  <xdr:twoCellAnchor>
    <xdr:from>
      <xdr:col>0</xdr:col>
      <xdr:colOff>847725</xdr:colOff>
      <xdr:row>2</xdr:row>
      <xdr:rowOff>0</xdr:rowOff>
    </xdr:from>
    <xdr:to>
      <xdr:col>0</xdr:col>
      <xdr:colOff>390525</xdr:colOff>
      <xdr:row>2</xdr:row>
      <xdr:rowOff>0</xdr:rowOff>
    </xdr:to>
    <xdr:sp macro="" textlink="">
      <xdr:nvSpPr>
        <xdr:cNvPr id="5" name="Text Box 6">
          <a:extLst>
            <a:ext uri="{FF2B5EF4-FFF2-40B4-BE49-F238E27FC236}">
              <a16:creationId xmlns:a16="http://schemas.microsoft.com/office/drawing/2014/main" xmlns="" id="{11803034-ACC5-44B8-94D1-40A2851316FB}"/>
            </a:ext>
          </a:extLst>
        </xdr:cNvPr>
        <xdr:cNvSpPr txBox="1">
          <a:spLocks noChangeArrowheads="1"/>
        </xdr:cNvSpPr>
      </xdr:nvSpPr>
      <xdr:spPr bwMode="auto">
        <a:xfrm>
          <a:off x="457200" y="7239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人數</a:t>
          </a:r>
          <a:r>
            <a:rPr lang="zh-TW" altLang="en-US" sz="1200" b="0" i="0" u="none" strike="noStrike" baseline="0">
              <a:solidFill>
                <a:srgbClr val="000000"/>
              </a:solidFill>
              <a:latin typeface="Times New Roman"/>
              <a:ea typeface="新細明體"/>
              <a:cs typeface="Times New Roman"/>
            </a:rPr>
            <a:t> %</a:t>
          </a:r>
          <a:endParaRPr lang="zh-TW" altLang="en-US" sz="1200" b="0" i="0" u="none" strike="noStrike" baseline="0">
            <a:solidFill>
              <a:srgbClr val="000000"/>
            </a:solidFill>
            <a:latin typeface="Times New Roman"/>
            <a:cs typeface="Times New Roman"/>
          </a:endParaRPr>
        </a:p>
      </xdr:txBody>
    </xdr:sp>
    <xdr:clientData/>
  </xdr:twoCellAnchor>
  <xdr:twoCellAnchor>
    <xdr:from>
      <xdr:col>0</xdr:col>
      <xdr:colOff>819150</xdr:colOff>
      <xdr:row>2</xdr:row>
      <xdr:rowOff>0</xdr:rowOff>
    </xdr:from>
    <xdr:to>
      <xdr:col>0</xdr:col>
      <xdr:colOff>390525</xdr:colOff>
      <xdr:row>2</xdr:row>
      <xdr:rowOff>0</xdr:rowOff>
    </xdr:to>
    <xdr:sp macro="" textlink="">
      <xdr:nvSpPr>
        <xdr:cNvPr id="6" name="Text Box 9">
          <a:extLst>
            <a:ext uri="{FF2B5EF4-FFF2-40B4-BE49-F238E27FC236}">
              <a16:creationId xmlns:a16="http://schemas.microsoft.com/office/drawing/2014/main" xmlns="" id="{8A2EE60D-D411-4FD9-BFB8-C3C5703851C2}"/>
            </a:ext>
          </a:extLst>
        </xdr:cNvPr>
        <xdr:cNvSpPr txBox="1">
          <a:spLocks noChangeArrowheads="1"/>
        </xdr:cNvSpPr>
      </xdr:nvSpPr>
      <xdr:spPr bwMode="auto">
        <a:xfrm>
          <a:off x="457200" y="7239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人數</a:t>
          </a:r>
          <a:r>
            <a:rPr lang="zh-TW" altLang="en-US" sz="1200" b="0" i="0" u="none" strike="noStrike" baseline="0">
              <a:solidFill>
                <a:srgbClr val="000000"/>
              </a:solidFill>
              <a:latin typeface="Times New Roman"/>
              <a:ea typeface="新細明體"/>
              <a:cs typeface="Times New Roman"/>
            </a:rPr>
            <a:t> %</a:t>
          </a:r>
          <a:endParaRPr lang="zh-TW" altLang="en-US" sz="1200" b="0" i="0" u="none" strike="noStrike" baseline="0">
            <a:solidFill>
              <a:srgbClr val="000000"/>
            </a:solidFill>
            <a:latin typeface="Times New Roman"/>
            <a:cs typeface="Times New Roman"/>
          </a:endParaRPr>
        </a:p>
      </xdr:txBody>
    </xdr:sp>
    <xdr:clientData/>
  </xdr:twoCellAnchor>
  <xdr:twoCellAnchor>
    <xdr:from>
      <xdr:col>0</xdr:col>
      <xdr:colOff>847725</xdr:colOff>
      <xdr:row>2</xdr:row>
      <xdr:rowOff>0</xdr:rowOff>
    </xdr:from>
    <xdr:to>
      <xdr:col>0</xdr:col>
      <xdr:colOff>390525</xdr:colOff>
      <xdr:row>2</xdr:row>
      <xdr:rowOff>0</xdr:rowOff>
    </xdr:to>
    <xdr:sp macro="" textlink="">
      <xdr:nvSpPr>
        <xdr:cNvPr id="7" name="Text Box 12">
          <a:extLst>
            <a:ext uri="{FF2B5EF4-FFF2-40B4-BE49-F238E27FC236}">
              <a16:creationId xmlns:a16="http://schemas.microsoft.com/office/drawing/2014/main" xmlns="" id="{C7B59A5B-6FB3-4C4A-BA03-552910122FF6}"/>
            </a:ext>
          </a:extLst>
        </xdr:cNvPr>
        <xdr:cNvSpPr txBox="1">
          <a:spLocks noChangeArrowheads="1"/>
        </xdr:cNvSpPr>
      </xdr:nvSpPr>
      <xdr:spPr bwMode="auto">
        <a:xfrm>
          <a:off x="457200" y="7239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人數</a:t>
          </a:r>
          <a:r>
            <a:rPr lang="zh-TW" altLang="en-US" sz="1200" b="0" i="0" u="none" strike="noStrike" baseline="0">
              <a:solidFill>
                <a:srgbClr val="000000"/>
              </a:solidFill>
              <a:latin typeface="Times New Roman"/>
              <a:ea typeface="新細明體"/>
              <a:cs typeface="Times New Roman"/>
            </a:rPr>
            <a:t> %</a:t>
          </a:r>
          <a:endParaRPr lang="zh-TW" altLang="en-US" sz="1200" b="0" i="0" u="none" strike="noStrike" baseline="0">
            <a:solidFill>
              <a:srgbClr val="000000"/>
            </a:solidFill>
            <a:latin typeface="Times New Roman"/>
            <a:cs typeface="Times New Roman"/>
          </a:endParaRPr>
        </a:p>
      </xdr:txBody>
    </xdr:sp>
    <xdr:clientData/>
  </xdr:twoCellAnchor>
  <xdr:twoCellAnchor>
    <xdr:from>
      <xdr:col>0</xdr:col>
      <xdr:colOff>904875</xdr:colOff>
      <xdr:row>2</xdr:row>
      <xdr:rowOff>0</xdr:rowOff>
    </xdr:from>
    <xdr:to>
      <xdr:col>1</xdr:col>
      <xdr:colOff>0</xdr:colOff>
      <xdr:row>2</xdr:row>
      <xdr:rowOff>0</xdr:rowOff>
    </xdr:to>
    <xdr:sp macro="" textlink="">
      <xdr:nvSpPr>
        <xdr:cNvPr id="8" name="Text Box 19">
          <a:extLst>
            <a:ext uri="{FF2B5EF4-FFF2-40B4-BE49-F238E27FC236}">
              <a16:creationId xmlns:a16="http://schemas.microsoft.com/office/drawing/2014/main" xmlns="" id="{ACE3F264-3ECC-46FB-8E60-92F235A78543}"/>
            </a:ext>
          </a:extLst>
        </xdr:cNvPr>
        <xdr:cNvSpPr txBox="1">
          <a:spLocks noChangeArrowheads="1"/>
        </xdr:cNvSpPr>
      </xdr:nvSpPr>
      <xdr:spPr bwMode="auto">
        <a:xfrm>
          <a:off x="457200" y="7239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人數</a:t>
          </a:r>
          <a:r>
            <a:rPr lang="zh-TW" altLang="en-US" sz="1200" b="0" i="0" u="none" strike="noStrike" baseline="0">
              <a:solidFill>
                <a:srgbClr val="000000"/>
              </a:solidFill>
              <a:latin typeface="Times New Roman"/>
              <a:ea typeface="新細明體"/>
              <a:cs typeface="Times New Roman"/>
            </a:rPr>
            <a:t> %</a:t>
          </a:r>
          <a:endParaRPr lang="zh-TW" altLang="en-US"/>
        </a:p>
      </xdr:txBody>
    </xdr:sp>
    <xdr:clientData/>
  </xdr:twoCellAnchor>
  <xdr:twoCellAnchor>
    <xdr:from>
      <xdr:col>0</xdr:col>
      <xdr:colOff>847725</xdr:colOff>
      <xdr:row>2</xdr:row>
      <xdr:rowOff>0</xdr:rowOff>
    </xdr:from>
    <xdr:to>
      <xdr:col>0</xdr:col>
      <xdr:colOff>390525</xdr:colOff>
      <xdr:row>2</xdr:row>
      <xdr:rowOff>0</xdr:rowOff>
    </xdr:to>
    <xdr:sp macro="" textlink="">
      <xdr:nvSpPr>
        <xdr:cNvPr id="9" name="Text Box 22">
          <a:extLst>
            <a:ext uri="{FF2B5EF4-FFF2-40B4-BE49-F238E27FC236}">
              <a16:creationId xmlns:a16="http://schemas.microsoft.com/office/drawing/2014/main" xmlns="" id="{790A0E8B-D8AB-47EF-B704-C297FDA35F29}"/>
            </a:ext>
          </a:extLst>
        </xdr:cNvPr>
        <xdr:cNvSpPr txBox="1">
          <a:spLocks noChangeArrowheads="1"/>
        </xdr:cNvSpPr>
      </xdr:nvSpPr>
      <xdr:spPr bwMode="auto">
        <a:xfrm>
          <a:off x="457200" y="7239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人數</a:t>
          </a:r>
          <a:r>
            <a:rPr lang="zh-TW" altLang="en-US" sz="1200" b="0" i="0" u="none" strike="noStrike" baseline="0">
              <a:solidFill>
                <a:srgbClr val="000000"/>
              </a:solidFill>
              <a:latin typeface="Times New Roman"/>
              <a:ea typeface="新細明體"/>
              <a:cs typeface="Times New Roman"/>
            </a:rPr>
            <a:t> %</a:t>
          </a:r>
          <a:endParaRPr lang="zh-TW" altLang="en-US" sz="1200" b="0" i="0" u="none" strike="noStrike" baseline="0">
            <a:solidFill>
              <a:srgbClr val="000000"/>
            </a:solidFill>
            <a:latin typeface="Times New Roman"/>
            <a:cs typeface="Times New Roman"/>
          </a:endParaRPr>
        </a:p>
      </xdr:txBody>
    </xdr:sp>
    <xdr:clientData/>
  </xdr:twoCellAnchor>
  <xdr:twoCellAnchor>
    <xdr:from>
      <xdr:col>0</xdr:col>
      <xdr:colOff>847725</xdr:colOff>
      <xdr:row>2</xdr:row>
      <xdr:rowOff>0</xdr:rowOff>
    </xdr:from>
    <xdr:to>
      <xdr:col>0</xdr:col>
      <xdr:colOff>390525</xdr:colOff>
      <xdr:row>2</xdr:row>
      <xdr:rowOff>0</xdr:rowOff>
    </xdr:to>
    <xdr:sp macro="" textlink="">
      <xdr:nvSpPr>
        <xdr:cNvPr id="10" name="Text Box 25">
          <a:extLst>
            <a:ext uri="{FF2B5EF4-FFF2-40B4-BE49-F238E27FC236}">
              <a16:creationId xmlns:a16="http://schemas.microsoft.com/office/drawing/2014/main" xmlns="" id="{E07C4ADF-6554-4B55-B593-00FCC48385B0}"/>
            </a:ext>
          </a:extLst>
        </xdr:cNvPr>
        <xdr:cNvSpPr txBox="1">
          <a:spLocks noChangeArrowheads="1"/>
        </xdr:cNvSpPr>
      </xdr:nvSpPr>
      <xdr:spPr bwMode="auto">
        <a:xfrm>
          <a:off x="457200" y="7239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人</a:t>
          </a:r>
          <a:r>
            <a:rPr lang="zh-TW" altLang="en-US" sz="1200" b="0" i="0" u="none" strike="noStrike" baseline="0">
              <a:solidFill>
                <a:srgbClr val="000000"/>
              </a:solidFill>
              <a:latin typeface="Times New Roman"/>
              <a:ea typeface="新細明體"/>
              <a:cs typeface="Times New Roman"/>
            </a:rPr>
            <a:t>   %</a:t>
          </a:r>
          <a:endParaRPr lang="zh-TW" altLang="en-US" sz="1200" b="0" i="0" u="none" strike="noStrike" baseline="0">
            <a:solidFill>
              <a:srgbClr val="000000"/>
            </a:solidFill>
            <a:latin typeface="Times New Roman"/>
            <a:cs typeface="Times New Roman"/>
          </a:endParaRPr>
        </a:p>
      </xdr:txBody>
    </xdr:sp>
    <xdr:clientData/>
  </xdr:twoCellAnchor>
  <xdr:twoCellAnchor>
    <xdr:from>
      <xdr:col>0</xdr:col>
      <xdr:colOff>116725</xdr:colOff>
      <xdr:row>2</xdr:row>
      <xdr:rowOff>0</xdr:rowOff>
    </xdr:from>
    <xdr:to>
      <xdr:col>0</xdr:col>
      <xdr:colOff>387477</xdr:colOff>
      <xdr:row>2</xdr:row>
      <xdr:rowOff>0</xdr:rowOff>
    </xdr:to>
    <xdr:sp macro="" textlink="">
      <xdr:nvSpPr>
        <xdr:cNvPr id="11" name="Text Box 26">
          <a:extLst>
            <a:ext uri="{FF2B5EF4-FFF2-40B4-BE49-F238E27FC236}">
              <a16:creationId xmlns:a16="http://schemas.microsoft.com/office/drawing/2014/main" xmlns="" id="{5AED6ECF-8C02-4AB3-A0AF-D2C2C4BD85D6}"/>
            </a:ext>
          </a:extLst>
        </xdr:cNvPr>
        <xdr:cNvSpPr txBox="1">
          <a:spLocks noChangeArrowheads="1"/>
        </xdr:cNvSpPr>
      </xdr:nvSpPr>
      <xdr:spPr bwMode="auto">
        <a:xfrm>
          <a:off x="116725" y="723900"/>
          <a:ext cx="270752"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zh-TW" altLang="en-US" sz="1200" b="0" i="0" u="none" strike="noStrike" baseline="0">
              <a:solidFill>
                <a:srgbClr val="000000"/>
              </a:solidFill>
              <a:latin typeface="Times New Roman"/>
              <a:cs typeface="Times New Roman"/>
            </a:rPr>
            <a:t>92</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847725</xdr:colOff>
      <xdr:row>2</xdr:row>
      <xdr:rowOff>0</xdr:rowOff>
    </xdr:from>
    <xdr:to>
      <xdr:col>0</xdr:col>
      <xdr:colOff>390525</xdr:colOff>
      <xdr:row>2</xdr:row>
      <xdr:rowOff>0</xdr:rowOff>
    </xdr:to>
    <xdr:sp macro="" textlink="">
      <xdr:nvSpPr>
        <xdr:cNvPr id="12" name="Text Box 28">
          <a:extLst>
            <a:ext uri="{FF2B5EF4-FFF2-40B4-BE49-F238E27FC236}">
              <a16:creationId xmlns:a16="http://schemas.microsoft.com/office/drawing/2014/main" xmlns="" id="{D4F02364-ACB0-4A0D-B31F-D5C24B16913E}"/>
            </a:ext>
          </a:extLst>
        </xdr:cNvPr>
        <xdr:cNvSpPr txBox="1">
          <a:spLocks noChangeArrowheads="1"/>
        </xdr:cNvSpPr>
      </xdr:nvSpPr>
      <xdr:spPr bwMode="auto">
        <a:xfrm>
          <a:off x="457200" y="7239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人數</a:t>
          </a:r>
          <a:r>
            <a:rPr lang="zh-TW" altLang="en-US" sz="1200" b="0" i="0" u="none" strike="noStrike" baseline="0">
              <a:solidFill>
                <a:srgbClr val="000000"/>
              </a:solidFill>
              <a:latin typeface="Times New Roman"/>
              <a:ea typeface="新細明體"/>
              <a:cs typeface="Times New Roman"/>
            </a:rPr>
            <a:t> %</a:t>
          </a:r>
          <a:endParaRPr lang="zh-TW" altLang="en-US" sz="1200" b="0" i="0" u="none" strike="noStrike" baseline="0">
            <a:solidFill>
              <a:srgbClr val="000000"/>
            </a:solidFill>
            <a:latin typeface="Times New Roman"/>
            <a:cs typeface="Times New Roman"/>
          </a:endParaRPr>
        </a:p>
      </xdr:txBody>
    </xdr:sp>
    <xdr:clientData/>
  </xdr:twoCellAnchor>
  <xdr:twoCellAnchor>
    <xdr:from>
      <xdr:col>0</xdr:col>
      <xdr:colOff>847725</xdr:colOff>
      <xdr:row>2</xdr:row>
      <xdr:rowOff>0</xdr:rowOff>
    </xdr:from>
    <xdr:to>
      <xdr:col>0</xdr:col>
      <xdr:colOff>390525</xdr:colOff>
      <xdr:row>2</xdr:row>
      <xdr:rowOff>0</xdr:rowOff>
    </xdr:to>
    <xdr:sp macro="" textlink="">
      <xdr:nvSpPr>
        <xdr:cNvPr id="13" name="Text Box 31">
          <a:extLst>
            <a:ext uri="{FF2B5EF4-FFF2-40B4-BE49-F238E27FC236}">
              <a16:creationId xmlns:a16="http://schemas.microsoft.com/office/drawing/2014/main" xmlns="" id="{186F8627-D050-4C86-A6A8-3B4FDAB2C14F}"/>
            </a:ext>
          </a:extLst>
        </xdr:cNvPr>
        <xdr:cNvSpPr txBox="1">
          <a:spLocks noChangeArrowheads="1"/>
        </xdr:cNvSpPr>
      </xdr:nvSpPr>
      <xdr:spPr bwMode="auto">
        <a:xfrm>
          <a:off x="457200" y="7239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人數</a:t>
          </a:r>
          <a:r>
            <a:rPr lang="zh-TW" altLang="en-US" sz="1200" b="0" i="0" u="none" strike="noStrike" baseline="0">
              <a:solidFill>
                <a:srgbClr val="000000"/>
              </a:solidFill>
              <a:latin typeface="Times New Roman"/>
              <a:ea typeface="新細明體"/>
              <a:cs typeface="Times New Roman"/>
            </a:rPr>
            <a:t> %</a:t>
          </a:r>
          <a:endParaRPr lang="zh-TW" altLang="en-US" sz="1200" b="0" i="0" u="none" strike="noStrike" baseline="0">
            <a:solidFill>
              <a:srgbClr val="000000"/>
            </a:solidFill>
            <a:latin typeface="Times New Roman"/>
            <a:cs typeface="Times New Roman"/>
          </a:endParaRPr>
        </a:p>
      </xdr:txBody>
    </xdr:sp>
    <xdr:clientData/>
  </xdr:twoCellAnchor>
  <xdr:twoCellAnchor>
    <xdr:from>
      <xdr:col>0</xdr:col>
      <xdr:colOff>165562</xdr:colOff>
      <xdr:row>2</xdr:row>
      <xdr:rowOff>0</xdr:rowOff>
    </xdr:from>
    <xdr:to>
      <xdr:col>0</xdr:col>
      <xdr:colOff>388429</xdr:colOff>
      <xdr:row>2</xdr:row>
      <xdr:rowOff>0</xdr:rowOff>
    </xdr:to>
    <xdr:sp macro="" textlink="">
      <xdr:nvSpPr>
        <xdr:cNvPr id="14" name="Text Box 32">
          <a:extLst>
            <a:ext uri="{FF2B5EF4-FFF2-40B4-BE49-F238E27FC236}">
              <a16:creationId xmlns:a16="http://schemas.microsoft.com/office/drawing/2014/main" xmlns="" id="{8872DDB5-460E-4907-872B-E581D77D7107}"/>
            </a:ext>
          </a:extLst>
        </xdr:cNvPr>
        <xdr:cNvSpPr txBox="1">
          <a:spLocks noChangeArrowheads="1"/>
        </xdr:cNvSpPr>
      </xdr:nvSpPr>
      <xdr:spPr bwMode="auto">
        <a:xfrm>
          <a:off x="165562" y="723900"/>
          <a:ext cx="222867"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zh-TW" altLang="en-US" sz="1200" b="0" i="0" u="none" strike="noStrike" baseline="0">
              <a:solidFill>
                <a:srgbClr val="000000"/>
              </a:solidFill>
              <a:latin typeface="Times New Roman"/>
              <a:cs typeface="Times New Roman"/>
            </a:rPr>
            <a:t>90</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847725</xdr:colOff>
      <xdr:row>2</xdr:row>
      <xdr:rowOff>0</xdr:rowOff>
    </xdr:from>
    <xdr:to>
      <xdr:col>0</xdr:col>
      <xdr:colOff>390525</xdr:colOff>
      <xdr:row>2</xdr:row>
      <xdr:rowOff>0</xdr:rowOff>
    </xdr:to>
    <xdr:sp macro="" textlink="">
      <xdr:nvSpPr>
        <xdr:cNvPr id="15" name="Text Box 34">
          <a:extLst>
            <a:ext uri="{FF2B5EF4-FFF2-40B4-BE49-F238E27FC236}">
              <a16:creationId xmlns:a16="http://schemas.microsoft.com/office/drawing/2014/main" xmlns="" id="{F0131660-14DB-4784-83DF-2A1BD1D59C85}"/>
            </a:ext>
          </a:extLst>
        </xdr:cNvPr>
        <xdr:cNvSpPr txBox="1">
          <a:spLocks noChangeArrowheads="1"/>
        </xdr:cNvSpPr>
      </xdr:nvSpPr>
      <xdr:spPr bwMode="auto">
        <a:xfrm>
          <a:off x="457200" y="7239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人</a:t>
          </a:r>
          <a:r>
            <a:rPr lang="zh-TW" altLang="en-US" sz="1200" b="0" i="0" u="none" strike="noStrike" baseline="0">
              <a:solidFill>
                <a:srgbClr val="000000"/>
              </a:solidFill>
              <a:latin typeface="Times New Roman"/>
              <a:ea typeface="新細明體"/>
              <a:cs typeface="Times New Roman"/>
            </a:rPr>
            <a:t>   %</a:t>
          </a:r>
          <a:endParaRPr lang="zh-TW" altLang="en-US" sz="1200" b="0" i="0" u="none" strike="noStrike" baseline="0">
            <a:solidFill>
              <a:srgbClr val="000000"/>
            </a:solidFill>
            <a:latin typeface="Times New Roman"/>
            <a:cs typeface="Times New Roman"/>
          </a:endParaRPr>
        </a:p>
      </xdr:txBody>
    </xdr:sp>
    <xdr:clientData/>
  </xdr:twoCellAnchor>
  <xdr:twoCellAnchor>
    <xdr:from>
      <xdr:col>0</xdr:col>
      <xdr:colOff>175087</xdr:colOff>
      <xdr:row>2</xdr:row>
      <xdr:rowOff>0</xdr:rowOff>
    </xdr:from>
    <xdr:to>
      <xdr:col>0</xdr:col>
      <xdr:colOff>388607</xdr:colOff>
      <xdr:row>2</xdr:row>
      <xdr:rowOff>0</xdr:rowOff>
    </xdr:to>
    <xdr:sp macro="" textlink="">
      <xdr:nvSpPr>
        <xdr:cNvPr id="16" name="Text Box 35">
          <a:extLst>
            <a:ext uri="{FF2B5EF4-FFF2-40B4-BE49-F238E27FC236}">
              <a16:creationId xmlns:a16="http://schemas.microsoft.com/office/drawing/2014/main" xmlns="" id="{1A353885-65D3-4F17-82B0-AE820F5EB5DD}"/>
            </a:ext>
          </a:extLst>
        </xdr:cNvPr>
        <xdr:cNvSpPr txBox="1">
          <a:spLocks noChangeArrowheads="1"/>
        </xdr:cNvSpPr>
      </xdr:nvSpPr>
      <xdr:spPr bwMode="auto">
        <a:xfrm>
          <a:off x="175087" y="723900"/>
          <a:ext cx="21352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zh-TW" altLang="en-US" sz="1200" b="0" i="0" u="none" strike="noStrike" baseline="0">
              <a:solidFill>
                <a:srgbClr val="000000"/>
              </a:solidFill>
              <a:latin typeface="Times New Roman"/>
              <a:cs typeface="Times New Roman"/>
            </a:rPr>
            <a:t>91</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0</xdr:col>
      <xdr:colOff>847725</xdr:colOff>
      <xdr:row>2</xdr:row>
      <xdr:rowOff>0</xdr:rowOff>
    </xdr:from>
    <xdr:to>
      <xdr:col>0</xdr:col>
      <xdr:colOff>390525</xdr:colOff>
      <xdr:row>2</xdr:row>
      <xdr:rowOff>0</xdr:rowOff>
    </xdr:to>
    <xdr:sp macro="" textlink="">
      <xdr:nvSpPr>
        <xdr:cNvPr id="17" name="Text Box 38">
          <a:extLst>
            <a:ext uri="{FF2B5EF4-FFF2-40B4-BE49-F238E27FC236}">
              <a16:creationId xmlns:a16="http://schemas.microsoft.com/office/drawing/2014/main" xmlns="" id="{0314F294-3110-4997-BA16-9B9AA3094FE4}"/>
            </a:ext>
          </a:extLst>
        </xdr:cNvPr>
        <xdr:cNvSpPr txBox="1">
          <a:spLocks noChangeArrowheads="1"/>
        </xdr:cNvSpPr>
      </xdr:nvSpPr>
      <xdr:spPr bwMode="auto">
        <a:xfrm>
          <a:off x="457200" y="7239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人</a:t>
          </a:r>
          <a:r>
            <a:rPr lang="zh-TW" altLang="en-US" sz="1200" b="0" i="0" u="none" strike="noStrike" baseline="0">
              <a:solidFill>
                <a:srgbClr val="000000"/>
              </a:solidFill>
              <a:latin typeface="Times New Roman"/>
              <a:ea typeface="新細明體"/>
              <a:cs typeface="Times New Roman"/>
            </a:rPr>
            <a:t>   %</a:t>
          </a:r>
          <a:endParaRPr lang="zh-TW" altLang="en-US" sz="1200" b="0" i="0" u="none" strike="noStrike" baseline="0">
            <a:solidFill>
              <a:srgbClr val="000000"/>
            </a:solidFill>
            <a:latin typeface="Times New Roman"/>
            <a:cs typeface="Times New Roman"/>
          </a:endParaRPr>
        </a:p>
      </xdr:txBody>
    </xdr:sp>
    <xdr:clientData/>
  </xdr:twoCellAnchor>
  <xdr:twoCellAnchor>
    <xdr:from>
      <xdr:col>0</xdr:col>
      <xdr:colOff>164350</xdr:colOff>
      <xdr:row>2</xdr:row>
      <xdr:rowOff>0</xdr:rowOff>
    </xdr:from>
    <xdr:to>
      <xdr:col>0</xdr:col>
      <xdr:colOff>388285</xdr:colOff>
      <xdr:row>2</xdr:row>
      <xdr:rowOff>0</xdr:rowOff>
    </xdr:to>
    <xdr:sp macro="" textlink="">
      <xdr:nvSpPr>
        <xdr:cNvPr id="18" name="Text Box 39">
          <a:extLst>
            <a:ext uri="{FF2B5EF4-FFF2-40B4-BE49-F238E27FC236}">
              <a16:creationId xmlns:a16="http://schemas.microsoft.com/office/drawing/2014/main" xmlns="" id="{3862D206-8B6D-40E6-897A-482D0DE5610A}"/>
            </a:ext>
          </a:extLst>
        </xdr:cNvPr>
        <xdr:cNvSpPr txBox="1">
          <a:spLocks noChangeArrowheads="1"/>
        </xdr:cNvSpPr>
      </xdr:nvSpPr>
      <xdr:spPr bwMode="auto">
        <a:xfrm>
          <a:off x="164350" y="723900"/>
          <a:ext cx="2239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zh-TW" altLang="en-US" sz="1200" b="0" i="0" u="none" strike="noStrike" baseline="0">
              <a:solidFill>
                <a:srgbClr val="000000"/>
              </a:solidFill>
              <a:latin typeface="Times New Roman"/>
              <a:cs typeface="Times New Roman"/>
            </a:rPr>
            <a:t>93</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1</xdr:col>
      <xdr:colOff>192925</xdr:colOff>
      <xdr:row>2</xdr:row>
      <xdr:rowOff>0</xdr:rowOff>
    </xdr:from>
    <xdr:to>
      <xdr:col>2</xdr:col>
      <xdr:colOff>0</xdr:colOff>
      <xdr:row>2</xdr:row>
      <xdr:rowOff>0</xdr:rowOff>
    </xdr:to>
    <xdr:sp macro="" textlink="">
      <xdr:nvSpPr>
        <xdr:cNvPr id="19" name="Text Box 56">
          <a:extLst>
            <a:ext uri="{FF2B5EF4-FFF2-40B4-BE49-F238E27FC236}">
              <a16:creationId xmlns:a16="http://schemas.microsoft.com/office/drawing/2014/main" xmlns="" id="{214C73EF-9846-4311-8C90-F7CB3013F881}"/>
            </a:ext>
          </a:extLst>
        </xdr:cNvPr>
        <xdr:cNvSpPr txBox="1">
          <a:spLocks noChangeArrowheads="1"/>
        </xdr:cNvSpPr>
      </xdr:nvSpPr>
      <xdr:spPr bwMode="auto">
        <a:xfrm>
          <a:off x="650125" y="723900"/>
          <a:ext cx="1880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zh-TW" altLang="en-US" sz="1200" b="0" i="0" u="none" strike="noStrike" baseline="0">
              <a:solidFill>
                <a:srgbClr val="000000"/>
              </a:solidFill>
              <a:latin typeface="Times New Roman"/>
              <a:cs typeface="Times New Roman"/>
            </a:rPr>
            <a:t>81</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1</xdr:col>
      <xdr:colOff>600075</xdr:colOff>
      <xdr:row>2</xdr:row>
      <xdr:rowOff>0</xdr:rowOff>
    </xdr:from>
    <xdr:to>
      <xdr:col>1</xdr:col>
      <xdr:colOff>381000</xdr:colOff>
      <xdr:row>2</xdr:row>
      <xdr:rowOff>0</xdr:rowOff>
    </xdr:to>
    <xdr:sp macro="" textlink="">
      <xdr:nvSpPr>
        <xdr:cNvPr id="20" name="AutoShape 57">
          <a:extLst>
            <a:ext uri="{FF2B5EF4-FFF2-40B4-BE49-F238E27FC236}">
              <a16:creationId xmlns:a16="http://schemas.microsoft.com/office/drawing/2014/main" xmlns="" id="{BEC76EAF-DC3B-408E-B3F1-70E50C05F387}"/>
            </a:ext>
          </a:extLst>
        </xdr:cNvPr>
        <xdr:cNvSpPr>
          <a:spLocks/>
        </xdr:cNvSpPr>
      </xdr:nvSpPr>
      <xdr:spPr bwMode="auto">
        <a:xfrm>
          <a:off x="838200" y="7239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192925</xdr:colOff>
      <xdr:row>2</xdr:row>
      <xdr:rowOff>0</xdr:rowOff>
    </xdr:from>
    <xdr:to>
      <xdr:col>2</xdr:col>
      <xdr:colOff>0</xdr:colOff>
      <xdr:row>2</xdr:row>
      <xdr:rowOff>0</xdr:rowOff>
    </xdr:to>
    <xdr:sp macro="" textlink="">
      <xdr:nvSpPr>
        <xdr:cNvPr id="21" name="Text Box 58">
          <a:extLst>
            <a:ext uri="{FF2B5EF4-FFF2-40B4-BE49-F238E27FC236}">
              <a16:creationId xmlns:a16="http://schemas.microsoft.com/office/drawing/2014/main" xmlns="" id="{74D109F1-8C35-41B7-8BEE-D5837B9037F6}"/>
            </a:ext>
          </a:extLst>
        </xdr:cNvPr>
        <xdr:cNvSpPr txBox="1">
          <a:spLocks noChangeArrowheads="1"/>
        </xdr:cNvSpPr>
      </xdr:nvSpPr>
      <xdr:spPr bwMode="auto">
        <a:xfrm>
          <a:off x="650125" y="723900"/>
          <a:ext cx="1880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zh-TW" altLang="en-US" sz="1200" b="0" i="0" u="none" strike="noStrike" baseline="0">
              <a:solidFill>
                <a:srgbClr val="000000"/>
              </a:solidFill>
              <a:latin typeface="Times New Roman"/>
              <a:cs typeface="Times New Roman"/>
            </a:rPr>
            <a:t>82</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1</xdr:col>
      <xdr:colOff>600075</xdr:colOff>
      <xdr:row>2</xdr:row>
      <xdr:rowOff>0</xdr:rowOff>
    </xdr:from>
    <xdr:to>
      <xdr:col>1</xdr:col>
      <xdr:colOff>381000</xdr:colOff>
      <xdr:row>2</xdr:row>
      <xdr:rowOff>0</xdr:rowOff>
    </xdr:to>
    <xdr:sp macro="" textlink="">
      <xdr:nvSpPr>
        <xdr:cNvPr id="22" name="AutoShape 59">
          <a:extLst>
            <a:ext uri="{FF2B5EF4-FFF2-40B4-BE49-F238E27FC236}">
              <a16:creationId xmlns:a16="http://schemas.microsoft.com/office/drawing/2014/main" xmlns="" id="{6B6917B2-B887-42DB-82B5-979DC082CAC3}"/>
            </a:ext>
          </a:extLst>
        </xdr:cNvPr>
        <xdr:cNvSpPr>
          <a:spLocks/>
        </xdr:cNvSpPr>
      </xdr:nvSpPr>
      <xdr:spPr bwMode="auto">
        <a:xfrm>
          <a:off x="838200" y="7239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115512</xdr:colOff>
      <xdr:row>2</xdr:row>
      <xdr:rowOff>0</xdr:rowOff>
    </xdr:from>
    <xdr:to>
      <xdr:col>2</xdr:col>
      <xdr:colOff>0</xdr:colOff>
      <xdr:row>2</xdr:row>
      <xdr:rowOff>0</xdr:rowOff>
    </xdr:to>
    <xdr:sp macro="" textlink="">
      <xdr:nvSpPr>
        <xdr:cNvPr id="23" name="Text Box 60">
          <a:extLst>
            <a:ext uri="{FF2B5EF4-FFF2-40B4-BE49-F238E27FC236}">
              <a16:creationId xmlns:a16="http://schemas.microsoft.com/office/drawing/2014/main" xmlns="" id="{E2DBD0CE-50D7-4B51-8B6F-7B0445D62CA0}"/>
            </a:ext>
          </a:extLst>
        </xdr:cNvPr>
        <xdr:cNvSpPr txBox="1">
          <a:spLocks noChangeArrowheads="1"/>
        </xdr:cNvSpPr>
      </xdr:nvSpPr>
      <xdr:spPr bwMode="auto">
        <a:xfrm>
          <a:off x="572712" y="723900"/>
          <a:ext cx="26548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zh-TW" altLang="en-US" sz="1200" b="0" i="0" u="none" strike="noStrike" baseline="0">
              <a:solidFill>
                <a:srgbClr val="000000"/>
              </a:solidFill>
              <a:latin typeface="Times New Roman"/>
              <a:cs typeface="Times New Roman"/>
            </a:rPr>
            <a:t>83</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1</xdr:col>
      <xdr:colOff>609600</xdr:colOff>
      <xdr:row>2</xdr:row>
      <xdr:rowOff>0</xdr:rowOff>
    </xdr:from>
    <xdr:to>
      <xdr:col>1</xdr:col>
      <xdr:colOff>381000</xdr:colOff>
      <xdr:row>2</xdr:row>
      <xdr:rowOff>0</xdr:rowOff>
    </xdr:to>
    <xdr:sp macro="" textlink="">
      <xdr:nvSpPr>
        <xdr:cNvPr id="24" name="AutoShape 61">
          <a:extLst>
            <a:ext uri="{FF2B5EF4-FFF2-40B4-BE49-F238E27FC236}">
              <a16:creationId xmlns:a16="http://schemas.microsoft.com/office/drawing/2014/main" xmlns="" id="{1A9E7924-71CF-420A-9C54-5B8BE695294E}"/>
            </a:ext>
          </a:extLst>
        </xdr:cNvPr>
        <xdr:cNvSpPr>
          <a:spLocks/>
        </xdr:cNvSpPr>
      </xdr:nvSpPr>
      <xdr:spPr bwMode="auto">
        <a:xfrm>
          <a:off x="838200" y="7239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134562</xdr:colOff>
      <xdr:row>2</xdr:row>
      <xdr:rowOff>0</xdr:rowOff>
    </xdr:from>
    <xdr:to>
      <xdr:col>2</xdr:col>
      <xdr:colOff>0</xdr:colOff>
      <xdr:row>2</xdr:row>
      <xdr:rowOff>0</xdr:rowOff>
    </xdr:to>
    <xdr:sp macro="" textlink="">
      <xdr:nvSpPr>
        <xdr:cNvPr id="25" name="Text Box 62">
          <a:extLst>
            <a:ext uri="{FF2B5EF4-FFF2-40B4-BE49-F238E27FC236}">
              <a16:creationId xmlns:a16="http://schemas.microsoft.com/office/drawing/2014/main" xmlns="" id="{33FA4DB5-B236-4685-9D0B-4F6855AB7DF2}"/>
            </a:ext>
          </a:extLst>
        </xdr:cNvPr>
        <xdr:cNvSpPr txBox="1">
          <a:spLocks noChangeArrowheads="1"/>
        </xdr:cNvSpPr>
      </xdr:nvSpPr>
      <xdr:spPr bwMode="auto">
        <a:xfrm>
          <a:off x="591762" y="723900"/>
          <a:ext cx="2464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zh-TW" altLang="en-US" sz="1200" b="0" i="0" u="none" strike="noStrike" baseline="0">
              <a:solidFill>
                <a:srgbClr val="000000"/>
              </a:solidFill>
              <a:latin typeface="Times New Roman"/>
              <a:cs typeface="Times New Roman"/>
            </a:rPr>
            <a:t>84</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1</xdr:col>
      <xdr:colOff>600075</xdr:colOff>
      <xdr:row>2</xdr:row>
      <xdr:rowOff>0</xdr:rowOff>
    </xdr:from>
    <xdr:to>
      <xdr:col>1</xdr:col>
      <xdr:colOff>381000</xdr:colOff>
      <xdr:row>2</xdr:row>
      <xdr:rowOff>0</xdr:rowOff>
    </xdr:to>
    <xdr:sp macro="" textlink="">
      <xdr:nvSpPr>
        <xdr:cNvPr id="26" name="AutoShape 63">
          <a:extLst>
            <a:ext uri="{FF2B5EF4-FFF2-40B4-BE49-F238E27FC236}">
              <a16:creationId xmlns:a16="http://schemas.microsoft.com/office/drawing/2014/main" xmlns="" id="{CEF07F6C-0E01-44DB-BD40-EA9FAEBD9DAD}"/>
            </a:ext>
          </a:extLst>
        </xdr:cNvPr>
        <xdr:cNvSpPr>
          <a:spLocks/>
        </xdr:cNvSpPr>
      </xdr:nvSpPr>
      <xdr:spPr bwMode="auto">
        <a:xfrm>
          <a:off x="838200" y="7239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115512</xdr:colOff>
      <xdr:row>2</xdr:row>
      <xdr:rowOff>0</xdr:rowOff>
    </xdr:from>
    <xdr:to>
      <xdr:col>2</xdr:col>
      <xdr:colOff>0</xdr:colOff>
      <xdr:row>2</xdr:row>
      <xdr:rowOff>0</xdr:rowOff>
    </xdr:to>
    <xdr:sp macro="" textlink="">
      <xdr:nvSpPr>
        <xdr:cNvPr id="27" name="Text Box 64">
          <a:extLst>
            <a:ext uri="{FF2B5EF4-FFF2-40B4-BE49-F238E27FC236}">
              <a16:creationId xmlns:a16="http://schemas.microsoft.com/office/drawing/2014/main" xmlns="" id="{34EEB90E-CC2B-4C24-947F-DC56A10E56A0}"/>
            </a:ext>
          </a:extLst>
        </xdr:cNvPr>
        <xdr:cNvSpPr txBox="1">
          <a:spLocks noChangeArrowheads="1"/>
        </xdr:cNvSpPr>
      </xdr:nvSpPr>
      <xdr:spPr bwMode="auto">
        <a:xfrm>
          <a:off x="572712" y="723900"/>
          <a:ext cx="26548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zh-TW" altLang="en-US" sz="1200" b="0" i="0" u="none" strike="noStrike" baseline="0">
              <a:solidFill>
                <a:srgbClr val="000000"/>
              </a:solidFill>
              <a:latin typeface="Times New Roman"/>
              <a:cs typeface="Times New Roman"/>
            </a:rPr>
            <a:t>85</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1</xdr:col>
      <xdr:colOff>115512</xdr:colOff>
      <xdr:row>2</xdr:row>
      <xdr:rowOff>0</xdr:rowOff>
    </xdr:from>
    <xdr:to>
      <xdr:col>2</xdr:col>
      <xdr:colOff>0</xdr:colOff>
      <xdr:row>2</xdr:row>
      <xdr:rowOff>0</xdr:rowOff>
    </xdr:to>
    <xdr:sp macro="" textlink="">
      <xdr:nvSpPr>
        <xdr:cNvPr id="28" name="Text Box 65">
          <a:extLst>
            <a:ext uri="{FF2B5EF4-FFF2-40B4-BE49-F238E27FC236}">
              <a16:creationId xmlns:a16="http://schemas.microsoft.com/office/drawing/2014/main" xmlns="" id="{01648208-F8D4-4B33-8D52-728F98C43A08}"/>
            </a:ext>
          </a:extLst>
        </xdr:cNvPr>
        <xdr:cNvSpPr txBox="1">
          <a:spLocks noChangeArrowheads="1"/>
        </xdr:cNvSpPr>
      </xdr:nvSpPr>
      <xdr:spPr bwMode="auto">
        <a:xfrm>
          <a:off x="572712" y="723900"/>
          <a:ext cx="26548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zh-TW" altLang="en-US" sz="1200" b="0" i="0" u="none" strike="noStrike" baseline="0">
              <a:solidFill>
                <a:srgbClr val="000000"/>
              </a:solidFill>
              <a:latin typeface="Times New Roman"/>
              <a:cs typeface="Times New Roman"/>
            </a:rPr>
            <a:t>88</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1</xdr:col>
      <xdr:colOff>115512</xdr:colOff>
      <xdr:row>2</xdr:row>
      <xdr:rowOff>0</xdr:rowOff>
    </xdr:from>
    <xdr:to>
      <xdr:col>2</xdr:col>
      <xdr:colOff>0</xdr:colOff>
      <xdr:row>2</xdr:row>
      <xdr:rowOff>0</xdr:rowOff>
    </xdr:to>
    <xdr:sp macro="" textlink="">
      <xdr:nvSpPr>
        <xdr:cNvPr id="29" name="Text Box 66">
          <a:extLst>
            <a:ext uri="{FF2B5EF4-FFF2-40B4-BE49-F238E27FC236}">
              <a16:creationId xmlns:a16="http://schemas.microsoft.com/office/drawing/2014/main" xmlns="" id="{C4DD1631-56D5-4A8A-8278-D6F4370BECEF}"/>
            </a:ext>
          </a:extLst>
        </xdr:cNvPr>
        <xdr:cNvSpPr txBox="1">
          <a:spLocks noChangeArrowheads="1"/>
        </xdr:cNvSpPr>
      </xdr:nvSpPr>
      <xdr:spPr bwMode="auto">
        <a:xfrm>
          <a:off x="572712" y="723900"/>
          <a:ext cx="26548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zh-TW" altLang="en-US" sz="1200" b="0" i="0" u="none" strike="noStrike" baseline="0">
              <a:solidFill>
                <a:srgbClr val="000000"/>
              </a:solidFill>
              <a:latin typeface="Times New Roman"/>
              <a:cs typeface="Times New Roman"/>
            </a:rPr>
            <a:t>86</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1</xdr:col>
      <xdr:colOff>86937</xdr:colOff>
      <xdr:row>2</xdr:row>
      <xdr:rowOff>0</xdr:rowOff>
    </xdr:from>
    <xdr:to>
      <xdr:col>2</xdr:col>
      <xdr:colOff>0</xdr:colOff>
      <xdr:row>2</xdr:row>
      <xdr:rowOff>0</xdr:rowOff>
    </xdr:to>
    <xdr:sp macro="" textlink="">
      <xdr:nvSpPr>
        <xdr:cNvPr id="30" name="Text Box 67">
          <a:extLst>
            <a:ext uri="{FF2B5EF4-FFF2-40B4-BE49-F238E27FC236}">
              <a16:creationId xmlns:a16="http://schemas.microsoft.com/office/drawing/2014/main" xmlns="" id="{D70C0E47-7418-44C5-B1CE-8FCDB9D24AEC}"/>
            </a:ext>
          </a:extLst>
        </xdr:cNvPr>
        <xdr:cNvSpPr txBox="1">
          <a:spLocks noChangeArrowheads="1"/>
        </xdr:cNvSpPr>
      </xdr:nvSpPr>
      <xdr:spPr bwMode="auto">
        <a:xfrm>
          <a:off x="544137" y="723900"/>
          <a:ext cx="294063"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zh-TW" altLang="en-US" sz="1200" b="0" i="0" u="none" strike="noStrike" baseline="0">
              <a:solidFill>
                <a:srgbClr val="000000"/>
              </a:solidFill>
              <a:latin typeface="Times New Roman"/>
              <a:cs typeface="Times New Roman"/>
            </a:rPr>
            <a:t>87</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1</xdr:col>
      <xdr:colOff>600075</xdr:colOff>
      <xdr:row>2</xdr:row>
      <xdr:rowOff>0</xdr:rowOff>
    </xdr:from>
    <xdr:to>
      <xdr:col>1</xdr:col>
      <xdr:colOff>381000</xdr:colOff>
      <xdr:row>2</xdr:row>
      <xdr:rowOff>0</xdr:rowOff>
    </xdr:to>
    <xdr:sp macro="" textlink="">
      <xdr:nvSpPr>
        <xdr:cNvPr id="31" name="AutoShape 68">
          <a:extLst>
            <a:ext uri="{FF2B5EF4-FFF2-40B4-BE49-F238E27FC236}">
              <a16:creationId xmlns:a16="http://schemas.microsoft.com/office/drawing/2014/main" xmlns="" id="{7D70F385-BF5A-4979-98AC-F48924B8EC9D}"/>
            </a:ext>
          </a:extLst>
        </xdr:cNvPr>
        <xdr:cNvSpPr>
          <a:spLocks/>
        </xdr:cNvSpPr>
      </xdr:nvSpPr>
      <xdr:spPr bwMode="auto">
        <a:xfrm>
          <a:off x="838200" y="7239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600075</xdr:colOff>
      <xdr:row>2</xdr:row>
      <xdr:rowOff>0</xdr:rowOff>
    </xdr:from>
    <xdr:to>
      <xdr:col>1</xdr:col>
      <xdr:colOff>381000</xdr:colOff>
      <xdr:row>2</xdr:row>
      <xdr:rowOff>0</xdr:rowOff>
    </xdr:to>
    <xdr:sp macro="" textlink="">
      <xdr:nvSpPr>
        <xdr:cNvPr id="32" name="AutoShape 69">
          <a:extLst>
            <a:ext uri="{FF2B5EF4-FFF2-40B4-BE49-F238E27FC236}">
              <a16:creationId xmlns:a16="http://schemas.microsoft.com/office/drawing/2014/main" xmlns="" id="{86A902FC-EED6-4490-BFE7-E0991AB05AD3}"/>
            </a:ext>
          </a:extLst>
        </xdr:cNvPr>
        <xdr:cNvSpPr>
          <a:spLocks/>
        </xdr:cNvSpPr>
      </xdr:nvSpPr>
      <xdr:spPr bwMode="auto">
        <a:xfrm>
          <a:off x="838200" y="7239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600075</xdr:colOff>
      <xdr:row>2</xdr:row>
      <xdr:rowOff>0</xdr:rowOff>
    </xdr:from>
    <xdr:to>
      <xdr:col>1</xdr:col>
      <xdr:colOff>381000</xdr:colOff>
      <xdr:row>2</xdr:row>
      <xdr:rowOff>0</xdr:rowOff>
    </xdr:to>
    <xdr:sp macro="" textlink="">
      <xdr:nvSpPr>
        <xdr:cNvPr id="33" name="AutoShape 70">
          <a:extLst>
            <a:ext uri="{FF2B5EF4-FFF2-40B4-BE49-F238E27FC236}">
              <a16:creationId xmlns:a16="http://schemas.microsoft.com/office/drawing/2014/main" xmlns="" id="{20A883CD-7E07-40FE-B4D1-E3B1714A93CC}"/>
            </a:ext>
          </a:extLst>
        </xdr:cNvPr>
        <xdr:cNvSpPr>
          <a:spLocks/>
        </xdr:cNvSpPr>
      </xdr:nvSpPr>
      <xdr:spPr bwMode="auto">
        <a:xfrm>
          <a:off x="838200" y="7239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600075</xdr:colOff>
      <xdr:row>2</xdr:row>
      <xdr:rowOff>0</xdr:rowOff>
    </xdr:from>
    <xdr:to>
      <xdr:col>1</xdr:col>
      <xdr:colOff>381000</xdr:colOff>
      <xdr:row>2</xdr:row>
      <xdr:rowOff>0</xdr:rowOff>
    </xdr:to>
    <xdr:sp macro="" textlink="">
      <xdr:nvSpPr>
        <xdr:cNvPr id="34" name="AutoShape 71">
          <a:extLst>
            <a:ext uri="{FF2B5EF4-FFF2-40B4-BE49-F238E27FC236}">
              <a16:creationId xmlns:a16="http://schemas.microsoft.com/office/drawing/2014/main" xmlns="" id="{4C39746F-D480-4ACB-8A09-3C22F5DC4C47}"/>
            </a:ext>
          </a:extLst>
        </xdr:cNvPr>
        <xdr:cNvSpPr>
          <a:spLocks/>
        </xdr:cNvSpPr>
      </xdr:nvSpPr>
      <xdr:spPr bwMode="auto">
        <a:xfrm>
          <a:off x="838200" y="7239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600075</xdr:colOff>
      <xdr:row>2</xdr:row>
      <xdr:rowOff>0</xdr:rowOff>
    </xdr:from>
    <xdr:to>
      <xdr:col>1</xdr:col>
      <xdr:colOff>381000</xdr:colOff>
      <xdr:row>2</xdr:row>
      <xdr:rowOff>0</xdr:rowOff>
    </xdr:to>
    <xdr:sp macro="" textlink="">
      <xdr:nvSpPr>
        <xdr:cNvPr id="35" name="AutoShape 72">
          <a:extLst>
            <a:ext uri="{FF2B5EF4-FFF2-40B4-BE49-F238E27FC236}">
              <a16:creationId xmlns:a16="http://schemas.microsoft.com/office/drawing/2014/main" xmlns="" id="{67A7239E-F01F-4A52-881A-C1BC41575F59}"/>
            </a:ext>
          </a:extLst>
        </xdr:cNvPr>
        <xdr:cNvSpPr>
          <a:spLocks/>
        </xdr:cNvSpPr>
      </xdr:nvSpPr>
      <xdr:spPr bwMode="auto">
        <a:xfrm>
          <a:off x="838200" y="7239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600075</xdr:colOff>
      <xdr:row>2</xdr:row>
      <xdr:rowOff>0</xdr:rowOff>
    </xdr:from>
    <xdr:to>
      <xdr:col>1</xdr:col>
      <xdr:colOff>381000</xdr:colOff>
      <xdr:row>2</xdr:row>
      <xdr:rowOff>0</xdr:rowOff>
    </xdr:to>
    <xdr:sp macro="" textlink="">
      <xdr:nvSpPr>
        <xdr:cNvPr id="36" name="AutoShape 73">
          <a:extLst>
            <a:ext uri="{FF2B5EF4-FFF2-40B4-BE49-F238E27FC236}">
              <a16:creationId xmlns:a16="http://schemas.microsoft.com/office/drawing/2014/main" xmlns="" id="{BDEA7A9E-60A6-4547-9C7E-B052D720F696}"/>
            </a:ext>
          </a:extLst>
        </xdr:cNvPr>
        <xdr:cNvSpPr>
          <a:spLocks/>
        </xdr:cNvSpPr>
      </xdr:nvSpPr>
      <xdr:spPr bwMode="auto">
        <a:xfrm>
          <a:off x="838200" y="7239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600075</xdr:colOff>
      <xdr:row>2</xdr:row>
      <xdr:rowOff>0</xdr:rowOff>
    </xdr:from>
    <xdr:to>
      <xdr:col>1</xdr:col>
      <xdr:colOff>381000</xdr:colOff>
      <xdr:row>2</xdr:row>
      <xdr:rowOff>0</xdr:rowOff>
    </xdr:to>
    <xdr:sp macro="" textlink="">
      <xdr:nvSpPr>
        <xdr:cNvPr id="37" name="AutoShape 74">
          <a:extLst>
            <a:ext uri="{FF2B5EF4-FFF2-40B4-BE49-F238E27FC236}">
              <a16:creationId xmlns:a16="http://schemas.microsoft.com/office/drawing/2014/main" xmlns="" id="{B7077E0B-279F-446B-A846-B787AF5E99D6}"/>
            </a:ext>
          </a:extLst>
        </xdr:cNvPr>
        <xdr:cNvSpPr>
          <a:spLocks/>
        </xdr:cNvSpPr>
      </xdr:nvSpPr>
      <xdr:spPr bwMode="auto">
        <a:xfrm>
          <a:off x="838200" y="7239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600075</xdr:colOff>
      <xdr:row>2</xdr:row>
      <xdr:rowOff>0</xdr:rowOff>
    </xdr:from>
    <xdr:to>
      <xdr:col>1</xdr:col>
      <xdr:colOff>381000</xdr:colOff>
      <xdr:row>2</xdr:row>
      <xdr:rowOff>0</xdr:rowOff>
    </xdr:to>
    <xdr:sp macro="" textlink="">
      <xdr:nvSpPr>
        <xdr:cNvPr id="38" name="AutoShape 75">
          <a:extLst>
            <a:ext uri="{FF2B5EF4-FFF2-40B4-BE49-F238E27FC236}">
              <a16:creationId xmlns:a16="http://schemas.microsoft.com/office/drawing/2014/main" xmlns="" id="{2C30CCF4-5383-478A-8328-F86D62E68C90}"/>
            </a:ext>
          </a:extLst>
        </xdr:cNvPr>
        <xdr:cNvSpPr>
          <a:spLocks/>
        </xdr:cNvSpPr>
      </xdr:nvSpPr>
      <xdr:spPr bwMode="auto">
        <a:xfrm>
          <a:off x="838200" y="7239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600075</xdr:colOff>
      <xdr:row>2</xdr:row>
      <xdr:rowOff>0</xdr:rowOff>
    </xdr:from>
    <xdr:to>
      <xdr:col>1</xdr:col>
      <xdr:colOff>381000</xdr:colOff>
      <xdr:row>2</xdr:row>
      <xdr:rowOff>0</xdr:rowOff>
    </xdr:to>
    <xdr:sp macro="" textlink="">
      <xdr:nvSpPr>
        <xdr:cNvPr id="39" name="AutoShape 76">
          <a:extLst>
            <a:ext uri="{FF2B5EF4-FFF2-40B4-BE49-F238E27FC236}">
              <a16:creationId xmlns:a16="http://schemas.microsoft.com/office/drawing/2014/main" xmlns="" id="{9261B381-ADB9-4ADB-8A70-7E6824C767B2}"/>
            </a:ext>
          </a:extLst>
        </xdr:cNvPr>
        <xdr:cNvSpPr>
          <a:spLocks/>
        </xdr:cNvSpPr>
      </xdr:nvSpPr>
      <xdr:spPr bwMode="auto">
        <a:xfrm>
          <a:off x="838200" y="7239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135775</xdr:colOff>
      <xdr:row>2</xdr:row>
      <xdr:rowOff>0</xdr:rowOff>
    </xdr:from>
    <xdr:to>
      <xdr:col>2</xdr:col>
      <xdr:colOff>0</xdr:colOff>
      <xdr:row>2</xdr:row>
      <xdr:rowOff>0</xdr:rowOff>
    </xdr:to>
    <xdr:sp macro="" textlink="">
      <xdr:nvSpPr>
        <xdr:cNvPr id="40" name="Text Box 77">
          <a:extLst>
            <a:ext uri="{FF2B5EF4-FFF2-40B4-BE49-F238E27FC236}">
              <a16:creationId xmlns:a16="http://schemas.microsoft.com/office/drawing/2014/main" xmlns="" id="{7EFC6FDB-C29B-422C-AD49-65A3946BE5DB}"/>
            </a:ext>
          </a:extLst>
        </xdr:cNvPr>
        <xdr:cNvSpPr txBox="1">
          <a:spLocks noChangeArrowheads="1"/>
        </xdr:cNvSpPr>
      </xdr:nvSpPr>
      <xdr:spPr bwMode="auto">
        <a:xfrm>
          <a:off x="592975" y="723900"/>
          <a:ext cx="245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zh-TW" altLang="en-US" sz="1200" b="0" i="0" u="none" strike="noStrike" baseline="0">
              <a:solidFill>
                <a:srgbClr val="000000"/>
              </a:solidFill>
              <a:latin typeface="Times New Roman"/>
              <a:cs typeface="Times New Roman"/>
            </a:rPr>
            <a:t>89</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1</xdr:col>
      <xdr:colOff>115512</xdr:colOff>
      <xdr:row>2</xdr:row>
      <xdr:rowOff>0</xdr:rowOff>
    </xdr:from>
    <xdr:to>
      <xdr:col>2</xdr:col>
      <xdr:colOff>0</xdr:colOff>
      <xdr:row>2</xdr:row>
      <xdr:rowOff>0</xdr:rowOff>
    </xdr:to>
    <xdr:sp macro="" textlink="">
      <xdr:nvSpPr>
        <xdr:cNvPr id="41" name="Text Box 78">
          <a:extLst>
            <a:ext uri="{FF2B5EF4-FFF2-40B4-BE49-F238E27FC236}">
              <a16:creationId xmlns:a16="http://schemas.microsoft.com/office/drawing/2014/main" xmlns="" id="{33674A55-660B-408A-9AD7-CC3DA7E60B54}"/>
            </a:ext>
          </a:extLst>
        </xdr:cNvPr>
        <xdr:cNvSpPr txBox="1">
          <a:spLocks noChangeArrowheads="1"/>
        </xdr:cNvSpPr>
      </xdr:nvSpPr>
      <xdr:spPr bwMode="auto">
        <a:xfrm>
          <a:off x="572712" y="723900"/>
          <a:ext cx="26548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zh-TW" altLang="en-US" sz="1200" b="0" i="0" u="none" strike="noStrike" baseline="0">
              <a:solidFill>
                <a:srgbClr val="000000"/>
              </a:solidFill>
              <a:latin typeface="Times New Roman"/>
              <a:cs typeface="Times New Roman"/>
            </a:rPr>
            <a:t>90</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1</xdr:col>
      <xdr:colOff>115512</xdr:colOff>
      <xdr:row>2</xdr:row>
      <xdr:rowOff>0</xdr:rowOff>
    </xdr:from>
    <xdr:to>
      <xdr:col>2</xdr:col>
      <xdr:colOff>0</xdr:colOff>
      <xdr:row>2</xdr:row>
      <xdr:rowOff>0</xdr:rowOff>
    </xdr:to>
    <xdr:sp macro="" textlink="">
      <xdr:nvSpPr>
        <xdr:cNvPr id="42" name="Text Box 79">
          <a:extLst>
            <a:ext uri="{FF2B5EF4-FFF2-40B4-BE49-F238E27FC236}">
              <a16:creationId xmlns:a16="http://schemas.microsoft.com/office/drawing/2014/main" xmlns="" id="{4A6BD8FE-B9FF-4576-98A3-134FCE290DEB}"/>
            </a:ext>
          </a:extLst>
        </xdr:cNvPr>
        <xdr:cNvSpPr txBox="1">
          <a:spLocks noChangeArrowheads="1"/>
        </xdr:cNvSpPr>
      </xdr:nvSpPr>
      <xdr:spPr bwMode="auto">
        <a:xfrm>
          <a:off x="572712" y="723900"/>
          <a:ext cx="26548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zh-TW" altLang="en-US" sz="1200" b="0" i="0" u="none" strike="noStrike" baseline="0">
              <a:solidFill>
                <a:srgbClr val="000000"/>
              </a:solidFill>
              <a:latin typeface="Times New Roman"/>
              <a:cs typeface="Times New Roman"/>
            </a:rPr>
            <a:t>91</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1</xdr:col>
      <xdr:colOff>115512</xdr:colOff>
      <xdr:row>2</xdr:row>
      <xdr:rowOff>0</xdr:rowOff>
    </xdr:from>
    <xdr:to>
      <xdr:col>2</xdr:col>
      <xdr:colOff>0</xdr:colOff>
      <xdr:row>2</xdr:row>
      <xdr:rowOff>0</xdr:rowOff>
    </xdr:to>
    <xdr:sp macro="" textlink="">
      <xdr:nvSpPr>
        <xdr:cNvPr id="43" name="Text Box 80">
          <a:extLst>
            <a:ext uri="{FF2B5EF4-FFF2-40B4-BE49-F238E27FC236}">
              <a16:creationId xmlns:a16="http://schemas.microsoft.com/office/drawing/2014/main" xmlns="" id="{9A3D0FB8-8AAA-48A0-B809-72FB867CF310}"/>
            </a:ext>
          </a:extLst>
        </xdr:cNvPr>
        <xdr:cNvSpPr txBox="1">
          <a:spLocks noChangeArrowheads="1"/>
        </xdr:cNvSpPr>
      </xdr:nvSpPr>
      <xdr:spPr bwMode="auto">
        <a:xfrm>
          <a:off x="572712" y="723900"/>
          <a:ext cx="26548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zh-TW" altLang="en-US" sz="1200" b="0" i="0" u="none" strike="noStrike" baseline="0">
              <a:solidFill>
                <a:srgbClr val="000000"/>
              </a:solidFill>
              <a:latin typeface="Times New Roman"/>
              <a:cs typeface="Times New Roman"/>
            </a:rPr>
            <a:t>92</a:t>
          </a:r>
          <a:r>
            <a:rPr lang="zh-TW" altLang="en-US" sz="1200" b="0" i="0" u="none" strike="noStrike" baseline="0">
              <a:solidFill>
                <a:srgbClr val="000000"/>
              </a:solidFill>
              <a:latin typeface="新細明體"/>
              <a:ea typeface="新細明體"/>
              <a:cs typeface="Times New Roman"/>
            </a:rPr>
            <a:t>年</a:t>
          </a:r>
          <a:endParaRPr lang="zh-TW" altLang="en-US"/>
        </a:p>
      </xdr:txBody>
    </xdr:sp>
    <xdr:clientData/>
  </xdr:twoCellAnchor>
  <xdr:twoCellAnchor>
    <xdr:from>
      <xdr:col>1</xdr:col>
      <xdr:colOff>600075</xdr:colOff>
      <xdr:row>22</xdr:row>
      <xdr:rowOff>0</xdr:rowOff>
    </xdr:from>
    <xdr:to>
      <xdr:col>1</xdr:col>
      <xdr:colOff>381000</xdr:colOff>
      <xdr:row>22</xdr:row>
      <xdr:rowOff>0</xdr:rowOff>
    </xdr:to>
    <xdr:sp macro="" textlink="">
      <xdr:nvSpPr>
        <xdr:cNvPr id="44" name="AutoShape 86">
          <a:extLst>
            <a:ext uri="{FF2B5EF4-FFF2-40B4-BE49-F238E27FC236}">
              <a16:creationId xmlns:a16="http://schemas.microsoft.com/office/drawing/2014/main" xmlns="" id="{115AEDFA-3CC2-4245-B0B7-2BA9045C1F75}"/>
            </a:ext>
          </a:extLst>
        </xdr:cNvPr>
        <xdr:cNvSpPr>
          <a:spLocks/>
        </xdr:cNvSpPr>
      </xdr:nvSpPr>
      <xdr:spPr bwMode="auto">
        <a:xfrm>
          <a:off x="838200" y="529590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9525</xdr:colOff>
      <xdr:row>2</xdr:row>
      <xdr:rowOff>76200</xdr:rowOff>
    </xdr:from>
    <xdr:to>
      <xdr:col>1</xdr:col>
      <xdr:colOff>85725</xdr:colOff>
      <xdr:row>3</xdr:row>
      <xdr:rowOff>190500</xdr:rowOff>
    </xdr:to>
    <xdr:sp macro="" textlink="">
      <xdr:nvSpPr>
        <xdr:cNvPr id="45" name="AutoShape 94">
          <a:extLst>
            <a:ext uri="{FF2B5EF4-FFF2-40B4-BE49-F238E27FC236}">
              <a16:creationId xmlns:a16="http://schemas.microsoft.com/office/drawing/2014/main" xmlns="" id="{E314201B-6FC9-4036-A528-0BF88567014E}"/>
            </a:ext>
          </a:extLst>
        </xdr:cNvPr>
        <xdr:cNvSpPr>
          <a:spLocks/>
        </xdr:cNvSpPr>
      </xdr:nvSpPr>
      <xdr:spPr bwMode="auto">
        <a:xfrm>
          <a:off x="466725" y="800100"/>
          <a:ext cx="76200" cy="342900"/>
        </a:xfrm>
        <a:prstGeom prst="leftBrace">
          <a:avLst>
            <a:gd name="adj1" fmla="val 3750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9525</xdr:colOff>
      <xdr:row>20</xdr:row>
      <xdr:rowOff>66675</xdr:rowOff>
    </xdr:from>
    <xdr:to>
      <xdr:col>1</xdr:col>
      <xdr:colOff>85725</xdr:colOff>
      <xdr:row>21</xdr:row>
      <xdr:rowOff>180975</xdr:rowOff>
    </xdr:to>
    <xdr:sp macro="" textlink="">
      <xdr:nvSpPr>
        <xdr:cNvPr id="46" name="AutoShape 107">
          <a:extLst>
            <a:ext uri="{FF2B5EF4-FFF2-40B4-BE49-F238E27FC236}">
              <a16:creationId xmlns:a16="http://schemas.microsoft.com/office/drawing/2014/main" xmlns="" id="{F2BDC5D0-399E-438D-B0D9-137FCE530438}"/>
            </a:ext>
          </a:extLst>
        </xdr:cNvPr>
        <xdr:cNvSpPr>
          <a:spLocks/>
        </xdr:cNvSpPr>
      </xdr:nvSpPr>
      <xdr:spPr bwMode="auto">
        <a:xfrm>
          <a:off x="466725" y="4905375"/>
          <a:ext cx="76200" cy="342900"/>
        </a:xfrm>
        <a:prstGeom prst="leftBrace">
          <a:avLst>
            <a:gd name="adj1" fmla="val 3750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9525</xdr:colOff>
      <xdr:row>4</xdr:row>
      <xdr:rowOff>76200</xdr:rowOff>
    </xdr:from>
    <xdr:to>
      <xdr:col>1</xdr:col>
      <xdr:colOff>85725</xdr:colOff>
      <xdr:row>5</xdr:row>
      <xdr:rowOff>190500</xdr:rowOff>
    </xdr:to>
    <xdr:sp macro="" textlink="">
      <xdr:nvSpPr>
        <xdr:cNvPr id="47" name="AutoShape 94">
          <a:extLst>
            <a:ext uri="{FF2B5EF4-FFF2-40B4-BE49-F238E27FC236}">
              <a16:creationId xmlns:a16="http://schemas.microsoft.com/office/drawing/2014/main" xmlns="" id="{C1CFF556-6D7C-46BC-A53A-D046D461B5AF}"/>
            </a:ext>
          </a:extLst>
        </xdr:cNvPr>
        <xdr:cNvSpPr>
          <a:spLocks/>
        </xdr:cNvSpPr>
      </xdr:nvSpPr>
      <xdr:spPr bwMode="auto">
        <a:xfrm>
          <a:off x="466725" y="1257300"/>
          <a:ext cx="76200" cy="342900"/>
        </a:xfrm>
        <a:prstGeom prst="leftBrace">
          <a:avLst>
            <a:gd name="adj1" fmla="val 3708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9525</xdr:colOff>
      <xdr:row>6</xdr:row>
      <xdr:rowOff>76200</xdr:rowOff>
    </xdr:from>
    <xdr:to>
      <xdr:col>1</xdr:col>
      <xdr:colOff>85725</xdr:colOff>
      <xdr:row>7</xdr:row>
      <xdr:rowOff>190500</xdr:rowOff>
    </xdr:to>
    <xdr:sp macro="" textlink="">
      <xdr:nvSpPr>
        <xdr:cNvPr id="48" name="AutoShape 94">
          <a:extLst>
            <a:ext uri="{FF2B5EF4-FFF2-40B4-BE49-F238E27FC236}">
              <a16:creationId xmlns:a16="http://schemas.microsoft.com/office/drawing/2014/main" xmlns="" id="{A9D6F098-A03E-4F46-8FE4-FF228E641F83}"/>
            </a:ext>
          </a:extLst>
        </xdr:cNvPr>
        <xdr:cNvSpPr>
          <a:spLocks/>
        </xdr:cNvSpPr>
      </xdr:nvSpPr>
      <xdr:spPr bwMode="auto">
        <a:xfrm>
          <a:off x="466725" y="1714500"/>
          <a:ext cx="76200" cy="342900"/>
        </a:xfrm>
        <a:prstGeom prst="leftBrace">
          <a:avLst>
            <a:gd name="adj1" fmla="val 3708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9525</xdr:colOff>
      <xdr:row>8</xdr:row>
      <xdr:rowOff>76200</xdr:rowOff>
    </xdr:from>
    <xdr:to>
      <xdr:col>1</xdr:col>
      <xdr:colOff>85725</xdr:colOff>
      <xdr:row>9</xdr:row>
      <xdr:rowOff>190500</xdr:rowOff>
    </xdr:to>
    <xdr:sp macro="" textlink="">
      <xdr:nvSpPr>
        <xdr:cNvPr id="49" name="AutoShape 94">
          <a:extLst>
            <a:ext uri="{FF2B5EF4-FFF2-40B4-BE49-F238E27FC236}">
              <a16:creationId xmlns:a16="http://schemas.microsoft.com/office/drawing/2014/main" xmlns="" id="{BC3B34EF-E3C1-43B2-B187-A21CF0FC0569}"/>
            </a:ext>
          </a:extLst>
        </xdr:cNvPr>
        <xdr:cNvSpPr>
          <a:spLocks/>
        </xdr:cNvSpPr>
      </xdr:nvSpPr>
      <xdr:spPr bwMode="auto">
        <a:xfrm>
          <a:off x="466725" y="2171700"/>
          <a:ext cx="76200" cy="342900"/>
        </a:xfrm>
        <a:prstGeom prst="leftBrace">
          <a:avLst>
            <a:gd name="adj1" fmla="val 3708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9525</xdr:colOff>
      <xdr:row>10</xdr:row>
      <xdr:rowOff>76200</xdr:rowOff>
    </xdr:from>
    <xdr:to>
      <xdr:col>1</xdr:col>
      <xdr:colOff>85725</xdr:colOff>
      <xdr:row>11</xdr:row>
      <xdr:rowOff>190500</xdr:rowOff>
    </xdr:to>
    <xdr:sp macro="" textlink="">
      <xdr:nvSpPr>
        <xdr:cNvPr id="50" name="AutoShape 94">
          <a:extLst>
            <a:ext uri="{FF2B5EF4-FFF2-40B4-BE49-F238E27FC236}">
              <a16:creationId xmlns:a16="http://schemas.microsoft.com/office/drawing/2014/main" xmlns="" id="{3CD6B394-BBA1-489E-BBF9-0020066532E7}"/>
            </a:ext>
          </a:extLst>
        </xdr:cNvPr>
        <xdr:cNvSpPr>
          <a:spLocks/>
        </xdr:cNvSpPr>
      </xdr:nvSpPr>
      <xdr:spPr bwMode="auto">
        <a:xfrm>
          <a:off x="466725" y="2628900"/>
          <a:ext cx="76200" cy="342900"/>
        </a:xfrm>
        <a:prstGeom prst="leftBrace">
          <a:avLst>
            <a:gd name="adj1" fmla="val 3708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9525</xdr:colOff>
      <xdr:row>12</xdr:row>
      <xdr:rowOff>76200</xdr:rowOff>
    </xdr:from>
    <xdr:to>
      <xdr:col>1</xdr:col>
      <xdr:colOff>85725</xdr:colOff>
      <xdr:row>13</xdr:row>
      <xdr:rowOff>190500</xdr:rowOff>
    </xdr:to>
    <xdr:sp macro="" textlink="">
      <xdr:nvSpPr>
        <xdr:cNvPr id="51" name="AutoShape 94">
          <a:extLst>
            <a:ext uri="{FF2B5EF4-FFF2-40B4-BE49-F238E27FC236}">
              <a16:creationId xmlns:a16="http://schemas.microsoft.com/office/drawing/2014/main" xmlns="" id="{148262CD-71C3-4735-B86E-203E108E9836}"/>
            </a:ext>
          </a:extLst>
        </xdr:cNvPr>
        <xdr:cNvSpPr>
          <a:spLocks/>
        </xdr:cNvSpPr>
      </xdr:nvSpPr>
      <xdr:spPr bwMode="auto">
        <a:xfrm>
          <a:off x="466725" y="3086100"/>
          <a:ext cx="76200" cy="342900"/>
        </a:xfrm>
        <a:prstGeom prst="leftBrace">
          <a:avLst>
            <a:gd name="adj1" fmla="val 3708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9525</xdr:colOff>
      <xdr:row>14</xdr:row>
      <xdr:rowOff>76200</xdr:rowOff>
    </xdr:from>
    <xdr:to>
      <xdr:col>1</xdr:col>
      <xdr:colOff>85725</xdr:colOff>
      <xdr:row>15</xdr:row>
      <xdr:rowOff>190500</xdr:rowOff>
    </xdr:to>
    <xdr:sp macro="" textlink="">
      <xdr:nvSpPr>
        <xdr:cNvPr id="52" name="AutoShape 94">
          <a:extLst>
            <a:ext uri="{FF2B5EF4-FFF2-40B4-BE49-F238E27FC236}">
              <a16:creationId xmlns:a16="http://schemas.microsoft.com/office/drawing/2014/main" xmlns="" id="{0938F87F-F05D-4356-918D-5A7657DFC139}"/>
            </a:ext>
          </a:extLst>
        </xdr:cNvPr>
        <xdr:cNvSpPr>
          <a:spLocks/>
        </xdr:cNvSpPr>
      </xdr:nvSpPr>
      <xdr:spPr bwMode="auto">
        <a:xfrm>
          <a:off x="466725" y="3543300"/>
          <a:ext cx="76200" cy="342900"/>
        </a:xfrm>
        <a:prstGeom prst="leftBrace">
          <a:avLst>
            <a:gd name="adj1" fmla="val 3708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9525</xdr:colOff>
      <xdr:row>16</xdr:row>
      <xdr:rowOff>76200</xdr:rowOff>
    </xdr:from>
    <xdr:to>
      <xdr:col>1</xdr:col>
      <xdr:colOff>85725</xdr:colOff>
      <xdr:row>17</xdr:row>
      <xdr:rowOff>190500</xdr:rowOff>
    </xdr:to>
    <xdr:sp macro="" textlink="">
      <xdr:nvSpPr>
        <xdr:cNvPr id="53" name="AutoShape 94">
          <a:extLst>
            <a:ext uri="{FF2B5EF4-FFF2-40B4-BE49-F238E27FC236}">
              <a16:creationId xmlns:a16="http://schemas.microsoft.com/office/drawing/2014/main" xmlns="" id="{351C0172-7E21-485F-8226-57701CCC4307}"/>
            </a:ext>
          </a:extLst>
        </xdr:cNvPr>
        <xdr:cNvSpPr>
          <a:spLocks/>
        </xdr:cNvSpPr>
      </xdr:nvSpPr>
      <xdr:spPr bwMode="auto">
        <a:xfrm>
          <a:off x="466725" y="4000500"/>
          <a:ext cx="76200" cy="342900"/>
        </a:xfrm>
        <a:prstGeom prst="leftBrace">
          <a:avLst>
            <a:gd name="adj1" fmla="val 3708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9525</xdr:colOff>
      <xdr:row>18</xdr:row>
      <xdr:rowOff>76200</xdr:rowOff>
    </xdr:from>
    <xdr:to>
      <xdr:col>1</xdr:col>
      <xdr:colOff>85725</xdr:colOff>
      <xdr:row>19</xdr:row>
      <xdr:rowOff>190500</xdr:rowOff>
    </xdr:to>
    <xdr:sp macro="" textlink="">
      <xdr:nvSpPr>
        <xdr:cNvPr id="54" name="AutoShape 94">
          <a:extLst>
            <a:ext uri="{FF2B5EF4-FFF2-40B4-BE49-F238E27FC236}">
              <a16:creationId xmlns:a16="http://schemas.microsoft.com/office/drawing/2014/main" xmlns="" id="{9CC7311C-098C-40D4-BBC7-D50C11A68EEF}"/>
            </a:ext>
          </a:extLst>
        </xdr:cNvPr>
        <xdr:cNvSpPr>
          <a:spLocks/>
        </xdr:cNvSpPr>
      </xdr:nvSpPr>
      <xdr:spPr bwMode="auto">
        <a:xfrm>
          <a:off x="466725" y="4457700"/>
          <a:ext cx="76200" cy="342900"/>
        </a:xfrm>
        <a:prstGeom prst="leftBrace">
          <a:avLst>
            <a:gd name="adj1" fmla="val 3708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0</xdr:colOff>
      <xdr:row>9</xdr:row>
      <xdr:rowOff>57150</xdr:rowOff>
    </xdr:from>
    <xdr:to>
      <xdr:col>5</xdr:col>
      <xdr:colOff>0</xdr:colOff>
      <xdr:row>13</xdr:row>
      <xdr:rowOff>238125</xdr:rowOff>
    </xdr:to>
    <xdr:sp macro="" textlink="">
      <xdr:nvSpPr>
        <xdr:cNvPr id="2" name="文字 4">
          <a:extLst>
            <a:ext uri="{FF2B5EF4-FFF2-40B4-BE49-F238E27FC236}">
              <a16:creationId xmlns:a16="http://schemas.microsoft.com/office/drawing/2014/main" xmlns="" id="{971D1ABE-4E08-42CC-8991-8384306751EE}"/>
            </a:ext>
          </a:extLst>
        </xdr:cNvPr>
        <xdr:cNvSpPr txBox="1">
          <a:spLocks noChangeArrowheads="1"/>
        </xdr:cNvSpPr>
      </xdr:nvSpPr>
      <xdr:spPr bwMode="auto">
        <a:xfrm>
          <a:off x="5238750" y="2190750"/>
          <a:ext cx="0" cy="11715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新細明體"/>
              <a:ea typeface="新細明體"/>
            </a:rPr>
            <a:t>肅清煙毒</a:t>
          </a:r>
          <a:endParaRPr lang="zh-TW" altLang="en-US"/>
        </a:p>
      </xdr:txBody>
    </xdr:sp>
    <xdr:clientData/>
  </xdr:twoCellAnchor>
  <xdr:twoCellAnchor>
    <xdr:from>
      <xdr:col>5</xdr:col>
      <xdr:colOff>0</xdr:colOff>
      <xdr:row>9</xdr:row>
      <xdr:rowOff>47625</xdr:rowOff>
    </xdr:from>
    <xdr:to>
      <xdr:col>5</xdr:col>
      <xdr:colOff>0</xdr:colOff>
      <xdr:row>13</xdr:row>
      <xdr:rowOff>228600</xdr:rowOff>
    </xdr:to>
    <xdr:sp macro="" textlink="">
      <xdr:nvSpPr>
        <xdr:cNvPr id="3" name="文字 5">
          <a:extLst>
            <a:ext uri="{FF2B5EF4-FFF2-40B4-BE49-F238E27FC236}">
              <a16:creationId xmlns:a16="http://schemas.microsoft.com/office/drawing/2014/main" xmlns="" id="{2D331F52-0558-4627-A299-2B514E0F8E95}"/>
            </a:ext>
          </a:extLst>
        </xdr:cNvPr>
        <xdr:cNvSpPr txBox="1">
          <a:spLocks noChangeArrowheads="1"/>
        </xdr:cNvSpPr>
      </xdr:nvSpPr>
      <xdr:spPr bwMode="auto">
        <a:xfrm>
          <a:off x="5238750" y="2181225"/>
          <a:ext cx="0" cy="11715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zh-TW" altLang="en-US" sz="1200" b="0" i="0" u="none" strike="noStrike" baseline="0">
              <a:solidFill>
                <a:srgbClr val="000000"/>
              </a:solidFill>
              <a:latin typeface="細明體"/>
              <a:ea typeface="細明體"/>
            </a:rPr>
            <a:t>條例</a:t>
          </a:r>
          <a:endParaRPr lang="zh-TW"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171450</xdr:colOff>
      <xdr:row>7</xdr:row>
      <xdr:rowOff>0</xdr:rowOff>
    </xdr:from>
    <xdr:to>
      <xdr:col>0</xdr:col>
      <xdr:colOff>1095375</xdr:colOff>
      <xdr:row>7</xdr:row>
      <xdr:rowOff>0</xdr:rowOff>
    </xdr:to>
    <xdr:sp macro="" textlink="">
      <xdr:nvSpPr>
        <xdr:cNvPr id="2" name="Text Box 2">
          <a:extLst>
            <a:ext uri="{FF2B5EF4-FFF2-40B4-BE49-F238E27FC236}">
              <a16:creationId xmlns:a16="http://schemas.microsoft.com/office/drawing/2014/main" xmlns="" id="{00000000-0008-0000-0300-000003000000}"/>
            </a:ext>
          </a:extLst>
        </xdr:cNvPr>
        <xdr:cNvSpPr txBox="1">
          <a:spLocks noChangeArrowheads="1"/>
        </xdr:cNvSpPr>
      </xdr:nvSpPr>
      <xdr:spPr bwMode="auto">
        <a:xfrm>
          <a:off x="171450" y="2857500"/>
          <a:ext cx="9239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新細明體"/>
              <a:ea typeface="新細明體"/>
            </a:rPr>
            <a:t>類</a:t>
          </a:r>
          <a:r>
            <a:rPr lang="zh-TW" altLang="en-US" sz="1200" b="0" i="0" u="none" strike="noStrike" baseline="0">
              <a:solidFill>
                <a:srgbClr val="000000"/>
              </a:solidFill>
              <a:latin typeface="Times New Roman"/>
              <a:ea typeface="新細明體"/>
              <a:cs typeface="Times New Roman"/>
            </a:rPr>
            <a:t>        </a:t>
          </a:r>
          <a:r>
            <a:rPr lang="zh-TW" altLang="en-US" sz="1200" b="0" i="0" u="none" strike="noStrike" baseline="0">
              <a:solidFill>
                <a:srgbClr val="000000"/>
              </a:solidFill>
              <a:latin typeface="新細明體"/>
              <a:ea typeface="新細明體"/>
              <a:cs typeface="Times New Roman"/>
            </a:rPr>
            <a:t>別</a:t>
          </a:r>
          <a:endParaRPr lang="zh-TW" altLang="en-US"/>
        </a:p>
      </xdr:txBody>
    </xdr:sp>
    <xdr:clientData/>
  </xdr:twoCellAnchor>
  <xdr:twoCellAnchor>
    <xdr:from>
      <xdr:col>0</xdr:col>
      <xdr:colOff>266700</xdr:colOff>
      <xdr:row>7</xdr:row>
      <xdr:rowOff>0</xdr:rowOff>
    </xdr:from>
    <xdr:to>
      <xdr:col>0</xdr:col>
      <xdr:colOff>1057275</xdr:colOff>
      <xdr:row>7</xdr:row>
      <xdr:rowOff>0</xdr:rowOff>
    </xdr:to>
    <xdr:sp macro="" textlink="">
      <xdr:nvSpPr>
        <xdr:cNvPr id="3" name="Text Box 3">
          <a:extLst>
            <a:ext uri="{FF2B5EF4-FFF2-40B4-BE49-F238E27FC236}">
              <a16:creationId xmlns:a16="http://schemas.microsoft.com/office/drawing/2014/main" xmlns="" id="{00000000-0008-0000-0300-000004000000}"/>
            </a:ext>
          </a:extLst>
        </xdr:cNvPr>
        <xdr:cNvSpPr txBox="1">
          <a:spLocks noChangeArrowheads="1"/>
        </xdr:cNvSpPr>
      </xdr:nvSpPr>
      <xdr:spPr bwMode="auto">
        <a:xfrm>
          <a:off x="266700" y="2857500"/>
          <a:ext cx="7905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新細明體"/>
              <a:ea typeface="新細明體"/>
            </a:rPr>
            <a:t>類        別</a:t>
          </a:r>
          <a:endParaRPr lang="zh-TW" altLang="en-US"/>
        </a:p>
      </xdr:txBody>
    </xdr:sp>
    <xdr:clientData/>
  </xdr:twoCellAnchor>
  <xdr:twoCellAnchor>
    <xdr:from>
      <xdr:col>0</xdr:col>
      <xdr:colOff>171450</xdr:colOff>
      <xdr:row>13</xdr:row>
      <xdr:rowOff>0</xdr:rowOff>
    </xdr:from>
    <xdr:to>
      <xdr:col>0</xdr:col>
      <xdr:colOff>1095375</xdr:colOff>
      <xdr:row>13</xdr:row>
      <xdr:rowOff>0</xdr:rowOff>
    </xdr:to>
    <xdr:sp macro="" textlink="">
      <xdr:nvSpPr>
        <xdr:cNvPr id="4" name="Text Box 5">
          <a:extLst>
            <a:ext uri="{FF2B5EF4-FFF2-40B4-BE49-F238E27FC236}">
              <a16:creationId xmlns:a16="http://schemas.microsoft.com/office/drawing/2014/main" xmlns="" id="{00000000-0008-0000-0300-000006000000}"/>
            </a:ext>
          </a:extLst>
        </xdr:cNvPr>
        <xdr:cNvSpPr txBox="1">
          <a:spLocks noChangeArrowheads="1"/>
        </xdr:cNvSpPr>
      </xdr:nvSpPr>
      <xdr:spPr bwMode="auto">
        <a:xfrm>
          <a:off x="171450" y="5429250"/>
          <a:ext cx="9239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新細明體"/>
              <a:ea typeface="新細明體"/>
            </a:rPr>
            <a:t>類</a:t>
          </a:r>
          <a:r>
            <a:rPr lang="zh-TW" altLang="en-US" sz="1200" b="0" i="0" u="none" strike="noStrike" baseline="0">
              <a:solidFill>
                <a:srgbClr val="000000"/>
              </a:solidFill>
              <a:latin typeface="Times New Roman"/>
              <a:ea typeface="新細明體"/>
              <a:cs typeface="Times New Roman"/>
            </a:rPr>
            <a:t>        </a:t>
          </a:r>
          <a:r>
            <a:rPr lang="zh-TW" altLang="en-US" sz="1200" b="0" i="0" u="none" strike="noStrike" baseline="0">
              <a:solidFill>
                <a:srgbClr val="000000"/>
              </a:solidFill>
              <a:latin typeface="新細明體"/>
              <a:ea typeface="新細明體"/>
              <a:cs typeface="Times New Roman"/>
            </a:rPr>
            <a:t>別</a:t>
          </a:r>
          <a:endParaRPr lang="zh-TW" altLang="en-US"/>
        </a:p>
      </xdr:txBody>
    </xdr:sp>
    <xdr:clientData/>
  </xdr:twoCellAnchor>
  <xdr:twoCellAnchor>
    <xdr:from>
      <xdr:col>0</xdr:col>
      <xdr:colOff>266700</xdr:colOff>
      <xdr:row>13</xdr:row>
      <xdr:rowOff>0</xdr:rowOff>
    </xdr:from>
    <xdr:to>
      <xdr:col>0</xdr:col>
      <xdr:colOff>1057275</xdr:colOff>
      <xdr:row>13</xdr:row>
      <xdr:rowOff>0</xdr:rowOff>
    </xdr:to>
    <xdr:sp macro="" textlink="">
      <xdr:nvSpPr>
        <xdr:cNvPr id="5" name="Text Box 6">
          <a:extLst>
            <a:ext uri="{FF2B5EF4-FFF2-40B4-BE49-F238E27FC236}">
              <a16:creationId xmlns:a16="http://schemas.microsoft.com/office/drawing/2014/main" xmlns="" id="{00000000-0008-0000-0300-000007000000}"/>
            </a:ext>
          </a:extLst>
        </xdr:cNvPr>
        <xdr:cNvSpPr txBox="1">
          <a:spLocks noChangeArrowheads="1"/>
        </xdr:cNvSpPr>
      </xdr:nvSpPr>
      <xdr:spPr bwMode="auto">
        <a:xfrm>
          <a:off x="266700" y="5429250"/>
          <a:ext cx="7905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新細明體"/>
              <a:ea typeface="新細明體"/>
            </a:rPr>
            <a:t>類        別</a:t>
          </a:r>
          <a:endParaRPr lang="zh-TW" altLang="en-US"/>
        </a:p>
      </xdr:txBody>
    </xdr:sp>
    <xdr:clientData/>
  </xdr:twoCellAnchor>
  <xdr:twoCellAnchor>
    <xdr:from>
      <xdr:col>0</xdr:col>
      <xdr:colOff>171450</xdr:colOff>
      <xdr:row>7</xdr:row>
      <xdr:rowOff>0</xdr:rowOff>
    </xdr:from>
    <xdr:to>
      <xdr:col>0</xdr:col>
      <xdr:colOff>1095375</xdr:colOff>
      <xdr:row>7</xdr:row>
      <xdr:rowOff>0</xdr:rowOff>
    </xdr:to>
    <xdr:sp macro="" textlink="">
      <xdr:nvSpPr>
        <xdr:cNvPr id="6" name="Text Box 2">
          <a:extLst>
            <a:ext uri="{FF2B5EF4-FFF2-40B4-BE49-F238E27FC236}">
              <a16:creationId xmlns:a16="http://schemas.microsoft.com/office/drawing/2014/main" xmlns="" id="{00000000-0008-0000-0300-000009000000}"/>
            </a:ext>
          </a:extLst>
        </xdr:cNvPr>
        <xdr:cNvSpPr txBox="1">
          <a:spLocks noChangeArrowheads="1"/>
        </xdr:cNvSpPr>
      </xdr:nvSpPr>
      <xdr:spPr bwMode="auto">
        <a:xfrm>
          <a:off x="171450" y="2857500"/>
          <a:ext cx="9239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新細明體"/>
              <a:ea typeface="新細明體"/>
            </a:rPr>
            <a:t>類</a:t>
          </a:r>
          <a:r>
            <a:rPr lang="zh-TW" altLang="en-US" sz="1200" b="0" i="0" u="none" strike="noStrike" baseline="0">
              <a:solidFill>
                <a:srgbClr val="000000"/>
              </a:solidFill>
              <a:latin typeface="Times New Roman"/>
              <a:ea typeface="新細明體"/>
              <a:cs typeface="Times New Roman"/>
            </a:rPr>
            <a:t>        </a:t>
          </a:r>
          <a:r>
            <a:rPr lang="zh-TW" altLang="en-US" sz="1200" b="0" i="0" u="none" strike="noStrike" baseline="0">
              <a:solidFill>
                <a:srgbClr val="000000"/>
              </a:solidFill>
              <a:latin typeface="新細明體"/>
              <a:ea typeface="新細明體"/>
              <a:cs typeface="Times New Roman"/>
            </a:rPr>
            <a:t>別</a:t>
          </a:r>
          <a:endParaRPr lang="zh-TW" altLang="en-US"/>
        </a:p>
      </xdr:txBody>
    </xdr:sp>
    <xdr:clientData/>
  </xdr:twoCellAnchor>
  <xdr:twoCellAnchor>
    <xdr:from>
      <xdr:col>0</xdr:col>
      <xdr:colOff>266700</xdr:colOff>
      <xdr:row>7</xdr:row>
      <xdr:rowOff>0</xdr:rowOff>
    </xdr:from>
    <xdr:to>
      <xdr:col>0</xdr:col>
      <xdr:colOff>1057275</xdr:colOff>
      <xdr:row>7</xdr:row>
      <xdr:rowOff>0</xdr:rowOff>
    </xdr:to>
    <xdr:sp macro="" textlink="">
      <xdr:nvSpPr>
        <xdr:cNvPr id="7" name="Text Box 3">
          <a:extLst>
            <a:ext uri="{FF2B5EF4-FFF2-40B4-BE49-F238E27FC236}">
              <a16:creationId xmlns:a16="http://schemas.microsoft.com/office/drawing/2014/main" xmlns="" id="{00000000-0008-0000-0300-00000A000000}"/>
            </a:ext>
          </a:extLst>
        </xdr:cNvPr>
        <xdr:cNvSpPr txBox="1">
          <a:spLocks noChangeArrowheads="1"/>
        </xdr:cNvSpPr>
      </xdr:nvSpPr>
      <xdr:spPr bwMode="auto">
        <a:xfrm>
          <a:off x="266700" y="2857500"/>
          <a:ext cx="7905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新細明體"/>
              <a:ea typeface="新細明體"/>
            </a:rPr>
            <a:t>類        別</a:t>
          </a:r>
          <a:endParaRPr lang="zh-TW" altLang="en-US"/>
        </a:p>
      </xdr:txBody>
    </xdr:sp>
    <xdr:clientData/>
  </xdr:twoCellAnchor>
  <xdr:twoCellAnchor>
    <xdr:from>
      <xdr:col>0</xdr:col>
      <xdr:colOff>171450</xdr:colOff>
      <xdr:row>13</xdr:row>
      <xdr:rowOff>0</xdr:rowOff>
    </xdr:from>
    <xdr:to>
      <xdr:col>0</xdr:col>
      <xdr:colOff>1095375</xdr:colOff>
      <xdr:row>13</xdr:row>
      <xdr:rowOff>0</xdr:rowOff>
    </xdr:to>
    <xdr:sp macro="" textlink="">
      <xdr:nvSpPr>
        <xdr:cNvPr id="8" name="Text Box 5">
          <a:extLst>
            <a:ext uri="{FF2B5EF4-FFF2-40B4-BE49-F238E27FC236}">
              <a16:creationId xmlns:a16="http://schemas.microsoft.com/office/drawing/2014/main" xmlns="" id="{00000000-0008-0000-0300-00000C000000}"/>
            </a:ext>
          </a:extLst>
        </xdr:cNvPr>
        <xdr:cNvSpPr txBox="1">
          <a:spLocks noChangeArrowheads="1"/>
        </xdr:cNvSpPr>
      </xdr:nvSpPr>
      <xdr:spPr bwMode="auto">
        <a:xfrm>
          <a:off x="171450" y="5429250"/>
          <a:ext cx="9239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新細明體"/>
              <a:ea typeface="新細明體"/>
            </a:rPr>
            <a:t>類</a:t>
          </a:r>
          <a:r>
            <a:rPr lang="zh-TW" altLang="en-US" sz="1200" b="0" i="0" u="none" strike="noStrike" baseline="0">
              <a:solidFill>
                <a:srgbClr val="000000"/>
              </a:solidFill>
              <a:latin typeface="Times New Roman"/>
              <a:ea typeface="新細明體"/>
              <a:cs typeface="Times New Roman"/>
            </a:rPr>
            <a:t>        </a:t>
          </a:r>
          <a:r>
            <a:rPr lang="zh-TW" altLang="en-US" sz="1200" b="0" i="0" u="none" strike="noStrike" baseline="0">
              <a:solidFill>
                <a:srgbClr val="000000"/>
              </a:solidFill>
              <a:latin typeface="新細明體"/>
              <a:ea typeface="新細明體"/>
              <a:cs typeface="Times New Roman"/>
            </a:rPr>
            <a:t>別</a:t>
          </a:r>
          <a:endParaRPr lang="zh-TW" altLang="en-US"/>
        </a:p>
      </xdr:txBody>
    </xdr:sp>
    <xdr:clientData/>
  </xdr:twoCellAnchor>
  <xdr:twoCellAnchor>
    <xdr:from>
      <xdr:col>0</xdr:col>
      <xdr:colOff>266700</xdr:colOff>
      <xdr:row>13</xdr:row>
      <xdr:rowOff>0</xdr:rowOff>
    </xdr:from>
    <xdr:to>
      <xdr:col>0</xdr:col>
      <xdr:colOff>1057275</xdr:colOff>
      <xdr:row>13</xdr:row>
      <xdr:rowOff>0</xdr:rowOff>
    </xdr:to>
    <xdr:sp macro="" textlink="">
      <xdr:nvSpPr>
        <xdr:cNvPr id="9" name="Text Box 6">
          <a:extLst>
            <a:ext uri="{FF2B5EF4-FFF2-40B4-BE49-F238E27FC236}">
              <a16:creationId xmlns:a16="http://schemas.microsoft.com/office/drawing/2014/main" xmlns="" id="{00000000-0008-0000-0300-00000D000000}"/>
            </a:ext>
          </a:extLst>
        </xdr:cNvPr>
        <xdr:cNvSpPr txBox="1">
          <a:spLocks noChangeArrowheads="1"/>
        </xdr:cNvSpPr>
      </xdr:nvSpPr>
      <xdr:spPr bwMode="auto">
        <a:xfrm>
          <a:off x="266700" y="5429250"/>
          <a:ext cx="7905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新細明體"/>
              <a:ea typeface="新細明體"/>
            </a:rPr>
            <a:t>類        別</a:t>
          </a:r>
          <a:endParaRPr lang="zh-TW" altLang="en-US"/>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0</xdr:colOff>
      <xdr:row>2</xdr:row>
      <xdr:rowOff>0</xdr:rowOff>
    </xdr:to>
    <xdr:sp macro="" textlink="">
      <xdr:nvSpPr>
        <xdr:cNvPr id="2" name="AutoShape 1">
          <a:extLst>
            <a:ext uri="{FF2B5EF4-FFF2-40B4-BE49-F238E27FC236}">
              <a16:creationId xmlns:a16="http://schemas.microsoft.com/office/drawing/2014/main" xmlns="" id="{59596234-BCC6-4754-96AB-079E23D4C433}"/>
            </a:ext>
          </a:extLst>
        </xdr:cNvPr>
        <xdr:cNvSpPr>
          <a:spLocks/>
        </xdr:cNvSpPr>
      </xdr:nvSpPr>
      <xdr:spPr bwMode="auto">
        <a:xfrm>
          <a:off x="447675" y="15049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0</xdr:colOff>
      <xdr:row>2</xdr:row>
      <xdr:rowOff>0</xdr:rowOff>
    </xdr:from>
    <xdr:to>
      <xdr:col>1</xdr:col>
      <xdr:colOff>0</xdr:colOff>
      <xdr:row>2</xdr:row>
      <xdr:rowOff>0</xdr:rowOff>
    </xdr:to>
    <xdr:sp macro="" textlink="">
      <xdr:nvSpPr>
        <xdr:cNvPr id="3" name="AutoShape 2">
          <a:extLst>
            <a:ext uri="{FF2B5EF4-FFF2-40B4-BE49-F238E27FC236}">
              <a16:creationId xmlns:a16="http://schemas.microsoft.com/office/drawing/2014/main" xmlns="" id="{BAFA48D7-B117-4E22-8C02-4C1A56AF6C45}"/>
            </a:ext>
          </a:extLst>
        </xdr:cNvPr>
        <xdr:cNvSpPr>
          <a:spLocks/>
        </xdr:cNvSpPr>
      </xdr:nvSpPr>
      <xdr:spPr bwMode="auto">
        <a:xfrm>
          <a:off x="447675" y="15049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0</xdr:colOff>
      <xdr:row>2</xdr:row>
      <xdr:rowOff>0</xdr:rowOff>
    </xdr:from>
    <xdr:to>
      <xdr:col>1</xdr:col>
      <xdr:colOff>0</xdr:colOff>
      <xdr:row>2</xdr:row>
      <xdr:rowOff>0</xdr:rowOff>
    </xdr:to>
    <xdr:sp macro="" textlink="">
      <xdr:nvSpPr>
        <xdr:cNvPr id="4" name="AutoShape 3">
          <a:extLst>
            <a:ext uri="{FF2B5EF4-FFF2-40B4-BE49-F238E27FC236}">
              <a16:creationId xmlns:a16="http://schemas.microsoft.com/office/drawing/2014/main" xmlns="" id="{C5409BE1-066A-4793-B69A-D458E11FDE30}"/>
            </a:ext>
          </a:extLst>
        </xdr:cNvPr>
        <xdr:cNvSpPr>
          <a:spLocks/>
        </xdr:cNvSpPr>
      </xdr:nvSpPr>
      <xdr:spPr bwMode="auto">
        <a:xfrm>
          <a:off x="447675" y="15049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0</xdr:colOff>
      <xdr:row>2</xdr:row>
      <xdr:rowOff>0</xdr:rowOff>
    </xdr:from>
    <xdr:to>
      <xdr:col>1</xdr:col>
      <xdr:colOff>0</xdr:colOff>
      <xdr:row>2</xdr:row>
      <xdr:rowOff>0</xdr:rowOff>
    </xdr:to>
    <xdr:sp macro="" textlink="">
      <xdr:nvSpPr>
        <xdr:cNvPr id="5" name="AutoShape 4">
          <a:extLst>
            <a:ext uri="{FF2B5EF4-FFF2-40B4-BE49-F238E27FC236}">
              <a16:creationId xmlns:a16="http://schemas.microsoft.com/office/drawing/2014/main" xmlns="" id="{40D9C002-3653-4AA6-AE46-957B4E2EE5B2}"/>
            </a:ext>
          </a:extLst>
        </xdr:cNvPr>
        <xdr:cNvSpPr>
          <a:spLocks/>
        </xdr:cNvSpPr>
      </xdr:nvSpPr>
      <xdr:spPr bwMode="auto">
        <a:xfrm>
          <a:off x="447675" y="15049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0</xdr:colOff>
      <xdr:row>2</xdr:row>
      <xdr:rowOff>0</xdr:rowOff>
    </xdr:from>
    <xdr:to>
      <xdr:col>1</xdr:col>
      <xdr:colOff>0</xdr:colOff>
      <xdr:row>2</xdr:row>
      <xdr:rowOff>0</xdr:rowOff>
    </xdr:to>
    <xdr:sp macro="" textlink="">
      <xdr:nvSpPr>
        <xdr:cNvPr id="6" name="AutoShape 5">
          <a:extLst>
            <a:ext uri="{FF2B5EF4-FFF2-40B4-BE49-F238E27FC236}">
              <a16:creationId xmlns:a16="http://schemas.microsoft.com/office/drawing/2014/main" xmlns="" id="{FA3FDBE6-9D36-42AE-AE28-07C085AEDF84}"/>
            </a:ext>
          </a:extLst>
        </xdr:cNvPr>
        <xdr:cNvSpPr>
          <a:spLocks/>
        </xdr:cNvSpPr>
      </xdr:nvSpPr>
      <xdr:spPr bwMode="auto">
        <a:xfrm>
          <a:off x="447675" y="15049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0</xdr:colOff>
      <xdr:row>2</xdr:row>
      <xdr:rowOff>0</xdr:rowOff>
    </xdr:from>
    <xdr:to>
      <xdr:col>1</xdr:col>
      <xdr:colOff>0</xdr:colOff>
      <xdr:row>2</xdr:row>
      <xdr:rowOff>0</xdr:rowOff>
    </xdr:to>
    <xdr:sp macro="" textlink="">
      <xdr:nvSpPr>
        <xdr:cNvPr id="7" name="AutoShape 6">
          <a:extLst>
            <a:ext uri="{FF2B5EF4-FFF2-40B4-BE49-F238E27FC236}">
              <a16:creationId xmlns:a16="http://schemas.microsoft.com/office/drawing/2014/main" xmlns="" id="{650E66E7-17C5-4D8F-91A7-E633741C6B40}"/>
            </a:ext>
          </a:extLst>
        </xdr:cNvPr>
        <xdr:cNvSpPr>
          <a:spLocks/>
        </xdr:cNvSpPr>
      </xdr:nvSpPr>
      <xdr:spPr bwMode="auto">
        <a:xfrm>
          <a:off x="447675" y="1504950"/>
          <a:ext cx="0" cy="0"/>
        </a:xfrm>
        <a:prstGeom prst="lef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0</xdr:colOff>
      <xdr:row>3</xdr:row>
      <xdr:rowOff>114300</xdr:rowOff>
    </xdr:from>
    <xdr:to>
      <xdr:col>1</xdr:col>
      <xdr:colOff>76200</xdr:colOff>
      <xdr:row>4</xdr:row>
      <xdr:rowOff>228600</xdr:rowOff>
    </xdr:to>
    <xdr:sp macro="" textlink="">
      <xdr:nvSpPr>
        <xdr:cNvPr id="8" name="AutoShape 19">
          <a:extLst>
            <a:ext uri="{FF2B5EF4-FFF2-40B4-BE49-F238E27FC236}">
              <a16:creationId xmlns:a16="http://schemas.microsoft.com/office/drawing/2014/main" xmlns="" id="{13DE0676-F866-4712-969F-11390B0C6E2B}"/>
            </a:ext>
          </a:extLst>
        </xdr:cNvPr>
        <xdr:cNvSpPr>
          <a:spLocks/>
        </xdr:cNvSpPr>
      </xdr:nvSpPr>
      <xdr:spPr bwMode="auto">
        <a:xfrm>
          <a:off x="447675" y="1828800"/>
          <a:ext cx="76200" cy="447675"/>
        </a:xfrm>
        <a:prstGeom prst="leftBrace">
          <a:avLst>
            <a:gd name="adj1" fmla="val 4895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0</xdr:colOff>
      <xdr:row>21</xdr:row>
      <xdr:rowOff>114300</xdr:rowOff>
    </xdr:from>
    <xdr:to>
      <xdr:col>1</xdr:col>
      <xdr:colOff>76200</xdr:colOff>
      <xdr:row>22</xdr:row>
      <xdr:rowOff>228600</xdr:rowOff>
    </xdr:to>
    <xdr:sp macro="" textlink="">
      <xdr:nvSpPr>
        <xdr:cNvPr id="9" name="AutoShape 20">
          <a:extLst>
            <a:ext uri="{FF2B5EF4-FFF2-40B4-BE49-F238E27FC236}">
              <a16:creationId xmlns:a16="http://schemas.microsoft.com/office/drawing/2014/main" xmlns="" id="{05F5F708-D039-469E-8976-B103217F8665}"/>
            </a:ext>
          </a:extLst>
        </xdr:cNvPr>
        <xdr:cNvSpPr>
          <a:spLocks/>
        </xdr:cNvSpPr>
      </xdr:nvSpPr>
      <xdr:spPr bwMode="auto">
        <a:xfrm>
          <a:off x="447675" y="7829550"/>
          <a:ext cx="76200" cy="447675"/>
        </a:xfrm>
        <a:prstGeom prst="leftBrace">
          <a:avLst>
            <a:gd name="adj1" fmla="val 4895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0</xdr:colOff>
      <xdr:row>5</xdr:row>
      <xdr:rowOff>114300</xdr:rowOff>
    </xdr:from>
    <xdr:to>
      <xdr:col>1</xdr:col>
      <xdr:colOff>76200</xdr:colOff>
      <xdr:row>6</xdr:row>
      <xdr:rowOff>228600</xdr:rowOff>
    </xdr:to>
    <xdr:sp macro="" textlink="">
      <xdr:nvSpPr>
        <xdr:cNvPr id="10" name="AutoShape 19">
          <a:extLst>
            <a:ext uri="{FF2B5EF4-FFF2-40B4-BE49-F238E27FC236}">
              <a16:creationId xmlns:a16="http://schemas.microsoft.com/office/drawing/2014/main" xmlns="" id="{72058656-2533-4168-9E4A-C8F2DDA63455}"/>
            </a:ext>
          </a:extLst>
        </xdr:cNvPr>
        <xdr:cNvSpPr>
          <a:spLocks/>
        </xdr:cNvSpPr>
      </xdr:nvSpPr>
      <xdr:spPr bwMode="auto">
        <a:xfrm>
          <a:off x="447675" y="2495550"/>
          <a:ext cx="76200" cy="447675"/>
        </a:xfrm>
        <a:prstGeom prst="leftBrace">
          <a:avLst>
            <a:gd name="adj1" fmla="val 4895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0</xdr:colOff>
      <xdr:row>7</xdr:row>
      <xdr:rowOff>114300</xdr:rowOff>
    </xdr:from>
    <xdr:to>
      <xdr:col>1</xdr:col>
      <xdr:colOff>76200</xdr:colOff>
      <xdr:row>8</xdr:row>
      <xdr:rowOff>228600</xdr:rowOff>
    </xdr:to>
    <xdr:sp macro="" textlink="">
      <xdr:nvSpPr>
        <xdr:cNvPr id="11" name="AutoShape 19">
          <a:extLst>
            <a:ext uri="{FF2B5EF4-FFF2-40B4-BE49-F238E27FC236}">
              <a16:creationId xmlns:a16="http://schemas.microsoft.com/office/drawing/2014/main" xmlns="" id="{0BF32F8E-995D-4824-A251-82F221102474}"/>
            </a:ext>
          </a:extLst>
        </xdr:cNvPr>
        <xdr:cNvSpPr>
          <a:spLocks/>
        </xdr:cNvSpPr>
      </xdr:nvSpPr>
      <xdr:spPr bwMode="auto">
        <a:xfrm>
          <a:off x="447675" y="3162300"/>
          <a:ext cx="76200" cy="447675"/>
        </a:xfrm>
        <a:prstGeom prst="leftBrace">
          <a:avLst>
            <a:gd name="adj1" fmla="val 4895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0</xdr:colOff>
      <xdr:row>9</xdr:row>
      <xdr:rowOff>114300</xdr:rowOff>
    </xdr:from>
    <xdr:to>
      <xdr:col>1</xdr:col>
      <xdr:colOff>76200</xdr:colOff>
      <xdr:row>10</xdr:row>
      <xdr:rowOff>228600</xdr:rowOff>
    </xdr:to>
    <xdr:sp macro="" textlink="">
      <xdr:nvSpPr>
        <xdr:cNvPr id="12" name="AutoShape 19">
          <a:extLst>
            <a:ext uri="{FF2B5EF4-FFF2-40B4-BE49-F238E27FC236}">
              <a16:creationId xmlns:a16="http://schemas.microsoft.com/office/drawing/2014/main" xmlns="" id="{A06C1323-BA75-47E9-AB07-4754702DB5E8}"/>
            </a:ext>
          </a:extLst>
        </xdr:cNvPr>
        <xdr:cNvSpPr>
          <a:spLocks/>
        </xdr:cNvSpPr>
      </xdr:nvSpPr>
      <xdr:spPr bwMode="auto">
        <a:xfrm>
          <a:off x="447675" y="3829050"/>
          <a:ext cx="76200" cy="447675"/>
        </a:xfrm>
        <a:prstGeom prst="leftBrace">
          <a:avLst>
            <a:gd name="adj1" fmla="val 4895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0</xdr:colOff>
      <xdr:row>11</xdr:row>
      <xdr:rowOff>114300</xdr:rowOff>
    </xdr:from>
    <xdr:to>
      <xdr:col>1</xdr:col>
      <xdr:colOff>76200</xdr:colOff>
      <xdr:row>12</xdr:row>
      <xdr:rowOff>228600</xdr:rowOff>
    </xdr:to>
    <xdr:sp macro="" textlink="">
      <xdr:nvSpPr>
        <xdr:cNvPr id="13" name="AutoShape 19">
          <a:extLst>
            <a:ext uri="{FF2B5EF4-FFF2-40B4-BE49-F238E27FC236}">
              <a16:creationId xmlns:a16="http://schemas.microsoft.com/office/drawing/2014/main" xmlns="" id="{F9F5E198-2175-414A-811D-E7A4D6DA4A8D}"/>
            </a:ext>
          </a:extLst>
        </xdr:cNvPr>
        <xdr:cNvSpPr>
          <a:spLocks/>
        </xdr:cNvSpPr>
      </xdr:nvSpPr>
      <xdr:spPr bwMode="auto">
        <a:xfrm>
          <a:off x="447675" y="4495800"/>
          <a:ext cx="76200" cy="447675"/>
        </a:xfrm>
        <a:prstGeom prst="leftBrace">
          <a:avLst>
            <a:gd name="adj1" fmla="val 4895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0</xdr:colOff>
      <xdr:row>13</xdr:row>
      <xdr:rowOff>114300</xdr:rowOff>
    </xdr:from>
    <xdr:to>
      <xdr:col>1</xdr:col>
      <xdr:colOff>76200</xdr:colOff>
      <xdr:row>14</xdr:row>
      <xdr:rowOff>228600</xdr:rowOff>
    </xdr:to>
    <xdr:sp macro="" textlink="">
      <xdr:nvSpPr>
        <xdr:cNvPr id="14" name="AutoShape 19">
          <a:extLst>
            <a:ext uri="{FF2B5EF4-FFF2-40B4-BE49-F238E27FC236}">
              <a16:creationId xmlns:a16="http://schemas.microsoft.com/office/drawing/2014/main" xmlns="" id="{9C9C6197-8C8B-4C7C-AD80-544E95DC189F}"/>
            </a:ext>
          </a:extLst>
        </xdr:cNvPr>
        <xdr:cNvSpPr>
          <a:spLocks/>
        </xdr:cNvSpPr>
      </xdr:nvSpPr>
      <xdr:spPr bwMode="auto">
        <a:xfrm>
          <a:off x="447675" y="5162550"/>
          <a:ext cx="76200" cy="447675"/>
        </a:xfrm>
        <a:prstGeom prst="leftBrace">
          <a:avLst>
            <a:gd name="adj1" fmla="val 4895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0</xdr:colOff>
      <xdr:row>15</xdr:row>
      <xdr:rowOff>114300</xdr:rowOff>
    </xdr:from>
    <xdr:to>
      <xdr:col>1</xdr:col>
      <xdr:colOff>76200</xdr:colOff>
      <xdr:row>16</xdr:row>
      <xdr:rowOff>228600</xdr:rowOff>
    </xdr:to>
    <xdr:sp macro="" textlink="">
      <xdr:nvSpPr>
        <xdr:cNvPr id="15" name="AutoShape 19">
          <a:extLst>
            <a:ext uri="{FF2B5EF4-FFF2-40B4-BE49-F238E27FC236}">
              <a16:creationId xmlns:a16="http://schemas.microsoft.com/office/drawing/2014/main" xmlns="" id="{9CA16615-BB66-41CB-AE28-0A4FA4F00B63}"/>
            </a:ext>
          </a:extLst>
        </xdr:cNvPr>
        <xdr:cNvSpPr>
          <a:spLocks/>
        </xdr:cNvSpPr>
      </xdr:nvSpPr>
      <xdr:spPr bwMode="auto">
        <a:xfrm>
          <a:off x="447675" y="5829300"/>
          <a:ext cx="76200" cy="447675"/>
        </a:xfrm>
        <a:prstGeom prst="leftBrace">
          <a:avLst>
            <a:gd name="adj1" fmla="val 4895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0</xdr:colOff>
      <xdr:row>17</xdr:row>
      <xdr:rowOff>114300</xdr:rowOff>
    </xdr:from>
    <xdr:to>
      <xdr:col>1</xdr:col>
      <xdr:colOff>76200</xdr:colOff>
      <xdr:row>18</xdr:row>
      <xdr:rowOff>228600</xdr:rowOff>
    </xdr:to>
    <xdr:sp macro="" textlink="">
      <xdr:nvSpPr>
        <xdr:cNvPr id="16" name="AutoShape 19">
          <a:extLst>
            <a:ext uri="{FF2B5EF4-FFF2-40B4-BE49-F238E27FC236}">
              <a16:creationId xmlns:a16="http://schemas.microsoft.com/office/drawing/2014/main" xmlns="" id="{B2C45BBC-868B-48AB-9639-01367275FB8F}"/>
            </a:ext>
          </a:extLst>
        </xdr:cNvPr>
        <xdr:cNvSpPr>
          <a:spLocks/>
        </xdr:cNvSpPr>
      </xdr:nvSpPr>
      <xdr:spPr bwMode="auto">
        <a:xfrm>
          <a:off x="447675" y="6496050"/>
          <a:ext cx="76200" cy="447675"/>
        </a:xfrm>
        <a:prstGeom prst="leftBrace">
          <a:avLst>
            <a:gd name="adj1" fmla="val 4895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0</xdr:colOff>
      <xdr:row>19</xdr:row>
      <xdr:rowOff>114300</xdr:rowOff>
    </xdr:from>
    <xdr:to>
      <xdr:col>1</xdr:col>
      <xdr:colOff>76200</xdr:colOff>
      <xdr:row>20</xdr:row>
      <xdr:rowOff>228600</xdr:rowOff>
    </xdr:to>
    <xdr:sp macro="" textlink="">
      <xdr:nvSpPr>
        <xdr:cNvPr id="17" name="AutoShape 19">
          <a:extLst>
            <a:ext uri="{FF2B5EF4-FFF2-40B4-BE49-F238E27FC236}">
              <a16:creationId xmlns:a16="http://schemas.microsoft.com/office/drawing/2014/main" xmlns="" id="{EC007C73-5FFB-491D-80E8-C205ECE3ADB6}"/>
            </a:ext>
          </a:extLst>
        </xdr:cNvPr>
        <xdr:cNvSpPr>
          <a:spLocks/>
        </xdr:cNvSpPr>
      </xdr:nvSpPr>
      <xdr:spPr bwMode="auto">
        <a:xfrm>
          <a:off x="447675" y="7162800"/>
          <a:ext cx="76200" cy="447675"/>
        </a:xfrm>
        <a:prstGeom prst="leftBrace">
          <a:avLst>
            <a:gd name="adj1" fmla="val 4895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7</xdr:row>
      <xdr:rowOff>53973</xdr:rowOff>
    </xdr:from>
    <xdr:to>
      <xdr:col>1</xdr:col>
      <xdr:colOff>85725</xdr:colOff>
      <xdr:row>9</xdr:row>
      <xdr:rowOff>168273</xdr:rowOff>
    </xdr:to>
    <xdr:sp macro="" textlink="">
      <xdr:nvSpPr>
        <xdr:cNvPr id="2" name="AutoShape 21">
          <a:extLst>
            <a:ext uri="{FF2B5EF4-FFF2-40B4-BE49-F238E27FC236}">
              <a16:creationId xmlns:a16="http://schemas.microsoft.com/office/drawing/2014/main" xmlns="" id="{BFBBF427-6AB0-4479-AC48-F91B3F3298EA}"/>
            </a:ext>
          </a:extLst>
        </xdr:cNvPr>
        <xdr:cNvSpPr>
          <a:spLocks/>
        </xdr:cNvSpPr>
      </xdr:nvSpPr>
      <xdr:spPr bwMode="auto">
        <a:xfrm>
          <a:off x="438150" y="1863723"/>
          <a:ext cx="85725" cy="533400"/>
        </a:xfrm>
        <a:prstGeom prst="leftBrace">
          <a:avLst>
            <a:gd name="adj1" fmla="val 51852"/>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0</xdr:colOff>
      <xdr:row>34</xdr:row>
      <xdr:rowOff>53973</xdr:rowOff>
    </xdr:from>
    <xdr:to>
      <xdr:col>1</xdr:col>
      <xdr:colOff>85725</xdr:colOff>
      <xdr:row>36</xdr:row>
      <xdr:rowOff>168273</xdr:rowOff>
    </xdr:to>
    <xdr:sp macro="" textlink="">
      <xdr:nvSpPr>
        <xdr:cNvPr id="3" name="AutoShape 22">
          <a:extLst>
            <a:ext uri="{FF2B5EF4-FFF2-40B4-BE49-F238E27FC236}">
              <a16:creationId xmlns:a16="http://schemas.microsoft.com/office/drawing/2014/main" xmlns="" id="{0702BB52-68DB-4F00-8EE6-09C656380FC5}"/>
            </a:ext>
          </a:extLst>
        </xdr:cNvPr>
        <xdr:cNvSpPr>
          <a:spLocks/>
        </xdr:cNvSpPr>
      </xdr:nvSpPr>
      <xdr:spPr bwMode="auto">
        <a:xfrm>
          <a:off x="438150" y="7521573"/>
          <a:ext cx="85725" cy="533400"/>
        </a:xfrm>
        <a:prstGeom prst="leftBrace">
          <a:avLst>
            <a:gd name="adj1" fmla="val 51852"/>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0</xdr:colOff>
      <xdr:row>10</xdr:row>
      <xdr:rowOff>53973</xdr:rowOff>
    </xdr:from>
    <xdr:to>
      <xdr:col>1</xdr:col>
      <xdr:colOff>85725</xdr:colOff>
      <xdr:row>12</xdr:row>
      <xdr:rowOff>168273</xdr:rowOff>
    </xdr:to>
    <xdr:sp macro="" textlink="">
      <xdr:nvSpPr>
        <xdr:cNvPr id="4" name="AutoShape 21">
          <a:extLst>
            <a:ext uri="{FF2B5EF4-FFF2-40B4-BE49-F238E27FC236}">
              <a16:creationId xmlns:a16="http://schemas.microsoft.com/office/drawing/2014/main" xmlns="" id="{413FA0D8-3533-49E8-82D9-B7BD6E8F4833}"/>
            </a:ext>
          </a:extLst>
        </xdr:cNvPr>
        <xdr:cNvSpPr>
          <a:spLocks/>
        </xdr:cNvSpPr>
      </xdr:nvSpPr>
      <xdr:spPr bwMode="auto">
        <a:xfrm>
          <a:off x="438150" y="2492373"/>
          <a:ext cx="85725" cy="533400"/>
        </a:xfrm>
        <a:prstGeom prst="leftBrace">
          <a:avLst>
            <a:gd name="adj1" fmla="val 51852"/>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0</xdr:colOff>
      <xdr:row>13</xdr:row>
      <xdr:rowOff>53973</xdr:rowOff>
    </xdr:from>
    <xdr:to>
      <xdr:col>1</xdr:col>
      <xdr:colOff>85725</xdr:colOff>
      <xdr:row>15</xdr:row>
      <xdr:rowOff>168273</xdr:rowOff>
    </xdr:to>
    <xdr:sp macro="" textlink="">
      <xdr:nvSpPr>
        <xdr:cNvPr id="5" name="AutoShape 21">
          <a:extLst>
            <a:ext uri="{FF2B5EF4-FFF2-40B4-BE49-F238E27FC236}">
              <a16:creationId xmlns:a16="http://schemas.microsoft.com/office/drawing/2014/main" xmlns="" id="{588C9362-EBA2-4D26-AFB6-14A21583CCEE}"/>
            </a:ext>
          </a:extLst>
        </xdr:cNvPr>
        <xdr:cNvSpPr>
          <a:spLocks/>
        </xdr:cNvSpPr>
      </xdr:nvSpPr>
      <xdr:spPr bwMode="auto">
        <a:xfrm>
          <a:off x="438150" y="3121023"/>
          <a:ext cx="85725" cy="533400"/>
        </a:xfrm>
        <a:prstGeom prst="leftBrace">
          <a:avLst>
            <a:gd name="adj1" fmla="val 51852"/>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0</xdr:colOff>
      <xdr:row>16</xdr:row>
      <xdr:rowOff>53973</xdr:rowOff>
    </xdr:from>
    <xdr:to>
      <xdr:col>1</xdr:col>
      <xdr:colOff>85725</xdr:colOff>
      <xdr:row>18</xdr:row>
      <xdr:rowOff>168273</xdr:rowOff>
    </xdr:to>
    <xdr:sp macro="" textlink="">
      <xdr:nvSpPr>
        <xdr:cNvPr id="6" name="AutoShape 21">
          <a:extLst>
            <a:ext uri="{FF2B5EF4-FFF2-40B4-BE49-F238E27FC236}">
              <a16:creationId xmlns:a16="http://schemas.microsoft.com/office/drawing/2014/main" xmlns="" id="{BE0D90B8-2068-4760-8FFD-074EB94B9134}"/>
            </a:ext>
          </a:extLst>
        </xdr:cNvPr>
        <xdr:cNvSpPr>
          <a:spLocks/>
        </xdr:cNvSpPr>
      </xdr:nvSpPr>
      <xdr:spPr bwMode="auto">
        <a:xfrm>
          <a:off x="438150" y="3749673"/>
          <a:ext cx="85725" cy="533400"/>
        </a:xfrm>
        <a:prstGeom prst="leftBrace">
          <a:avLst>
            <a:gd name="adj1" fmla="val 51852"/>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0</xdr:colOff>
      <xdr:row>19</xdr:row>
      <xdr:rowOff>53973</xdr:rowOff>
    </xdr:from>
    <xdr:to>
      <xdr:col>1</xdr:col>
      <xdr:colOff>85725</xdr:colOff>
      <xdr:row>21</xdr:row>
      <xdr:rowOff>168273</xdr:rowOff>
    </xdr:to>
    <xdr:sp macro="" textlink="">
      <xdr:nvSpPr>
        <xdr:cNvPr id="7" name="AutoShape 21">
          <a:extLst>
            <a:ext uri="{FF2B5EF4-FFF2-40B4-BE49-F238E27FC236}">
              <a16:creationId xmlns:a16="http://schemas.microsoft.com/office/drawing/2014/main" xmlns="" id="{76CDD655-E5A3-4EA0-A027-D345A50A9A1A}"/>
            </a:ext>
          </a:extLst>
        </xdr:cNvPr>
        <xdr:cNvSpPr>
          <a:spLocks/>
        </xdr:cNvSpPr>
      </xdr:nvSpPr>
      <xdr:spPr bwMode="auto">
        <a:xfrm>
          <a:off x="438150" y="4378323"/>
          <a:ext cx="85725" cy="533400"/>
        </a:xfrm>
        <a:prstGeom prst="leftBrace">
          <a:avLst>
            <a:gd name="adj1" fmla="val 51852"/>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0</xdr:colOff>
      <xdr:row>22</xdr:row>
      <xdr:rowOff>53973</xdr:rowOff>
    </xdr:from>
    <xdr:to>
      <xdr:col>1</xdr:col>
      <xdr:colOff>85725</xdr:colOff>
      <xdr:row>24</xdr:row>
      <xdr:rowOff>168273</xdr:rowOff>
    </xdr:to>
    <xdr:sp macro="" textlink="">
      <xdr:nvSpPr>
        <xdr:cNvPr id="8" name="AutoShape 21">
          <a:extLst>
            <a:ext uri="{FF2B5EF4-FFF2-40B4-BE49-F238E27FC236}">
              <a16:creationId xmlns:a16="http://schemas.microsoft.com/office/drawing/2014/main" xmlns="" id="{44421A8D-3628-47DC-AB66-765AD6A13AFC}"/>
            </a:ext>
          </a:extLst>
        </xdr:cNvPr>
        <xdr:cNvSpPr>
          <a:spLocks/>
        </xdr:cNvSpPr>
      </xdr:nvSpPr>
      <xdr:spPr bwMode="auto">
        <a:xfrm>
          <a:off x="438150" y="5006973"/>
          <a:ext cx="85725" cy="533400"/>
        </a:xfrm>
        <a:prstGeom prst="leftBrace">
          <a:avLst>
            <a:gd name="adj1" fmla="val 51852"/>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0</xdr:colOff>
      <xdr:row>25</xdr:row>
      <xdr:rowOff>53973</xdr:rowOff>
    </xdr:from>
    <xdr:to>
      <xdr:col>1</xdr:col>
      <xdr:colOff>85725</xdr:colOff>
      <xdr:row>27</xdr:row>
      <xdr:rowOff>168273</xdr:rowOff>
    </xdr:to>
    <xdr:sp macro="" textlink="">
      <xdr:nvSpPr>
        <xdr:cNvPr id="9" name="AutoShape 21">
          <a:extLst>
            <a:ext uri="{FF2B5EF4-FFF2-40B4-BE49-F238E27FC236}">
              <a16:creationId xmlns:a16="http://schemas.microsoft.com/office/drawing/2014/main" xmlns="" id="{AD16D48B-10CB-4FAC-AEFC-0DC7658A6C00}"/>
            </a:ext>
          </a:extLst>
        </xdr:cNvPr>
        <xdr:cNvSpPr>
          <a:spLocks/>
        </xdr:cNvSpPr>
      </xdr:nvSpPr>
      <xdr:spPr bwMode="auto">
        <a:xfrm>
          <a:off x="438150" y="5635623"/>
          <a:ext cx="85725" cy="533400"/>
        </a:xfrm>
        <a:prstGeom prst="leftBrace">
          <a:avLst>
            <a:gd name="adj1" fmla="val 51852"/>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0</xdr:colOff>
      <xdr:row>28</xdr:row>
      <xdr:rowOff>53973</xdr:rowOff>
    </xdr:from>
    <xdr:to>
      <xdr:col>1</xdr:col>
      <xdr:colOff>85725</xdr:colOff>
      <xdr:row>30</xdr:row>
      <xdr:rowOff>168273</xdr:rowOff>
    </xdr:to>
    <xdr:sp macro="" textlink="">
      <xdr:nvSpPr>
        <xdr:cNvPr id="10" name="AutoShape 21">
          <a:extLst>
            <a:ext uri="{FF2B5EF4-FFF2-40B4-BE49-F238E27FC236}">
              <a16:creationId xmlns:a16="http://schemas.microsoft.com/office/drawing/2014/main" xmlns="" id="{9960D815-03A0-43D7-95EC-037278051A95}"/>
            </a:ext>
          </a:extLst>
        </xdr:cNvPr>
        <xdr:cNvSpPr>
          <a:spLocks/>
        </xdr:cNvSpPr>
      </xdr:nvSpPr>
      <xdr:spPr bwMode="auto">
        <a:xfrm>
          <a:off x="438150" y="6264273"/>
          <a:ext cx="85725" cy="533400"/>
        </a:xfrm>
        <a:prstGeom prst="leftBrace">
          <a:avLst>
            <a:gd name="adj1" fmla="val 51852"/>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0</xdr:colOff>
      <xdr:row>31</xdr:row>
      <xdr:rowOff>53973</xdr:rowOff>
    </xdr:from>
    <xdr:to>
      <xdr:col>1</xdr:col>
      <xdr:colOff>85725</xdr:colOff>
      <xdr:row>33</xdr:row>
      <xdr:rowOff>168273</xdr:rowOff>
    </xdr:to>
    <xdr:sp macro="" textlink="">
      <xdr:nvSpPr>
        <xdr:cNvPr id="11" name="AutoShape 21">
          <a:extLst>
            <a:ext uri="{FF2B5EF4-FFF2-40B4-BE49-F238E27FC236}">
              <a16:creationId xmlns:a16="http://schemas.microsoft.com/office/drawing/2014/main" xmlns="" id="{EB813375-C52B-4AE6-8ABF-40AEC5B53EBB}"/>
            </a:ext>
          </a:extLst>
        </xdr:cNvPr>
        <xdr:cNvSpPr>
          <a:spLocks/>
        </xdr:cNvSpPr>
      </xdr:nvSpPr>
      <xdr:spPr bwMode="auto">
        <a:xfrm>
          <a:off x="438150" y="6892923"/>
          <a:ext cx="85725" cy="533400"/>
        </a:xfrm>
        <a:prstGeom prst="leftBrace">
          <a:avLst>
            <a:gd name="adj1" fmla="val 51852"/>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xdr:row>
      <xdr:rowOff>66675</xdr:rowOff>
    </xdr:from>
    <xdr:to>
      <xdr:col>1</xdr:col>
      <xdr:colOff>0</xdr:colOff>
      <xdr:row>2</xdr:row>
      <xdr:rowOff>0</xdr:rowOff>
    </xdr:to>
    <xdr:sp macro="" textlink="">
      <xdr:nvSpPr>
        <xdr:cNvPr id="2" name="Text Box 2">
          <a:extLst>
            <a:ext uri="{FF2B5EF4-FFF2-40B4-BE49-F238E27FC236}">
              <a16:creationId xmlns:a16="http://schemas.microsoft.com/office/drawing/2014/main" xmlns="" id="{53EDCD19-76DB-4751-A3B3-502601BCBE34}"/>
            </a:ext>
          </a:extLst>
        </xdr:cNvPr>
        <xdr:cNvSpPr txBox="1">
          <a:spLocks noChangeArrowheads="1"/>
        </xdr:cNvSpPr>
      </xdr:nvSpPr>
      <xdr:spPr bwMode="auto">
        <a:xfrm>
          <a:off x="1162050" y="552450"/>
          <a:ext cx="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r>
            <a:rPr lang="zh-TW" altLang="en-US" sz="1100" b="0" i="0" u="none" strike="noStrike" baseline="0">
              <a:solidFill>
                <a:srgbClr val="000000"/>
              </a:solidFill>
              <a:latin typeface="新細明體"/>
              <a:ea typeface="新細明體"/>
            </a:rPr>
            <a:t>年度</a:t>
          </a:r>
        </a:p>
      </xdr:txBody>
    </xdr:sp>
    <xdr:clientData/>
  </xdr:twoCellAnchor>
  <xdr:twoCellAnchor>
    <xdr:from>
      <xdr:col>1</xdr:col>
      <xdr:colOff>0</xdr:colOff>
      <xdr:row>2</xdr:row>
      <xdr:rowOff>190500</xdr:rowOff>
    </xdr:from>
    <xdr:to>
      <xdr:col>1</xdr:col>
      <xdr:colOff>0</xdr:colOff>
      <xdr:row>3</xdr:row>
      <xdr:rowOff>57150</xdr:rowOff>
    </xdr:to>
    <xdr:sp macro="" textlink="">
      <xdr:nvSpPr>
        <xdr:cNvPr id="3" name="Text Box 3">
          <a:extLst>
            <a:ext uri="{FF2B5EF4-FFF2-40B4-BE49-F238E27FC236}">
              <a16:creationId xmlns:a16="http://schemas.microsoft.com/office/drawing/2014/main" xmlns="" id="{B1C3A70B-2532-4140-862C-10B100AF6BCD}"/>
            </a:ext>
          </a:extLst>
        </xdr:cNvPr>
        <xdr:cNvSpPr txBox="1">
          <a:spLocks noChangeArrowheads="1"/>
        </xdr:cNvSpPr>
      </xdr:nvSpPr>
      <xdr:spPr bwMode="auto">
        <a:xfrm>
          <a:off x="1162050" y="1419225"/>
          <a:ext cx="0" cy="609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zh-TW" altLang="en-US" sz="1100" b="0" i="0" u="none" strike="noStrike" baseline="0">
              <a:solidFill>
                <a:srgbClr val="000000"/>
              </a:solidFill>
              <a:latin typeface="新細明體"/>
              <a:ea typeface="新細明體"/>
            </a:rPr>
            <a:t>類別</a:t>
          </a:r>
        </a:p>
      </xdr:txBody>
    </xdr:sp>
    <xdr:clientData/>
  </xdr:twoCellAnchor>
  <xdr:twoCellAnchor>
    <xdr:from>
      <xdr:col>1</xdr:col>
      <xdr:colOff>0</xdr:colOff>
      <xdr:row>7</xdr:row>
      <xdr:rowOff>0</xdr:rowOff>
    </xdr:from>
    <xdr:to>
      <xdr:col>1</xdr:col>
      <xdr:colOff>0</xdr:colOff>
      <xdr:row>7</xdr:row>
      <xdr:rowOff>0</xdr:rowOff>
    </xdr:to>
    <xdr:sp macro="" textlink="">
      <xdr:nvSpPr>
        <xdr:cNvPr id="4" name="Text Box 4">
          <a:extLst>
            <a:ext uri="{FF2B5EF4-FFF2-40B4-BE49-F238E27FC236}">
              <a16:creationId xmlns:a16="http://schemas.microsoft.com/office/drawing/2014/main" xmlns="" id="{7766989D-F150-44DF-B5DC-33DEDBE4F6AF}"/>
            </a:ext>
          </a:extLst>
        </xdr:cNvPr>
        <xdr:cNvSpPr txBox="1">
          <a:spLocks noChangeArrowheads="1"/>
        </xdr:cNvSpPr>
      </xdr:nvSpPr>
      <xdr:spPr bwMode="auto">
        <a:xfrm>
          <a:off x="1162050" y="4962525"/>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zh-TW" altLang="en-US" sz="1100" b="0" i="0" u="none" strike="noStrike" baseline="0">
              <a:solidFill>
                <a:srgbClr val="000000"/>
              </a:solidFill>
              <a:latin typeface="新細明體"/>
              <a:ea typeface="新細明體"/>
            </a:rPr>
            <a:t>年度</a:t>
          </a:r>
        </a:p>
      </xdr:txBody>
    </xdr:sp>
    <xdr:clientData/>
  </xdr:twoCellAnchor>
  <xdr:twoCellAnchor>
    <xdr:from>
      <xdr:col>1</xdr:col>
      <xdr:colOff>0</xdr:colOff>
      <xdr:row>7</xdr:row>
      <xdr:rowOff>0</xdr:rowOff>
    </xdr:from>
    <xdr:to>
      <xdr:col>1</xdr:col>
      <xdr:colOff>0</xdr:colOff>
      <xdr:row>7</xdr:row>
      <xdr:rowOff>0</xdr:rowOff>
    </xdr:to>
    <xdr:sp macro="" textlink="">
      <xdr:nvSpPr>
        <xdr:cNvPr id="5" name="Text Box 5">
          <a:extLst>
            <a:ext uri="{FF2B5EF4-FFF2-40B4-BE49-F238E27FC236}">
              <a16:creationId xmlns:a16="http://schemas.microsoft.com/office/drawing/2014/main" xmlns="" id="{D9034F15-DD7C-4357-84C8-123C553A224B}"/>
            </a:ext>
          </a:extLst>
        </xdr:cNvPr>
        <xdr:cNvSpPr txBox="1">
          <a:spLocks noChangeArrowheads="1"/>
        </xdr:cNvSpPr>
      </xdr:nvSpPr>
      <xdr:spPr bwMode="auto">
        <a:xfrm>
          <a:off x="1162050" y="49625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zh-TW" altLang="en-US" sz="1100" b="0" i="0" u="none" strike="noStrike" baseline="0">
              <a:solidFill>
                <a:srgbClr val="000000"/>
              </a:solidFill>
              <a:latin typeface="新細明體"/>
              <a:ea typeface="新細明體"/>
            </a:rPr>
            <a:t>類別</a:t>
          </a:r>
        </a:p>
      </xdr:txBody>
    </xdr:sp>
    <xdr:clientData/>
  </xdr:twoCellAnchor>
  <xdr:twoCellAnchor>
    <xdr:from>
      <xdr:col>0</xdr:col>
      <xdr:colOff>552450</xdr:colOff>
      <xdr:row>7</xdr:row>
      <xdr:rowOff>0</xdr:rowOff>
    </xdr:from>
    <xdr:to>
      <xdr:col>0</xdr:col>
      <xdr:colOff>923925</xdr:colOff>
      <xdr:row>7</xdr:row>
      <xdr:rowOff>0</xdr:rowOff>
    </xdr:to>
    <xdr:sp macro="" textlink="">
      <xdr:nvSpPr>
        <xdr:cNvPr id="6" name="Text Box 6">
          <a:extLst>
            <a:ext uri="{FF2B5EF4-FFF2-40B4-BE49-F238E27FC236}">
              <a16:creationId xmlns:a16="http://schemas.microsoft.com/office/drawing/2014/main" xmlns="" id="{6E7CB189-C323-4166-A656-721972E1F009}"/>
            </a:ext>
          </a:extLst>
        </xdr:cNvPr>
        <xdr:cNvSpPr txBox="1">
          <a:spLocks noChangeArrowheads="1"/>
        </xdr:cNvSpPr>
      </xdr:nvSpPr>
      <xdr:spPr bwMode="auto">
        <a:xfrm>
          <a:off x="552450" y="4962525"/>
          <a:ext cx="3714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新細明體"/>
              <a:ea typeface="新細明體"/>
            </a:rPr>
            <a:t>年度</a:t>
          </a:r>
        </a:p>
      </xdr:txBody>
    </xdr:sp>
    <xdr:clientData/>
  </xdr:twoCellAnchor>
  <xdr:twoCellAnchor>
    <xdr:from>
      <xdr:col>0</xdr:col>
      <xdr:colOff>47625</xdr:colOff>
      <xdr:row>7</xdr:row>
      <xdr:rowOff>0</xdr:rowOff>
    </xdr:from>
    <xdr:to>
      <xdr:col>0</xdr:col>
      <xdr:colOff>495300</xdr:colOff>
      <xdr:row>7</xdr:row>
      <xdr:rowOff>0</xdr:rowOff>
    </xdr:to>
    <xdr:sp macro="" textlink="">
      <xdr:nvSpPr>
        <xdr:cNvPr id="7" name="Text Box 7">
          <a:extLst>
            <a:ext uri="{FF2B5EF4-FFF2-40B4-BE49-F238E27FC236}">
              <a16:creationId xmlns:a16="http://schemas.microsoft.com/office/drawing/2014/main" xmlns="" id="{9D2AE1C5-ADE6-4E36-9652-739CFE8DBEF3}"/>
            </a:ext>
          </a:extLst>
        </xdr:cNvPr>
        <xdr:cNvSpPr txBox="1">
          <a:spLocks noChangeArrowheads="1"/>
        </xdr:cNvSpPr>
      </xdr:nvSpPr>
      <xdr:spPr bwMode="auto">
        <a:xfrm>
          <a:off x="47625" y="4962525"/>
          <a:ext cx="4476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新細明體"/>
              <a:ea typeface="新細明體"/>
            </a:rPr>
            <a:t>類別</a:t>
          </a:r>
        </a:p>
      </xdr:txBody>
    </xdr:sp>
    <xdr:clientData/>
  </xdr:twoCellAnchor>
  <xdr:twoCellAnchor>
    <xdr:from>
      <xdr:col>1</xdr:col>
      <xdr:colOff>0</xdr:colOff>
      <xdr:row>3</xdr:row>
      <xdr:rowOff>0</xdr:rowOff>
    </xdr:from>
    <xdr:to>
      <xdr:col>1</xdr:col>
      <xdr:colOff>0</xdr:colOff>
      <xdr:row>3</xdr:row>
      <xdr:rowOff>0</xdr:rowOff>
    </xdr:to>
    <xdr:sp macro="" textlink="">
      <xdr:nvSpPr>
        <xdr:cNvPr id="8" name="Line 8">
          <a:extLst>
            <a:ext uri="{FF2B5EF4-FFF2-40B4-BE49-F238E27FC236}">
              <a16:creationId xmlns:a16="http://schemas.microsoft.com/office/drawing/2014/main" xmlns="" id="{A964F5C1-3390-4C59-AE0E-BB79005AAFC3}"/>
            </a:ext>
          </a:extLst>
        </xdr:cNvPr>
        <xdr:cNvSpPr>
          <a:spLocks noChangeShapeType="1"/>
        </xdr:cNvSpPr>
      </xdr:nvSpPr>
      <xdr:spPr bwMode="auto">
        <a:xfrm>
          <a:off x="1162050" y="1971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19050</xdr:colOff>
      <xdr:row>3</xdr:row>
      <xdr:rowOff>57150</xdr:rowOff>
    </xdr:from>
    <xdr:to>
      <xdr:col>1</xdr:col>
      <xdr:colOff>95250</xdr:colOff>
      <xdr:row>4</xdr:row>
      <xdr:rowOff>190500</xdr:rowOff>
    </xdr:to>
    <xdr:sp macro="" textlink="">
      <xdr:nvSpPr>
        <xdr:cNvPr id="2" name="AutoShape 1">
          <a:extLst>
            <a:ext uri="{FF2B5EF4-FFF2-40B4-BE49-F238E27FC236}">
              <a16:creationId xmlns:a16="http://schemas.microsoft.com/office/drawing/2014/main" xmlns="" id="{0E738247-5520-46D4-89A9-B8C85C76D85A}"/>
            </a:ext>
          </a:extLst>
        </xdr:cNvPr>
        <xdr:cNvSpPr>
          <a:spLocks/>
        </xdr:cNvSpPr>
      </xdr:nvSpPr>
      <xdr:spPr bwMode="auto">
        <a:xfrm>
          <a:off x="1733550" y="1295400"/>
          <a:ext cx="76200" cy="400050"/>
        </a:xfrm>
        <a:prstGeom prst="leftBrace">
          <a:avLst>
            <a:gd name="adj1" fmla="val 4375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19050</xdr:colOff>
      <xdr:row>7</xdr:row>
      <xdr:rowOff>57150</xdr:rowOff>
    </xdr:from>
    <xdr:to>
      <xdr:col>1</xdr:col>
      <xdr:colOff>95250</xdr:colOff>
      <xdr:row>8</xdr:row>
      <xdr:rowOff>190500</xdr:rowOff>
    </xdr:to>
    <xdr:sp macro="" textlink="">
      <xdr:nvSpPr>
        <xdr:cNvPr id="3" name="AutoShape 2">
          <a:extLst>
            <a:ext uri="{FF2B5EF4-FFF2-40B4-BE49-F238E27FC236}">
              <a16:creationId xmlns:a16="http://schemas.microsoft.com/office/drawing/2014/main" xmlns="" id="{781B181A-590F-409A-9698-7FEF0C77F87E}"/>
            </a:ext>
          </a:extLst>
        </xdr:cNvPr>
        <xdr:cNvSpPr>
          <a:spLocks/>
        </xdr:cNvSpPr>
      </xdr:nvSpPr>
      <xdr:spPr bwMode="auto">
        <a:xfrm>
          <a:off x="1733550" y="2247900"/>
          <a:ext cx="76200" cy="361950"/>
        </a:xfrm>
        <a:prstGeom prst="leftBrace">
          <a:avLst>
            <a:gd name="adj1" fmla="val 3958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19050</xdr:colOff>
      <xdr:row>13</xdr:row>
      <xdr:rowOff>57150</xdr:rowOff>
    </xdr:from>
    <xdr:to>
      <xdr:col>1</xdr:col>
      <xdr:colOff>95250</xdr:colOff>
      <xdr:row>14</xdr:row>
      <xdr:rowOff>190500</xdr:rowOff>
    </xdr:to>
    <xdr:sp macro="" textlink="">
      <xdr:nvSpPr>
        <xdr:cNvPr id="4" name="AutoShape 3">
          <a:extLst>
            <a:ext uri="{FF2B5EF4-FFF2-40B4-BE49-F238E27FC236}">
              <a16:creationId xmlns:a16="http://schemas.microsoft.com/office/drawing/2014/main" xmlns="" id="{0DECCA77-3B92-4555-BC00-E75181D0E052}"/>
            </a:ext>
          </a:extLst>
        </xdr:cNvPr>
        <xdr:cNvSpPr>
          <a:spLocks/>
        </xdr:cNvSpPr>
      </xdr:nvSpPr>
      <xdr:spPr bwMode="auto">
        <a:xfrm>
          <a:off x="1733550" y="3619500"/>
          <a:ext cx="76200" cy="390525"/>
        </a:xfrm>
        <a:prstGeom prst="leftBrace">
          <a:avLst>
            <a:gd name="adj1" fmla="val 4270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19050</xdr:colOff>
      <xdr:row>11</xdr:row>
      <xdr:rowOff>57150</xdr:rowOff>
    </xdr:from>
    <xdr:to>
      <xdr:col>1</xdr:col>
      <xdr:colOff>95250</xdr:colOff>
      <xdr:row>12</xdr:row>
      <xdr:rowOff>190500</xdr:rowOff>
    </xdr:to>
    <xdr:sp macro="" textlink="">
      <xdr:nvSpPr>
        <xdr:cNvPr id="5" name="AutoShape 4">
          <a:extLst>
            <a:ext uri="{FF2B5EF4-FFF2-40B4-BE49-F238E27FC236}">
              <a16:creationId xmlns:a16="http://schemas.microsoft.com/office/drawing/2014/main" xmlns="" id="{C481834A-9C28-42BB-A5B0-593577C9528B}"/>
            </a:ext>
          </a:extLst>
        </xdr:cNvPr>
        <xdr:cNvSpPr>
          <a:spLocks/>
        </xdr:cNvSpPr>
      </xdr:nvSpPr>
      <xdr:spPr bwMode="auto">
        <a:xfrm>
          <a:off x="1733550" y="3162300"/>
          <a:ext cx="76200" cy="361950"/>
        </a:xfrm>
        <a:prstGeom prst="leftBrace">
          <a:avLst>
            <a:gd name="adj1" fmla="val 3958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19050</xdr:colOff>
      <xdr:row>9</xdr:row>
      <xdr:rowOff>57150</xdr:rowOff>
    </xdr:from>
    <xdr:to>
      <xdr:col>1</xdr:col>
      <xdr:colOff>95250</xdr:colOff>
      <xdr:row>10</xdr:row>
      <xdr:rowOff>190500</xdr:rowOff>
    </xdr:to>
    <xdr:sp macro="" textlink="">
      <xdr:nvSpPr>
        <xdr:cNvPr id="6" name="AutoShape 5">
          <a:extLst>
            <a:ext uri="{FF2B5EF4-FFF2-40B4-BE49-F238E27FC236}">
              <a16:creationId xmlns:a16="http://schemas.microsoft.com/office/drawing/2014/main" xmlns="" id="{ACC11AB5-08C1-4B4A-863A-D40BAF43A34E}"/>
            </a:ext>
          </a:extLst>
        </xdr:cNvPr>
        <xdr:cNvSpPr>
          <a:spLocks/>
        </xdr:cNvSpPr>
      </xdr:nvSpPr>
      <xdr:spPr bwMode="auto">
        <a:xfrm>
          <a:off x="1733550" y="2705100"/>
          <a:ext cx="76200" cy="361950"/>
        </a:xfrm>
        <a:prstGeom prst="leftBrace">
          <a:avLst>
            <a:gd name="adj1" fmla="val 3958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19050</xdr:colOff>
      <xdr:row>15</xdr:row>
      <xdr:rowOff>57150</xdr:rowOff>
    </xdr:from>
    <xdr:to>
      <xdr:col>1</xdr:col>
      <xdr:colOff>95250</xdr:colOff>
      <xdr:row>16</xdr:row>
      <xdr:rowOff>190500</xdr:rowOff>
    </xdr:to>
    <xdr:sp macro="" textlink="">
      <xdr:nvSpPr>
        <xdr:cNvPr id="7" name="AutoShape 6">
          <a:extLst>
            <a:ext uri="{FF2B5EF4-FFF2-40B4-BE49-F238E27FC236}">
              <a16:creationId xmlns:a16="http://schemas.microsoft.com/office/drawing/2014/main" xmlns="" id="{0EBA63CD-F6C7-41A1-84E3-B6B1B4DF57F5}"/>
            </a:ext>
          </a:extLst>
        </xdr:cNvPr>
        <xdr:cNvSpPr>
          <a:spLocks/>
        </xdr:cNvSpPr>
      </xdr:nvSpPr>
      <xdr:spPr bwMode="auto">
        <a:xfrm>
          <a:off x="1733550" y="4105275"/>
          <a:ext cx="76200" cy="361950"/>
        </a:xfrm>
        <a:prstGeom prst="leftBrace">
          <a:avLst>
            <a:gd name="adj1" fmla="val 3958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19050</xdr:colOff>
      <xdr:row>17</xdr:row>
      <xdr:rowOff>57150</xdr:rowOff>
    </xdr:from>
    <xdr:to>
      <xdr:col>1</xdr:col>
      <xdr:colOff>95250</xdr:colOff>
      <xdr:row>18</xdr:row>
      <xdr:rowOff>190500</xdr:rowOff>
    </xdr:to>
    <xdr:sp macro="" textlink="">
      <xdr:nvSpPr>
        <xdr:cNvPr id="8" name="AutoShape 7">
          <a:extLst>
            <a:ext uri="{FF2B5EF4-FFF2-40B4-BE49-F238E27FC236}">
              <a16:creationId xmlns:a16="http://schemas.microsoft.com/office/drawing/2014/main" xmlns="" id="{347E2372-81CE-47F8-8951-0CD41C06AF04}"/>
            </a:ext>
          </a:extLst>
        </xdr:cNvPr>
        <xdr:cNvSpPr>
          <a:spLocks/>
        </xdr:cNvSpPr>
      </xdr:nvSpPr>
      <xdr:spPr bwMode="auto">
        <a:xfrm>
          <a:off x="1733550" y="4562475"/>
          <a:ext cx="76200" cy="361950"/>
        </a:xfrm>
        <a:prstGeom prst="leftBrace">
          <a:avLst>
            <a:gd name="adj1" fmla="val 3958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19050</xdr:colOff>
      <xdr:row>19</xdr:row>
      <xdr:rowOff>57150</xdr:rowOff>
    </xdr:from>
    <xdr:to>
      <xdr:col>1</xdr:col>
      <xdr:colOff>95250</xdr:colOff>
      <xdr:row>20</xdr:row>
      <xdr:rowOff>190500</xdr:rowOff>
    </xdr:to>
    <xdr:sp macro="" textlink="">
      <xdr:nvSpPr>
        <xdr:cNvPr id="9" name="AutoShape 8">
          <a:extLst>
            <a:ext uri="{FF2B5EF4-FFF2-40B4-BE49-F238E27FC236}">
              <a16:creationId xmlns:a16="http://schemas.microsoft.com/office/drawing/2014/main" xmlns="" id="{81ED7F92-7FA2-43DF-B03E-751B61F327B6}"/>
            </a:ext>
          </a:extLst>
        </xdr:cNvPr>
        <xdr:cNvSpPr>
          <a:spLocks/>
        </xdr:cNvSpPr>
      </xdr:nvSpPr>
      <xdr:spPr bwMode="auto">
        <a:xfrm>
          <a:off x="1733550" y="5019675"/>
          <a:ext cx="76200" cy="390525"/>
        </a:xfrm>
        <a:prstGeom prst="leftBrace">
          <a:avLst>
            <a:gd name="adj1" fmla="val 4270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19050</xdr:colOff>
      <xdr:row>21</xdr:row>
      <xdr:rowOff>57150</xdr:rowOff>
    </xdr:from>
    <xdr:to>
      <xdr:col>1</xdr:col>
      <xdr:colOff>95250</xdr:colOff>
      <xdr:row>22</xdr:row>
      <xdr:rowOff>190500</xdr:rowOff>
    </xdr:to>
    <xdr:sp macro="" textlink="">
      <xdr:nvSpPr>
        <xdr:cNvPr id="10" name="AutoShape 9">
          <a:extLst>
            <a:ext uri="{FF2B5EF4-FFF2-40B4-BE49-F238E27FC236}">
              <a16:creationId xmlns:a16="http://schemas.microsoft.com/office/drawing/2014/main" xmlns="" id="{011FCF11-B8AD-420B-8E7E-D805E93712CB}"/>
            </a:ext>
          </a:extLst>
        </xdr:cNvPr>
        <xdr:cNvSpPr>
          <a:spLocks/>
        </xdr:cNvSpPr>
      </xdr:nvSpPr>
      <xdr:spPr bwMode="auto">
        <a:xfrm>
          <a:off x="1733550" y="5505450"/>
          <a:ext cx="76200" cy="361950"/>
        </a:xfrm>
        <a:prstGeom prst="leftBrace">
          <a:avLst>
            <a:gd name="adj1" fmla="val 3958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19050</xdr:colOff>
      <xdr:row>5</xdr:row>
      <xdr:rowOff>57150</xdr:rowOff>
    </xdr:from>
    <xdr:to>
      <xdr:col>1</xdr:col>
      <xdr:colOff>95250</xdr:colOff>
      <xdr:row>6</xdr:row>
      <xdr:rowOff>190500</xdr:rowOff>
    </xdr:to>
    <xdr:sp macro="" textlink="">
      <xdr:nvSpPr>
        <xdr:cNvPr id="11" name="AutoShape 10">
          <a:extLst>
            <a:ext uri="{FF2B5EF4-FFF2-40B4-BE49-F238E27FC236}">
              <a16:creationId xmlns:a16="http://schemas.microsoft.com/office/drawing/2014/main" xmlns="" id="{1A465E5B-7750-436A-A7CD-F2B5FC75DC8F}"/>
            </a:ext>
          </a:extLst>
        </xdr:cNvPr>
        <xdr:cNvSpPr>
          <a:spLocks/>
        </xdr:cNvSpPr>
      </xdr:nvSpPr>
      <xdr:spPr bwMode="auto">
        <a:xfrm>
          <a:off x="1733550" y="1790700"/>
          <a:ext cx="76200" cy="361950"/>
        </a:xfrm>
        <a:prstGeom prst="leftBrace">
          <a:avLst>
            <a:gd name="adj1" fmla="val 3958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19050</xdr:colOff>
      <xdr:row>23</xdr:row>
      <xdr:rowOff>57150</xdr:rowOff>
    </xdr:from>
    <xdr:to>
      <xdr:col>1</xdr:col>
      <xdr:colOff>95250</xdr:colOff>
      <xdr:row>24</xdr:row>
      <xdr:rowOff>190500</xdr:rowOff>
    </xdr:to>
    <xdr:sp macro="" textlink="">
      <xdr:nvSpPr>
        <xdr:cNvPr id="12" name="AutoShape 11">
          <a:extLst>
            <a:ext uri="{FF2B5EF4-FFF2-40B4-BE49-F238E27FC236}">
              <a16:creationId xmlns:a16="http://schemas.microsoft.com/office/drawing/2014/main" xmlns="" id="{EEBE3E81-00F9-4593-BE6F-585436221E76}"/>
            </a:ext>
          </a:extLst>
        </xdr:cNvPr>
        <xdr:cNvSpPr>
          <a:spLocks/>
        </xdr:cNvSpPr>
      </xdr:nvSpPr>
      <xdr:spPr bwMode="auto">
        <a:xfrm>
          <a:off x="1733550" y="5962650"/>
          <a:ext cx="76200" cy="361950"/>
        </a:xfrm>
        <a:prstGeom prst="leftBrace">
          <a:avLst>
            <a:gd name="adj1" fmla="val 3958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371475</xdr:colOff>
      <xdr:row>17</xdr:row>
      <xdr:rowOff>0</xdr:rowOff>
    </xdr:from>
    <xdr:to>
      <xdr:col>1</xdr:col>
      <xdr:colOff>457200</xdr:colOff>
      <xdr:row>17</xdr:row>
      <xdr:rowOff>0</xdr:rowOff>
    </xdr:to>
    <xdr:sp macro="" textlink="">
      <xdr:nvSpPr>
        <xdr:cNvPr id="2" name="AutoShape 1">
          <a:extLst>
            <a:ext uri="{FF2B5EF4-FFF2-40B4-BE49-F238E27FC236}">
              <a16:creationId xmlns:a16="http://schemas.microsoft.com/office/drawing/2014/main" xmlns="" id="{ACF6E8D8-88A0-4600-98EB-CD69AEB1BCF1}"/>
            </a:ext>
          </a:extLst>
        </xdr:cNvPr>
        <xdr:cNvSpPr>
          <a:spLocks/>
        </xdr:cNvSpPr>
      </xdr:nvSpPr>
      <xdr:spPr bwMode="auto">
        <a:xfrm>
          <a:off x="371475" y="5381625"/>
          <a:ext cx="85725" cy="0"/>
        </a:xfrm>
        <a:prstGeom prst="leftBrace">
          <a:avLst>
            <a:gd name="adj1" fmla="val -2147483648"/>
            <a:gd name="adj2" fmla="val 50000"/>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clientData/>
  </xdr:twoCellAnchor>
  <xdr:twoCellAnchor>
    <xdr:from>
      <xdr:col>1</xdr:col>
      <xdr:colOff>371475</xdr:colOff>
      <xdr:row>17</xdr:row>
      <xdr:rowOff>0</xdr:rowOff>
    </xdr:from>
    <xdr:to>
      <xdr:col>1</xdr:col>
      <xdr:colOff>457200</xdr:colOff>
      <xdr:row>17</xdr:row>
      <xdr:rowOff>0</xdr:rowOff>
    </xdr:to>
    <xdr:sp macro="" textlink="">
      <xdr:nvSpPr>
        <xdr:cNvPr id="3" name="AutoShape 2">
          <a:extLst>
            <a:ext uri="{FF2B5EF4-FFF2-40B4-BE49-F238E27FC236}">
              <a16:creationId xmlns:a16="http://schemas.microsoft.com/office/drawing/2014/main" xmlns="" id="{26052AFA-9024-4D89-8124-EC6FC509A1CC}"/>
            </a:ext>
          </a:extLst>
        </xdr:cNvPr>
        <xdr:cNvSpPr>
          <a:spLocks/>
        </xdr:cNvSpPr>
      </xdr:nvSpPr>
      <xdr:spPr bwMode="auto">
        <a:xfrm>
          <a:off x="371475" y="5381625"/>
          <a:ext cx="85725" cy="0"/>
        </a:xfrm>
        <a:prstGeom prst="leftBrace">
          <a:avLst>
            <a:gd name="adj1" fmla="val -2147483648"/>
            <a:gd name="adj2" fmla="val 50000"/>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371475</xdr:colOff>
      <xdr:row>18</xdr:row>
      <xdr:rowOff>0</xdr:rowOff>
    </xdr:from>
    <xdr:to>
      <xdr:col>0</xdr:col>
      <xdr:colOff>457200</xdr:colOff>
      <xdr:row>18</xdr:row>
      <xdr:rowOff>0</xdr:rowOff>
    </xdr:to>
    <xdr:sp macro="" textlink="">
      <xdr:nvSpPr>
        <xdr:cNvPr id="2" name="AutoShape 1">
          <a:extLst>
            <a:ext uri="{FF2B5EF4-FFF2-40B4-BE49-F238E27FC236}">
              <a16:creationId xmlns:a16="http://schemas.microsoft.com/office/drawing/2014/main" xmlns="" id="{366996ED-FA0B-4CC6-95E6-27E7949E8B2B}"/>
            </a:ext>
          </a:extLst>
        </xdr:cNvPr>
        <xdr:cNvSpPr>
          <a:spLocks/>
        </xdr:cNvSpPr>
      </xdr:nvSpPr>
      <xdr:spPr bwMode="auto">
        <a:xfrm>
          <a:off x="371475" y="5543550"/>
          <a:ext cx="85725" cy="0"/>
        </a:xfrm>
        <a:prstGeom prst="leftBrace">
          <a:avLst>
            <a:gd name="adj1" fmla="val -2147483648"/>
            <a:gd name="adj2" fmla="val 50000"/>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clientData/>
  </xdr:twoCellAnchor>
  <xdr:twoCellAnchor>
    <xdr:from>
      <xdr:col>0</xdr:col>
      <xdr:colOff>371475</xdr:colOff>
      <xdr:row>18</xdr:row>
      <xdr:rowOff>0</xdr:rowOff>
    </xdr:from>
    <xdr:to>
      <xdr:col>0</xdr:col>
      <xdr:colOff>457200</xdr:colOff>
      <xdr:row>18</xdr:row>
      <xdr:rowOff>0</xdr:rowOff>
    </xdr:to>
    <xdr:sp macro="" textlink="">
      <xdr:nvSpPr>
        <xdr:cNvPr id="3" name="AutoShape 2">
          <a:extLst>
            <a:ext uri="{FF2B5EF4-FFF2-40B4-BE49-F238E27FC236}">
              <a16:creationId xmlns:a16="http://schemas.microsoft.com/office/drawing/2014/main" xmlns="" id="{D3F846DC-A0CB-4049-84B6-40D1517B3F19}"/>
            </a:ext>
          </a:extLst>
        </xdr:cNvPr>
        <xdr:cNvSpPr>
          <a:spLocks/>
        </xdr:cNvSpPr>
      </xdr:nvSpPr>
      <xdr:spPr bwMode="auto">
        <a:xfrm>
          <a:off x="371475" y="5543550"/>
          <a:ext cx="85725" cy="0"/>
        </a:xfrm>
        <a:prstGeom prst="leftBrace">
          <a:avLst>
            <a:gd name="adj1" fmla="val -2147483648"/>
            <a:gd name="adj2" fmla="val 50000"/>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115955</xdr:colOff>
      <xdr:row>16</xdr:row>
      <xdr:rowOff>66262</xdr:rowOff>
    </xdr:from>
    <xdr:to>
      <xdr:col>2</xdr:col>
      <xdr:colOff>256759</xdr:colOff>
      <xdr:row>17</xdr:row>
      <xdr:rowOff>173936</xdr:rowOff>
    </xdr:to>
    <xdr:sp macro="" textlink="">
      <xdr:nvSpPr>
        <xdr:cNvPr id="2" name="左大括弧 1"/>
        <xdr:cNvSpPr/>
      </xdr:nvSpPr>
      <xdr:spPr>
        <a:xfrm>
          <a:off x="1954280" y="3571462"/>
          <a:ext cx="140804" cy="30769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zh-TW" altLang="en-US" sz="1100"/>
        </a:p>
      </xdr:txBody>
    </xdr:sp>
    <xdr:clientData/>
  </xdr:twoCellAnchor>
  <xdr:twoCellAnchor>
    <xdr:from>
      <xdr:col>2</xdr:col>
      <xdr:colOff>119268</xdr:colOff>
      <xdr:row>18</xdr:row>
      <xdr:rowOff>69575</xdr:rowOff>
    </xdr:from>
    <xdr:to>
      <xdr:col>2</xdr:col>
      <xdr:colOff>260072</xdr:colOff>
      <xdr:row>19</xdr:row>
      <xdr:rowOff>177248</xdr:rowOff>
    </xdr:to>
    <xdr:sp macro="" textlink="">
      <xdr:nvSpPr>
        <xdr:cNvPr id="3" name="左大括弧 2"/>
        <xdr:cNvSpPr/>
      </xdr:nvSpPr>
      <xdr:spPr>
        <a:xfrm>
          <a:off x="1957593" y="3974825"/>
          <a:ext cx="140804" cy="307698"/>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zh-TW" altLang="en-US" sz="1100"/>
        </a:p>
      </xdr:txBody>
    </xdr:sp>
    <xdr:clientData/>
  </xdr:twoCellAnchor>
  <xdr:twoCellAnchor>
    <xdr:from>
      <xdr:col>2</xdr:col>
      <xdr:colOff>107672</xdr:colOff>
      <xdr:row>20</xdr:row>
      <xdr:rowOff>56322</xdr:rowOff>
    </xdr:from>
    <xdr:to>
      <xdr:col>2</xdr:col>
      <xdr:colOff>255102</xdr:colOff>
      <xdr:row>23</xdr:row>
      <xdr:rowOff>182217</xdr:rowOff>
    </xdr:to>
    <xdr:sp macro="" textlink="">
      <xdr:nvSpPr>
        <xdr:cNvPr id="4" name="左大括弧 3"/>
        <xdr:cNvSpPr/>
      </xdr:nvSpPr>
      <xdr:spPr>
        <a:xfrm>
          <a:off x="1945997" y="4361622"/>
          <a:ext cx="147430" cy="725970"/>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zh-TW" altLang="en-US" sz="1100"/>
        </a:p>
      </xdr:txBody>
    </xdr:sp>
    <xdr:clientData/>
  </xdr:twoCellAnchor>
  <xdr:twoCellAnchor>
    <xdr:from>
      <xdr:col>2</xdr:col>
      <xdr:colOff>114298</xdr:colOff>
      <xdr:row>24</xdr:row>
      <xdr:rowOff>56322</xdr:rowOff>
    </xdr:from>
    <xdr:to>
      <xdr:col>2</xdr:col>
      <xdr:colOff>255102</xdr:colOff>
      <xdr:row>25</xdr:row>
      <xdr:rowOff>163996</xdr:rowOff>
    </xdr:to>
    <xdr:sp macro="" textlink="">
      <xdr:nvSpPr>
        <xdr:cNvPr id="5" name="左大括弧 4"/>
        <xdr:cNvSpPr/>
      </xdr:nvSpPr>
      <xdr:spPr>
        <a:xfrm>
          <a:off x="1952623" y="5161722"/>
          <a:ext cx="140804" cy="30769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zh-TW"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0</xdr:colOff>
      <xdr:row>3</xdr:row>
      <xdr:rowOff>238125</xdr:rowOff>
    </xdr:to>
    <xdr:sp macro="" textlink="">
      <xdr:nvSpPr>
        <xdr:cNvPr id="2" name="Text Box 1">
          <a:extLst>
            <a:ext uri="{FF2B5EF4-FFF2-40B4-BE49-F238E27FC236}">
              <a16:creationId xmlns:a16="http://schemas.microsoft.com/office/drawing/2014/main" xmlns="" id="{00000000-0008-0000-0400-000003000000}"/>
            </a:ext>
          </a:extLst>
        </xdr:cNvPr>
        <xdr:cNvSpPr txBox="1">
          <a:spLocks noChangeArrowheads="1"/>
        </xdr:cNvSpPr>
      </xdr:nvSpPr>
      <xdr:spPr bwMode="auto">
        <a:xfrm>
          <a:off x="1981200" y="89535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0</xdr:rowOff>
    </xdr:from>
    <xdr:to>
      <xdr:col>1</xdr:col>
      <xdr:colOff>0</xdr:colOff>
      <xdr:row>3</xdr:row>
      <xdr:rowOff>238125</xdr:rowOff>
    </xdr:to>
    <xdr:sp macro="" textlink="">
      <xdr:nvSpPr>
        <xdr:cNvPr id="3" name="Text Box 1">
          <a:extLst>
            <a:ext uri="{FF2B5EF4-FFF2-40B4-BE49-F238E27FC236}">
              <a16:creationId xmlns:a16="http://schemas.microsoft.com/office/drawing/2014/main" xmlns="" id="{00000000-0008-0000-0400-000004000000}"/>
            </a:ext>
          </a:extLst>
        </xdr:cNvPr>
        <xdr:cNvSpPr txBox="1">
          <a:spLocks noChangeArrowheads="1"/>
        </xdr:cNvSpPr>
      </xdr:nvSpPr>
      <xdr:spPr bwMode="auto">
        <a:xfrm>
          <a:off x="1981200" y="89535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0</xdr:colOff>
      <xdr:row>3</xdr:row>
      <xdr:rowOff>0</xdr:rowOff>
    </xdr:to>
    <xdr:sp macro="" textlink="">
      <xdr:nvSpPr>
        <xdr:cNvPr id="2" name="Text Box 1">
          <a:extLst>
            <a:ext uri="{FF2B5EF4-FFF2-40B4-BE49-F238E27FC236}">
              <a16:creationId xmlns:a16="http://schemas.microsoft.com/office/drawing/2014/main" xmlns="" id="{00000000-0008-0000-0800-000002000000}"/>
            </a:ext>
          </a:extLst>
        </xdr:cNvPr>
        <xdr:cNvSpPr txBox="1">
          <a:spLocks noChangeArrowheads="1"/>
        </xdr:cNvSpPr>
      </xdr:nvSpPr>
      <xdr:spPr bwMode="auto">
        <a:xfrm>
          <a:off x="2009775"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dist" rtl="0">
            <a:lnSpc>
              <a:spcPts val="1200"/>
            </a:lnSpc>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0</xdr:rowOff>
    </xdr:from>
    <xdr:to>
      <xdr:col>1</xdr:col>
      <xdr:colOff>0</xdr:colOff>
      <xdr:row>3</xdr:row>
      <xdr:rowOff>0</xdr:rowOff>
    </xdr:to>
    <xdr:sp macro="" textlink="">
      <xdr:nvSpPr>
        <xdr:cNvPr id="3" name="Text Box 2">
          <a:extLst>
            <a:ext uri="{FF2B5EF4-FFF2-40B4-BE49-F238E27FC236}">
              <a16:creationId xmlns:a16="http://schemas.microsoft.com/office/drawing/2014/main" xmlns="" id="{00000000-0008-0000-0800-000003000000}"/>
            </a:ext>
          </a:extLst>
        </xdr:cNvPr>
        <xdr:cNvSpPr txBox="1">
          <a:spLocks noChangeArrowheads="1"/>
        </xdr:cNvSpPr>
      </xdr:nvSpPr>
      <xdr:spPr bwMode="auto">
        <a:xfrm>
          <a:off x="2009775"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0</xdr:rowOff>
    </xdr:from>
    <xdr:to>
      <xdr:col>1</xdr:col>
      <xdr:colOff>0</xdr:colOff>
      <xdr:row>3</xdr:row>
      <xdr:rowOff>0</xdr:rowOff>
    </xdr:to>
    <xdr:sp macro="" textlink="">
      <xdr:nvSpPr>
        <xdr:cNvPr id="4" name="Text Box 3">
          <a:extLst>
            <a:ext uri="{FF2B5EF4-FFF2-40B4-BE49-F238E27FC236}">
              <a16:creationId xmlns:a16="http://schemas.microsoft.com/office/drawing/2014/main" xmlns="" id="{00000000-0008-0000-0800-000004000000}"/>
            </a:ext>
          </a:extLst>
        </xdr:cNvPr>
        <xdr:cNvSpPr txBox="1">
          <a:spLocks noChangeArrowheads="1"/>
        </xdr:cNvSpPr>
      </xdr:nvSpPr>
      <xdr:spPr bwMode="auto">
        <a:xfrm>
          <a:off x="2009775"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0</xdr:rowOff>
    </xdr:from>
    <xdr:to>
      <xdr:col>1</xdr:col>
      <xdr:colOff>0</xdr:colOff>
      <xdr:row>3</xdr:row>
      <xdr:rowOff>0</xdr:rowOff>
    </xdr:to>
    <xdr:sp macro="" textlink="">
      <xdr:nvSpPr>
        <xdr:cNvPr id="5" name="Text Box 4">
          <a:extLst>
            <a:ext uri="{FF2B5EF4-FFF2-40B4-BE49-F238E27FC236}">
              <a16:creationId xmlns:a16="http://schemas.microsoft.com/office/drawing/2014/main" xmlns="" id="{00000000-0008-0000-0800-000005000000}"/>
            </a:ext>
          </a:extLst>
        </xdr:cNvPr>
        <xdr:cNvSpPr txBox="1">
          <a:spLocks noChangeArrowheads="1"/>
        </xdr:cNvSpPr>
      </xdr:nvSpPr>
      <xdr:spPr bwMode="auto">
        <a:xfrm>
          <a:off x="2009775"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0</xdr:rowOff>
    </xdr:from>
    <xdr:to>
      <xdr:col>1</xdr:col>
      <xdr:colOff>0</xdr:colOff>
      <xdr:row>3</xdr:row>
      <xdr:rowOff>0</xdr:rowOff>
    </xdr:to>
    <xdr:sp macro="" textlink="">
      <xdr:nvSpPr>
        <xdr:cNvPr id="6" name="Text Box 5">
          <a:extLst>
            <a:ext uri="{FF2B5EF4-FFF2-40B4-BE49-F238E27FC236}">
              <a16:creationId xmlns:a16="http://schemas.microsoft.com/office/drawing/2014/main" xmlns="" id="{00000000-0008-0000-0800-000006000000}"/>
            </a:ext>
          </a:extLst>
        </xdr:cNvPr>
        <xdr:cNvSpPr txBox="1">
          <a:spLocks noChangeArrowheads="1"/>
        </xdr:cNvSpPr>
      </xdr:nvSpPr>
      <xdr:spPr bwMode="auto">
        <a:xfrm>
          <a:off x="2009775"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0</xdr:rowOff>
    </xdr:from>
    <xdr:to>
      <xdr:col>1</xdr:col>
      <xdr:colOff>0</xdr:colOff>
      <xdr:row>3</xdr:row>
      <xdr:rowOff>0</xdr:rowOff>
    </xdr:to>
    <xdr:sp macro="" textlink="">
      <xdr:nvSpPr>
        <xdr:cNvPr id="7" name="Text Box 6">
          <a:extLst>
            <a:ext uri="{FF2B5EF4-FFF2-40B4-BE49-F238E27FC236}">
              <a16:creationId xmlns:a16="http://schemas.microsoft.com/office/drawing/2014/main" xmlns="" id="{00000000-0008-0000-0800-000007000000}"/>
            </a:ext>
          </a:extLst>
        </xdr:cNvPr>
        <xdr:cNvSpPr txBox="1">
          <a:spLocks noChangeArrowheads="1"/>
        </xdr:cNvSpPr>
      </xdr:nvSpPr>
      <xdr:spPr bwMode="auto">
        <a:xfrm>
          <a:off x="2009775"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0</xdr:rowOff>
    </xdr:from>
    <xdr:to>
      <xdr:col>1</xdr:col>
      <xdr:colOff>0</xdr:colOff>
      <xdr:row>3</xdr:row>
      <xdr:rowOff>0</xdr:rowOff>
    </xdr:to>
    <xdr:sp macro="" textlink="">
      <xdr:nvSpPr>
        <xdr:cNvPr id="8" name="Text Box 7">
          <a:extLst>
            <a:ext uri="{FF2B5EF4-FFF2-40B4-BE49-F238E27FC236}">
              <a16:creationId xmlns:a16="http://schemas.microsoft.com/office/drawing/2014/main" xmlns="" id="{00000000-0008-0000-0800-000008000000}"/>
            </a:ext>
          </a:extLst>
        </xdr:cNvPr>
        <xdr:cNvSpPr txBox="1">
          <a:spLocks noChangeArrowheads="1"/>
        </xdr:cNvSpPr>
      </xdr:nvSpPr>
      <xdr:spPr bwMode="auto">
        <a:xfrm>
          <a:off x="2009775"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0</xdr:rowOff>
    </xdr:from>
    <xdr:to>
      <xdr:col>1</xdr:col>
      <xdr:colOff>0</xdr:colOff>
      <xdr:row>3</xdr:row>
      <xdr:rowOff>0</xdr:rowOff>
    </xdr:to>
    <xdr:sp macro="" textlink="">
      <xdr:nvSpPr>
        <xdr:cNvPr id="9" name="Text Box 9">
          <a:extLst>
            <a:ext uri="{FF2B5EF4-FFF2-40B4-BE49-F238E27FC236}">
              <a16:creationId xmlns:a16="http://schemas.microsoft.com/office/drawing/2014/main" xmlns="" id="{00000000-0008-0000-0800-000009000000}"/>
            </a:ext>
          </a:extLst>
        </xdr:cNvPr>
        <xdr:cNvSpPr txBox="1">
          <a:spLocks noChangeArrowheads="1"/>
        </xdr:cNvSpPr>
      </xdr:nvSpPr>
      <xdr:spPr bwMode="auto">
        <a:xfrm>
          <a:off x="2009775"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0</xdr:rowOff>
    </xdr:from>
    <xdr:to>
      <xdr:col>1</xdr:col>
      <xdr:colOff>0</xdr:colOff>
      <xdr:row>3</xdr:row>
      <xdr:rowOff>0</xdr:rowOff>
    </xdr:to>
    <xdr:sp macro="" textlink="">
      <xdr:nvSpPr>
        <xdr:cNvPr id="10" name="Text Box 10">
          <a:extLst>
            <a:ext uri="{FF2B5EF4-FFF2-40B4-BE49-F238E27FC236}">
              <a16:creationId xmlns:a16="http://schemas.microsoft.com/office/drawing/2014/main" xmlns="" id="{00000000-0008-0000-0800-00000A000000}"/>
            </a:ext>
          </a:extLst>
        </xdr:cNvPr>
        <xdr:cNvSpPr txBox="1">
          <a:spLocks noChangeArrowheads="1"/>
        </xdr:cNvSpPr>
      </xdr:nvSpPr>
      <xdr:spPr bwMode="auto">
        <a:xfrm>
          <a:off x="2009775"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0</xdr:rowOff>
    </xdr:from>
    <xdr:to>
      <xdr:col>1</xdr:col>
      <xdr:colOff>0</xdr:colOff>
      <xdr:row>3</xdr:row>
      <xdr:rowOff>0</xdr:rowOff>
    </xdr:to>
    <xdr:sp macro="" textlink="">
      <xdr:nvSpPr>
        <xdr:cNvPr id="11" name="Text Box 1">
          <a:extLst>
            <a:ext uri="{FF2B5EF4-FFF2-40B4-BE49-F238E27FC236}">
              <a16:creationId xmlns:a16="http://schemas.microsoft.com/office/drawing/2014/main" xmlns="" id="{00000000-0008-0000-0800-00000B000000}"/>
            </a:ext>
          </a:extLst>
        </xdr:cNvPr>
        <xdr:cNvSpPr txBox="1">
          <a:spLocks noChangeArrowheads="1"/>
        </xdr:cNvSpPr>
      </xdr:nvSpPr>
      <xdr:spPr bwMode="auto">
        <a:xfrm>
          <a:off x="2009775"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dist" rtl="0">
            <a:lnSpc>
              <a:spcPts val="1200"/>
            </a:lnSpc>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0</xdr:rowOff>
    </xdr:from>
    <xdr:to>
      <xdr:col>1</xdr:col>
      <xdr:colOff>0</xdr:colOff>
      <xdr:row>3</xdr:row>
      <xdr:rowOff>0</xdr:rowOff>
    </xdr:to>
    <xdr:sp macro="" textlink="">
      <xdr:nvSpPr>
        <xdr:cNvPr id="12" name="Text Box 2">
          <a:extLst>
            <a:ext uri="{FF2B5EF4-FFF2-40B4-BE49-F238E27FC236}">
              <a16:creationId xmlns:a16="http://schemas.microsoft.com/office/drawing/2014/main" xmlns="" id="{00000000-0008-0000-0800-00000C000000}"/>
            </a:ext>
          </a:extLst>
        </xdr:cNvPr>
        <xdr:cNvSpPr txBox="1">
          <a:spLocks noChangeArrowheads="1"/>
        </xdr:cNvSpPr>
      </xdr:nvSpPr>
      <xdr:spPr bwMode="auto">
        <a:xfrm>
          <a:off x="2009775"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0</xdr:rowOff>
    </xdr:from>
    <xdr:to>
      <xdr:col>1</xdr:col>
      <xdr:colOff>0</xdr:colOff>
      <xdr:row>3</xdr:row>
      <xdr:rowOff>0</xdr:rowOff>
    </xdr:to>
    <xdr:sp macro="" textlink="">
      <xdr:nvSpPr>
        <xdr:cNvPr id="13" name="Text Box 3">
          <a:extLst>
            <a:ext uri="{FF2B5EF4-FFF2-40B4-BE49-F238E27FC236}">
              <a16:creationId xmlns:a16="http://schemas.microsoft.com/office/drawing/2014/main" xmlns="" id="{00000000-0008-0000-0800-00000D000000}"/>
            </a:ext>
          </a:extLst>
        </xdr:cNvPr>
        <xdr:cNvSpPr txBox="1">
          <a:spLocks noChangeArrowheads="1"/>
        </xdr:cNvSpPr>
      </xdr:nvSpPr>
      <xdr:spPr bwMode="auto">
        <a:xfrm>
          <a:off x="2009775"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0</xdr:rowOff>
    </xdr:from>
    <xdr:to>
      <xdr:col>1</xdr:col>
      <xdr:colOff>0</xdr:colOff>
      <xdr:row>3</xdr:row>
      <xdr:rowOff>0</xdr:rowOff>
    </xdr:to>
    <xdr:sp macro="" textlink="">
      <xdr:nvSpPr>
        <xdr:cNvPr id="14" name="Text Box 4">
          <a:extLst>
            <a:ext uri="{FF2B5EF4-FFF2-40B4-BE49-F238E27FC236}">
              <a16:creationId xmlns:a16="http://schemas.microsoft.com/office/drawing/2014/main" xmlns="" id="{00000000-0008-0000-0800-00000E000000}"/>
            </a:ext>
          </a:extLst>
        </xdr:cNvPr>
        <xdr:cNvSpPr txBox="1">
          <a:spLocks noChangeArrowheads="1"/>
        </xdr:cNvSpPr>
      </xdr:nvSpPr>
      <xdr:spPr bwMode="auto">
        <a:xfrm>
          <a:off x="2009775"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0</xdr:rowOff>
    </xdr:from>
    <xdr:to>
      <xdr:col>1</xdr:col>
      <xdr:colOff>0</xdr:colOff>
      <xdr:row>3</xdr:row>
      <xdr:rowOff>0</xdr:rowOff>
    </xdr:to>
    <xdr:sp macro="" textlink="">
      <xdr:nvSpPr>
        <xdr:cNvPr id="15" name="Text Box 5">
          <a:extLst>
            <a:ext uri="{FF2B5EF4-FFF2-40B4-BE49-F238E27FC236}">
              <a16:creationId xmlns:a16="http://schemas.microsoft.com/office/drawing/2014/main" xmlns="" id="{00000000-0008-0000-0800-00000F000000}"/>
            </a:ext>
          </a:extLst>
        </xdr:cNvPr>
        <xdr:cNvSpPr txBox="1">
          <a:spLocks noChangeArrowheads="1"/>
        </xdr:cNvSpPr>
      </xdr:nvSpPr>
      <xdr:spPr bwMode="auto">
        <a:xfrm>
          <a:off x="2009775"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0</xdr:rowOff>
    </xdr:from>
    <xdr:to>
      <xdr:col>1</xdr:col>
      <xdr:colOff>0</xdr:colOff>
      <xdr:row>3</xdr:row>
      <xdr:rowOff>0</xdr:rowOff>
    </xdr:to>
    <xdr:sp macro="" textlink="">
      <xdr:nvSpPr>
        <xdr:cNvPr id="16" name="Text Box 6">
          <a:extLst>
            <a:ext uri="{FF2B5EF4-FFF2-40B4-BE49-F238E27FC236}">
              <a16:creationId xmlns:a16="http://schemas.microsoft.com/office/drawing/2014/main" xmlns="" id="{00000000-0008-0000-0800-000010000000}"/>
            </a:ext>
          </a:extLst>
        </xdr:cNvPr>
        <xdr:cNvSpPr txBox="1">
          <a:spLocks noChangeArrowheads="1"/>
        </xdr:cNvSpPr>
      </xdr:nvSpPr>
      <xdr:spPr bwMode="auto">
        <a:xfrm>
          <a:off x="2009775"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0</xdr:rowOff>
    </xdr:from>
    <xdr:to>
      <xdr:col>1</xdr:col>
      <xdr:colOff>0</xdr:colOff>
      <xdr:row>3</xdr:row>
      <xdr:rowOff>0</xdr:rowOff>
    </xdr:to>
    <xdr:sp macro="" textlink="">
      <xdr:nvSpPr>
        <xdr:cNvPr id="17" name="Text Box 7">
          <a:extLst>
            <a:ext uri="{FF2B5EF4-FFF2-40B4-BE49-F238E27FC236}">
              <a16:creationId xmlns:a16="http://schemas.microsoft.com/office/drawing/2014/main" xmlns="" id="{00000000-0008-0000-0800-000011000000}"/>
            </a:ext>
          </a:extLst>
        </xdr:cNvPr>
        <xdr:cNvSpPr txBox="1">
          <a:spLocks noChangeArrowheads="1"/>
        </xdr:cNvSpPr>
      </xdr:nvSpPr>
      <xdr:spPr bwMode="auto">
        <a:xfrm>
          <a:off x="2009775"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0</xdr:rowOff>
    </xdr:from>
    <xdr:to>
      <xdr:col>1</xdr:col>
      <xdr:colOff>0</xdr:colOff>
      <xdr:row>3</xdr:row>
      <xdr:rowOff>0</xdr:rowOff>
    </xdr:to>
    <xdr:sp macro="" textlink="">
      <xdr:nvSpPr>
        <xdr:cNvPr id="18" name="Text Box 9">
          <a:extLst>
            <a:ext uri="{FF2B5EF4-FFF2-40B4-BE49-F238E27FC236}">
              <a16:creationId xmlns:a16="http://schemas.microsoft.com/office/drawing/2014/main" xmlns="" id="{00000000-0008-0000-0800-000012000000}"/>
            </a:ext>
          </a:extLst>
        </xdr:cNvPr>
        <xdr:cNvSpPr txBox="1">
          <a:spLocks noChangeArrowheads="1"/>
        </xdr:cNvSpPr>
      </xdr:nvSpPr>
      <xdr:spPr bwMode="auto">
        <a:xfrm>
          <a:off x="2009775"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0</xdr:rowOff>
    </xdr:from>
    <xdr:to>
      <xdr:col>1</xdr:col>
      <xdr:colOff>0</xdr:colOff>
      <xdr:row>3</xdr:row>
      <xdr:rowOff>0</xdr:rowOff>
    </xdr:to>
    <xdr:sp macro="" textlink="">
      <xdr:nvSpPr>
        <xdr:cNvPr id="19" name="Text Box 10">
          <a:extLst>
            <a:ext uri="{FF2B5EF4-FFF2-40B4-BE49-F238E27FC236}">
              <a16:creationId xmlns:a16="http://schemas.microsoft.com/office/drawing/2014/main" xmlns="" id="{00000000-0008-0000-0800-000013000000}"/>
            </a:ext>
          </a:extLst>
        </xdr:cNvPr>
        <xdr:cNvSpPr txBox="1">
          <a:spLocks noChangeArrowheads="1"/>
        </xdr:cNvSpPr>
      </xdr:nvSpPr>
      <xdr:spPr bwMode="auto">
        <a:xfrm>
          <a:off x="2009775"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0</xdr:rowOff>
    </xdr:from>
    <xdr:to>
      <xdr:col>8</xdr:col>
      <xdr:colOff>0</xdr:colOff>
      <xdr:row>3</xdr:row>
      <xdr:rowOff>0</xdr:rowOff>
    </xdr:to>
    <xdr:sp macro="" textlink="">
      <xdr:nvSpPr>
        <xdr:cNvPr id="20" name="Text Box 1">
          <a:extLst>
            <a:ext uri="{FF2B5EF4-FFF2-40B4-BE49-F238E27FC236}">
              <a16:creationId xmlns:a16="http://schemas.microsoft.com/office/drawing/2014/main" xmlns="" id="{00000000-0008-0000-0800-000014000000}"/>
            </a:ext>
          </a:extLst>
        </xdr:cNvPr>
        <xdr:cNvSpPr txBox="1">
          <a:spLocks noChangeArrowheads="1"/>
        </xdr:cNvSpPr>
      </xdr:nvSpPr>
      <xdr:spPr bwMode="auto">
        <a:xfrm>
          <a:off x="6115050"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dist" rtl="0">
            <a:lnSpc>
              <a:spcPts val="1200"/>
            </a:lnSpc>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0</xdr:rowOff>
    </xdr:from>
    <xdr:to>
      <xdr:col>8</xdr:col>
      <xdr:colOff>0</xdr:colOff>
      <xdr:row>3</xdr:row>
      <xdr:rowOff>0</xdr:rowOff>
    </xdr:to>
    <xdr:sp macro="" textlink="">
      <xdr:nvSpPr>
        <xdr:cNvPr id="21" name="Text Box 2">
          <a:extLst>
            <a:ext uri="{FF2B5EF4-FFF2-40B4-BE49-F238E27FC236}">
              <a16:creationId xmlns:a16="http://schemas.microsoft.com/office/drawing/2014/main" xmlns="" id="{00000000-0008-0000-0800-000015000000}"/>
            </a:ext>
          </a:extLst>
        </xdr:cNvPr>
        <xdr:cNvSpPr txBox="1">
          <a:spLocks noChangeArrowheads="1"/>
        </xdr:cNvSpPr>
      </xdr:nvSpPr>
      <xdr:spPr bwMode="auto">
        <a:xfrm>
          <a:off x="6115050"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0</xdr:rowOff>
    </xdr:from>
    <xdr:to>
      <xdr:col>8</xdr:col>
      <xdr:colOff>0</xdr:colOff>
      <xdr:row>3</xdr:row>
      <xdr:rowOff>0</xdr:rowOff>
    </xdr:to>
    <xdr:sp macro="" textlink="">
      <xdr:nvSpPr>
        <xdr:cNvPr id="22" name="Text Box 3">
          <a:extLst>
            <a:ext uri="{FF2B5EF4-FFF2-40B4-BE49-F238E27FC236}">
              <a16:creationId xmlns:a16="http://schemas.microsoft.com/office/drawing/2014/main" xmlns="" id="{00000000-0008-0000-0800-000016000000}"/>
            </a:ext>
          </a:extLst>
        </xdr:cNvPr>
        <xdr:cNvSpPr txBox="1">
          <a:spLocks noChangeArrowheads="1"/>
        </xdr:cNvSpPr>
      </xdr:nvSpPr>
      <xdr:spPr bwMode="auto">
        <a:xfrm>
          <a:off x="6115050"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0</xdr:rowOff>
    </xdr:from>
    <xdr:to>
      <xdr:col>8</xdr:col>
      <xdr:colOff>0</xdr:colOff>
      <xdr:row>3</xdr:row>
      <xdr:rowOff>0</xdr:rowOff>
    </xdr:to>
    <xdr:sp macro="" textlink="">
      <xdr:nvSpPr>
        <xdr:cNvPr id="23" name="Text Box 4">
          <a:extLst>
            <a:ext uri="{FF2B5EF4-FFF2-40B4-BE49-F238E27FC236}">
              <a16:creationId xmlns:a16="http://schemas.microsoft.com/office/drawing/2014/main" xmlns="" id="{00000000-0008-0000-0800-000017000000}"/>
            </a:ext>
          </a:extLst>
        </xdr:cNvPr>
        <xdr:cNvSpPr txBox="1">
          <a:spLocks noChangeArrowheads="1"/>
        </xdr:cNvSpPr>
      </xdr:nvSpPr>
      <xdr:spPr bwMode="auto">
        <a:xfrm>
          <a:off x="6115050"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0</xdr:rowOff>
    </xdr:from>
    <xdr:to>
      <xdr:col>8</xdr:col>
      <xdr:colOff>0</xdr:colOff>
      <xdr:row>3</xdr:row>
      <xdr:rowOff>0</xdr:rowOff>
    </xdr:to>
    <xdr:sp macro="" textlink="">
      <xdr:nvSpPr>
        <xdr:cNvPr id="24" name="Text Box 5">
          <a:extLst>
            <a:ext uri="{FF2B5EF4-FFF2-40B4-BE49-F238E27FC236}">
              <a16:creationId xmlns:a16="http://schemas.microsoft.com/office/drawing/2014/main" xmlns="" id="{00000000-0008-0000-0800-000018000000}"/>
            </a:ext>
          </a:extLst>
        </xdr:cNvPr>
        <xdr:cNvSpPr txBox="1">
          <a:spLocks noChangeArrowheads="1"/>
        </xdr:cNvSpPr>
      </xdr:nvSpPr>
      <xdr:spPr bwMode="auto">
        <a:xfrm>
          <a:off x="6115050"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0</xdr:rowOff>
    </xdr:from>
    <xdr:to>
      <xdr:col>8</xdr:col>
      <xdr:colOff>0</xdr:colOff>
      <xdr:row>3</xdr:row>
      <xdr:rowOff>0</xdr:rowOff>
    </xdr:to>
    <xdr:sp macro="" textlink="">
      <xdr:nvSpPr>
        <xdr:cNvPr id="25" name="Text Box 6">
          <a:extLst>
            <a:ext uri="{FF2B5EF4-FFF2-40B4-BE49-F238E27FC236}">
              <a16:creationId xmlns:a16="http://schemas.microsoft.com/office/drawing/2014/main" xmlns="" id="{00000000-0008-0000-0800-000019000000}"/>
            </a:ext>
          </a:extLst>
        </xdr:cNvPr>
        <xdr:cNvSpPr txBox="1">
          <a:spLocks noChangeArrowheads="1"/>
        </xdr:cNvSpPr>
      </xdr:nvSpPr>
      <xdr:spPr bwMode="auto">
        <a:xfrm>
          <a:off x="6115050"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0</xdr:rowOff>
    </xdr:from>
    <xdr:to>
      <xdr:col>8</xdr:col>
      <xdr:colOff>0</xdr:colOff>
      <xdr:row>3</xdr:row>
      <xdr:rowOff>0</xdr:rowOff>
    </xdr:to>
    <xdr:sp macro="" textlink="">
      <xdr:nvSpPr>
        <xdr:cNvPr id="26" name="Text Box 7">
          <a:extLst>
            <a:ext uri="{FF2B5EF4-FFF2-40B4-BE49-F238E27FC236}">
              <a16:creationId xmlns:a16="http://schemas.microsoft.com/office/drawing/2014/main" xmlns="" id="{00000000-0008-0000-0800-00001A000000}"/>
            </a:ext>
          </a:extLst>
        </xdr:cNvPr>
        <xdr:cNvSpPr txBox="1">
          <a:spLocks noChangeArrowheads="1"/>
        </xdr:cNvSpPr>
      </xdr:nvSpPr>
      <xdr:spPr bwMode="auto">
        <a:xfrm>
          <a:off x="6115050"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0</xdr:rowOff>
    </xdr:from>
    <xdr:to>
      <xdr:col>8</xdr:col>
      <xdr:colOff>0</xdr:colOff>
      <xdr:row>3</xdr:row>
      <xdr:rowOff>0</xdr:rowOff>
    </xdr:to>
    <xdr:sp macro="" textlink="">
      <xdr:nvSpPr>
        <xdr:cNvPr id="27" name="Text Box 9">
          <a:extLst>
            <a:ext uri="{FF2B5EF4-FFF2-40B4-BE49-F238E27FC236}">
              <a16:creationId xmlns:a16="http://schemas.microsoft.com/office/drawing/2014/main" xmlns="" id="{00000000-0008-0000-0800-00001B000000}"/>
            </a:ext>
          </a:extLst>
        </xdr:cNvPr>
        <xdr:cNvSpPr txBox="1">
          <a:spLocks noChangeArrowheads="1"/>
        </xdr:cNvSpPr>
      </xdr:nvSpPr>
      <xdr:spPr bwMode="auto">
        <a:xfrm>
          <a:off x="6115050"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0</xdr:rowOff>
    </xdr:from>
    <xdr:to>
      <xdr:col>8</xdr:col>
      <xdr:colOff>0</xdr:colOff>
      <xdr:row>3</xdr:row>
      <xdr:rowOff>0</xdr:rowOff>
    </xdr:to>
    <xdr:sp macro="" textlink="">
      <xdr:nvSpPr>
        <xdr:cNvPr id="28" name="Text Box 10">
          <a:extLst>
            <a:ext uri="{FF2B5EF4-FFF2-40B4-BE49-F238E27FC236}">
              <a16:creationId xmlns:a16="http://schemas.microsoft.com/office/drawing/2014/main" xmlns="" id="{00000000-0008-0000-0800-00001C000000}"/>
            </a:ext>
          </a:extLst>
        </xdr:cNvPr>
        <xdr:cNvSpPr txBox="1">
          <a:spLocks noChangeArrowheads="1"/>
        </xdr:cNvSpPr>
      </xdr:nvSpPr>
      <xdr:spPr bwMode="auto">
        <a:xfrm>
          <a:off x="6115050"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xdr:row>
      <xdr:rowOff>104775</xdr:rowOff>
    </xdr:from>
    <xdr:to>
      <xdr:col>1</xdr:col>
      <xdr:colOff>0</xdr:colOff>
      <xdr:row>5</xdr:row>
      <xdr:rowOff>0</xdr:rowOff>
    </xdr:to>
    <xdr:sp macro="" textlink="">
      <xdr:nvSpPr>
        <xdr:cNvPr id="2" name="Text Box 1">
          <a:extLst>
            <a:ext uri="{FF2B5EF4-FFF2-40B4-BE49-F238E27FC236}">
              <a16:creationId xmlns:a16="http://schemas.microsoft.com/office/drawing/2014/main" xmlns="" id="{00000000-0008-0000-0900-000002000000}"/>
            </a:ext>
          </a:extLst>
        </xdr:cNvPr>
        <xdr:cNvSpPr txBox="1">
          <a:spLocks noChangeArrowheads="1"/>
        </xdr:cNvSpPr>
      </xdr:nvSpPr>
      <xdr:spPr bwMode="auto">
        <a:xfrm>
          <a:off x="2790825" y="952500"/>
          <a:ext cx="0" cy="800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257366</xdr:rowOff>
    </xdr:to>
    <xdr:sp macro="" textlink="">
      <xdr:nvSpPr>
        <xdr:cNvPr id="3" name="Text Box 2">
          <a:extLst>
            <a:ext uri="{FF2B5EF4-FFF2-40B4-BE49-F238E27FC236}">
              <a16:creationId xmlns:a16="http://schemas.microsoft.com/office/drawing/2014/main" xmlns="" id="{00000000-0008-0000-0900-000003000000}"/>
            </a:ext>
          </a:extLst>
        </xdr:cNvPr>
        <xdr:cNvSpPr txBox="1">
          <a:spLocks noChangeArrowheads="1"/>
        </xdr:cNvSpPr>
      </xdr:nvSpPr>
      <xdr:spPr bwMode="auto">
        <a:xfrm>
          <a:off x="2790825" y="858462"/>
          <a:ext cx="0" cy="2466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257366</xdr:rowOff>
    </xdr:to>
    <xdr:sp macro="" textlink="">
      <xdr:nvSpPr>
        <xdr:cNvPr id="4" name="Text Box 3">
          <a:extLst>
            <a:ext uri="{FF2B5EF4-FFF2-40B4-BE49-F238E27FC236}">
              <a16:creationId xmlns:a16="http://schemas.microsoft.com/office/drawing/2014/main" xmlns="" id="{00000000-0008-0000-0900-000004000000}"/>
            </a:ext>
          </a:extLst>
        </xdr:cNvPr>
        <xdr:cNvSpPr txBox="1">
          <a:spLocks noChangeArrowheads="1"/>
        </xdr:cNvSpPr>
      </xdr:nvSpPr>
      <xdr:spPr bwMode="auto">
        <a:xfrm>
          <a:off x="2790825" y="858462"/>
          <a:ext cx="0" cy="2466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257366</xdr:rowOff>
    </xdr:to>
    <xdr:sp macro="" textlink="">
      <xdr:nvSpPr>
        <xdr:cNvPr id="5" name="Text Box 4">
          <a:extLst>
            <a:ext uri="{FF2B5EF4-FFF2-40B4-BE49-F238E27FC236}">
              <a16:creationId xmlns:a16="http://schemas.microsoft.com/office/drawing/2014/main" xmlns="" id="{00000000-0008-0000-0900-000005000000}"/>
            </a:ext>
          </a:extLst>
        </xdr:cNvPr>
        <xdr:cNvSpPr txBox="1">
          <a:spLocks noChangeArrowheads="1"/>
        </xdr:cNvSpPr>
      </xdr:nvSpPr>
      <xdr:spPr bwMode="auto">
        <a:xfrm>
          <a:off x="2790825" y="858462"/>
          <a:ext cx="0" cy="2466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257366</xdr:rowOff>
    </xdr:to>
    <xdr:sp macro="" textlink="">
      <xdr:nvSpPr>
        <xdr:cNvPr id="6" name="Text Box 5">
          <a:extLst>
            <a:ext uri="{FF2B5EF4-FFF2-40B4-BE49-F238E27FC236}">
              <a16:creationId xmlns:a16="http://schemas.microsoft.com/office/drawing/2014/main" xmlns="" id="{00000000-0008-0000-0900-000006000000}"/>
            </a:ext>
          </a:extLst>
        </xdr:cNvPr>
        <xdr:cNvSpPr txBox="1">
          <a:spLocks noChangeArrowheads="1"/>
        </xdr:cNvSpPr>
      </xdr:nvSpPr>
      <xdr:spPr bwMode="auto">
        <a:xfrm>
          <a:off x="2790825" y="858462"/>
          <a:ext cx="0" cy="2466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257366</xdr:rowOff>
    </xdr:to>
    <xdr:sp macro="" textlink="">
      <xdr:nvSpPr>
        <xdr:cNvPr id="7" name="Text Box 6">
          <a:extLst>
            <a:ext uri="{FF2B5EF4-FFF2-40B4-BE49-F238E27FC236}">
              <a16:creationId xmlns:a16="http://schemas.microsoft.com/office/drawing/2014/main" xmlns="" id="{00000000-0008-0000-0900-000007000000}"/>
            </a:ext>
          </a:extLst>
        </xdr:cNvPr>
        <xdr:cNvSpPr txBox="1">
          <a:spLocks noChangeArrowheads="1"/>
        </xdr:cNvSpPr>
      </xdr:nvSpPr>
      <xdr:spPr bwMode="auto">
        <a:xfrm>
          <a:off x="2790825" y="858462"/>
          <a:ext cx="0" cy="2466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257366</xdr:rowOff>
    </xdr:to>
    <xdr:sp macro="" textlink="">
      <xdr:nvSpPr>
        <xdr:cNvPr id="8" name="Text Box 7">
          <a:extLst>
            <a:ext uri="{FF2B5EF4-FFF2-40B4-BE49-F238E27FC236}">
              <a16:creationId xmlns:a16="http://schemas.microsoft.com/office/drawing/2014/main" xmlns="" id="{00000000-0008-0000-0900-000008000000}"/>
            </a:ext>
          </a:extLst>
        </xdr:cNvPr>
        <xdr:cNvSpPr txBox="1">
          <a:spLocks noChangeArrowheads="1"/>
        </xdr:cNvSpPr>
      </xdr:nvSpPr>
      <xdr:spPr bwMode="auto">
        <a:xfrm>
          <a:off x="2790825" y="858462"/>
          <a:ext cx="0" cy="2466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257366</xdr:rowOff>
    </xdr:to>
    <xdr:sp macro="" textlink="">
      <xdr:nvSpPr>
        <xdr:cNvPr id="9" name="Text Box 8">
          <a:extLst>
            <a:ext uri="{FF2B5EF4-FFF2-40B4-BE49-F238E27FC236}">
              <a16:creationId xmlns:a16="http://schemas.microsoft.com/office/drawing/2014/main" xmlns="" id="{00000000-0008-0000-0900-000009000000}"/>
            </a:ext>
          </a:extLst>
        </xdr:cNvPr>
        <xdr:cNvSpPr txBox="1">
          <a:spLocks noChangeArrowheads="1"/>
        </xdr:cNvSpPr>
      </xdr:nvSpPr>
      <xdr:spPr bwMode="auto">
        <a:xfrm>
          <a:off x="2790825" y="858462"/>
          <a:ext cx="0" cy="2466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257366</xdr:rowOff>
    </xdr:to>
    <xdr:sp macro="" textlink="">
      <xdr:nvSpPr>
        <xdr:cNvPr id="10" name="Text Box 9">
          <a:extLst>
            <a:ext uri="{FF2B5EF4-FFF2-40B4-BE49-F238E27FC236}">
              <a16:creationId xmlns:a16="http://schemas.microsoft.com/office/drawing/2014/main" xmlns="" id="{00000000-0008-0000-0900-00000A000000}"/>
            </a:ext>
          </a:extLst>
        </xdr:cNvPr>
        <xdr:cNvSpPr txBox="1">
          <a:spLocks noChangeArrowheads="1"/>
        </xdr:cNvSpPr>
      </xdr:nvSpPr>
      <xdr:spPr bwMode="auto">
        <a:xfrm>
          <a:off x="2790825" y="858462"/>
          <a:ext cx="0" cy="2466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257366</xdr:rowOff>
    </xdr:to>
    <xdr:sp macro="" textlink="">
      <xdr:nvSpPr>
        <xdr:cNvPr id="11" name="Text Box 10">
          <a:extLst>
            <a:ext uri="{FF2B5EF4-FFF2-40B4-BE49-F238E27FC236}">
              <a16:creationId xmlns:a16="http://schemas.microsoft.com/office/drawing/2014/main" xmlns="" id="{00000000-0008-0000-0900-00000B000000}"/>
            </a:ext>
          </a:extLst>
        </xdr:cNvPr>
        <xdr:cNvSpPr txBox="1">
          <a:spLocks noChangeArrowheads="1"/>
        </xdr:cNvSpPr>
      </xdr:nvSpPr>
      <xdr:spPr bwMode="auto">
        <a:xfrm>
          <a:off x="2790825" y="858462"/>
          <a:ext cx="0" cy="2466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257366</xdr:rowOff>
    </xdr:to>
    <xdr:sp macro="" textlink="">
      <xdr:nvSpPr>
        <xdr:cNvPr id="12" name="Text Box 11">
          <a:extLst>
            <a:ext uri="{FF2B5EF4-FFF2-40B4-BE49-F238E27FC236}">
              <a16:creationId xmlns:a16="http://schemas.microsoft.com/office/drawing/2014/main" xmlns="" id="{00000000-0008-0000-0900-00000C000000}"/>
            </a:ext>
          </a:extLst>
        </xdr:cNvPr>
        <xdr:cNvSpPr txBox="1">
          <a:spLocks noChangeArrowheads="1"/>
        </xdr:cNvSpPr>
      </xdr:nvSpPr>
      <xdr:spPr bwMode="auto">
        <a:xfrm>
          <a:off x="2790825" y="858462"/>
          <a:ext cx="0" cy="2466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104775</xdr:rowOff>
    </xdr:from>
    <xdr:to>
      <xdr:col>1</xdr:col>
      <xdr:colOff>0</xdr:colOff>
      <xdr:row>5</xdr:row>
      <xdr:rowOff>110950</xdr:rowOff>
    </xdr:to>
    <xdr:sp macro="" textlink="">
      <xdr:nvSpPr>
        <xdr:cNvPr id="13" name="Text Box 1">
          <a:extLst>
            <a:ext uri="{FF2B5EF4-FFF2-40B4-BE49-F238E27FC236}">
              <a16:creationId xmlns:a16="http://schemas.microsoft.com/office/drawing/2014/main" xmlns="" id="{00000000-0008-0000-0900-00000D000000}"/>
            </a:ext>
          </a:extLst>
        </xdr:cNvPr>
        <xdr:cNvSpPr txBox="1">
          <a:spLocks noChangeArrowheads="1"/>
        </xdr:cNvSpPr>
      </xdr:nvSpPr>
      <xdr:spPr bwMode="auto">
        <a:xfrm>
          <a:off x="2790825" y="952500"/>
          <a:ext cx="0" cy="911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257366</xdr:rowOff>
    </xdr:to>
    <xdr:sp macro="" textlink="">
      <xdr:nvSpPr>
        <xdr:cNvPr id="14" name="Text Box 2">
          <a:extLst>
            <a:ext uri="{FF2B5EF4-FFF2-40B4-BE49-F238E27FC236}">
              <a16:creationId xmlns:a16="http://schemas.microsoft.com/office/drawing/2014/main" xmlns="" id="{00000000-0008-0000-0900-00000E000000}"/>
            </a:ext>
          </a:extLst>
        </xdr:cNvPr>
        <xdr:cNvSpPr txBox="1">
          <a:spLocks noChangeArrowheads="1"/>
        </xdr:cNvSpPr>
      </xdr:nvSpPr>
      <xdr:spPr bwMode="auto">
        <a:xfrm>
          <a:off x="2790825" y="858462"/>
          <a:ext cx="0" cy="2466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257366</xdr:rowOff>
    </xdr:to>
    <xdr:sp macro="" textlink="">
      <xdr:nvSpPr>
        <xdr:cNvPr id="15" name="Text Box 3">
          <a:extLst>
            <a:ext uri="{FF2B5EF4-FFF2-40B4-BE49-F238E27FC236}">
              <a16:creationId xmlns:a16="http://schemas.microsoft.com/office/drawing/2014/main" xmlns="" id="{00000000-0008-0000-0900-00000F000000}"/>
            </a:ext>
          </a:extLst>
        </xdr:cNvPr>
        <xdr:cNvSpPr txBox="1">
          <a:spLocks noChangeArrowheads="1"/>
        </xdr:cNvSpPr>
      </xdr:nvSpPr>
      <xdr:spPr bwMode="auto">
        <a:xfrm>
          <a:off x="2790825" y="858462"/>
          <a:ext cx="0" cy="2466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257366</xdr:rowOff>
    </xdr:to>
    <xdr:sp macro="" textlink="">
      <xdr:nvSpPr>
        <xdr:cNvPr id="16" name="Text Box 4">
          <a:extLst>
            <a:ext uri="{FF2B5EF4-FFF2-40B4-BE49-F238E27FC236}">
              <a16:creationId xmlns:a16="http://schemas.microsoft.com/office/drawing/2014/main" xmlns="" id="{00000000-0008-0000-0900-000010000000}"/>
            </a:ext>
          </a:extLst>
        </xdr:cNvPr>
        <xdr:cNvSpPr txBox="1">
          <a:spLocks noChangeArrowheads="1"/>
        </xdr:cNvSpPr>
      </xdr:nvSpPr>
      <xdr:spPr bwMode="auto">
        <a:xfrm>
          <a:off x="2790825" y="858462"/>
          <a:ext cx="0" cy="2466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257366</xdr:rowOff>
    </xdr:to>
    <xdr:sp macro="" textlink="">
      <xdr:nvSpPr>
        <xdr:cNvPr id="17" name="Text Box 5">
          <a:extLst>
            <a:ext uri="{FF2B5EF4-FFF2-40B4-BE49-F238E27FC236}">
              <a16:creationId xmlns:a16="http://schemas.microsoft.com/office/drawing/2014/main" xmlns="" id="{00000000-0008-0000-0900-000011000000}"/>
            </a:ext>
          </a:extLst>
        </xdr:cNvPr>
        <xdr:cNvSpPr txBox="1">
          <a:spLocks noChangeArrowheads="1"/>
        </xdr:cNvSpPr>
      </xdr:nvSpPr>
      <xdr:spPr bwMode="auto">
        <a:xfrm>
          <a:off x="2790825" y="858462"/>
          <a:ext cx="0" cy="2466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257366</xdr:rowOff>
    </xdr:to>
    <xdr:sp macro="" textlink="">
      <xdr:nvSpPr>
        <xdr:cNvPr id="18" name="Text Box 6">
          <a:extLst>
            <a:ext uri="{FF2B5EF4-FFF2-40B4-BE49-F238E27FC236}">
              <a16:creationId xmlns:a16="http://schemas.microsoft.com/office/drawing/2014/main" xmlns="" id="{00000000-0008-0000-0900-000012000000}"/>
            </a:ext>
          </a:extLst>
        </xdr:cNvPr>
        <xdr:cNvSpPr txBox="1">
          <a:spLocks noChangeArrowheads="1"/>
        </xdr:cNvSpPr>
      </xdr:nvSpPr>
      <xdr:spPr bwMode="auto">
        <a:xfrm>
          <a:off x="2790825" y="858462"/>
          <a:ext cx="0" cy="2466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257366</xdr:rowOff>
    </xdr:to>
    <xdr:sp macro="" textlink="">
      <xdr:nvSpPr>
        <xdr:cNvPr id="19" name="Text Box 7">
          <a:extLst>
            <a:ext uri="{FF2B5EF4-FFF2-40B4-BE49-F238E27FC236}">
              <a16:creationId xmlns:a16="http://schemas.microsoft.com/office/drawing/2014/main" xmlns="" id="{00000000-0008-0000-0900-000013000000}"/>
            </a:ext>
          </a:extLst>
        </xdr:cNvPr>
        <xdr:cNvSpPr txBox="1">
          <a:spLocks noChangeArrowheads="1"/>
        </xdr:cNvSpPr>
      </xdr:nvSpPr>
      <xdr:spPr bwMode="auto">
        <a:xfrm>
          <a:off x="2790825" y="858462"/>
          <a:ext cx="0" cy="2466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257366</xdr:rowOff>
    </xdr:to>
    <xdr:sp macro="" textlink="">
      <xdr:nvSpPr>
        <xdr:cNvPr id="20" name="Text Box 8">
          <a:extLst>
            <a:ext uri="{FF2B5EF4-FFF2-40B4-BE49-F238E27FC236}">
              <a16:creationId xmlns:a16="http://schemas.microsoft.com/office/drawing/2014/main" xmlns="" id="{00000000-0008-0000-0900-000014000000}"/>
            </a:ext>
          </a:extLst>
        </xdr:cNvPr>
        <xdr:cNvSpPr txBox="1">
          <a:spLocks noChangeArrowheads="1"/>
        </xdr:cNvSpPr>
      </xdr:nvSpPr>
      <xdr:spPr bwMode="auto">
        <a:xfrm>
          <a:off x="2790825" y="858462"/>
          <a:ext cx="0" cy="2466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257366</xdr:rowOff>
    </xdr:to>
    <xdr:sp macro="" textlink="">
      <xdr:nvSpPr>
        <xdr:cNvPr id="21" name="Text Box 9">
          <a:extLst>
            <a:ext uri="{FF2B5EF4-FFF2-40B4-BE49-F238E27FC236}">
              <a16:creationId xmlns:a16="http://schemas.microsoft.com/office/drawing/2014/main" xmlns="" id="{00000000-0008-0000-0900-000015000000}"/>
            </a:ext>
          </a:extLst>
        </xdr:cNvPr>
        <xdr:cNvSpPr txBox="1">
          <a:spLocks noChangeArrowheads="1"/>
        </xdr:cNvSpPr>
      </xdr:nvSpPr>
      <xdr:spPr bwMode="auto">
        <a:xfrm>
          <a:off x="2790825" y="858462"/>
          <a:ext cx="0" cy="2466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257366</xdr:rowOff>
    </xdr:to>
    <xdr:sp macro="" textlink="">
      <xdr:nvSpPr>
        <xdr:cNvPr id="22" name="Text Box 10">
          <a:extLst>
            <a:ext uri="{FF2B5EF4-FFF2-40B4-BE49-F238E27FC236}">
              <a16:creationId xmlns:a16="http://schemas.microsoft.com/office/drawing/2014/main" xmlns="" id="{00000000-0008-0000-0900-000016000000}"/>
            </a:ext>
          </a:extLst>
        </xdr:cNvPr>
        <xdr:cNvSpPr txBox="1">
          <a:spLocks noChangeArrowheads="1"/>
        </xdr:cNvSpPr>
      </xdr:nvSpPr>
      <xdr:spPr bwMode="auto">
        <a:xfrm>
          <a:off x="2790825" y="858462"/>
          <a:ext cx="0" cy="2466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257366</xdr:rowOff>
    </xdr:to>
    <xdr:sp macro="" textlink="">
      <xdr:nvSpPr>
        <xdr:cNvPr id="23" name="Text Box 11">
          <a:extLst>
            <a:ext uri="{FF2B5EF4-FFF2-40B4-BE49-F238E27FC236}">
              <a16:creationId xmlns:a16="http://schemas.microsoft.com/office/drawing/2014/main" xmlns="" id="{00000000-0008-0000-0900-000017000000}"/>
            </a:ext>
          </a:extLst>
        </xdr:cNvPr>
        <xdr:cNvSpPr txBox="1">
          <a:spLocks noChangeArrowheads="1"/>
        </xdr:cNvSpPr>
      </xdr:nvSpPr>
      <xdr:spPr bwMode="auto">
        <a:xfrm>
          <a:off x="2790825" y="858462"/>
          <a:ext cx="0" cy="2466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0</xdr:rowOff>
    </xdr:from>
    <xdr:to>
      <xdr:col>8</xdr:col>
      <xdr:colOff>0</xdr:colOff>
      <xdr:row>3</xdr:row>
      <xdr:rowOff>0</xdr:rowOff>
    </xdr:to>
    <xdr:sp macro="" textlink="">
      <xdr:nvSpPr>
        <xdr:cNvPr id="24" name="Text Box 1">
          <a:extLst>
            <a:ext uri="{FF2B5EF4-FFF2-40B4-BE49-F238E27FC236}">
              <a16:creationId xmlns:a16="http://schemas.microsoft.com/office/drawing/2014/main" xmlns="" id="{00000000-0008-0000-0900-000018000000}"/>
            </a:ext>
          </a:extLst>
        </xdr:cNvPr>
        <xdr:cNvSpPr txBox="1">
          <a:spLocks noChangeArrowheads="1"/>
        </xdr:cNvSpPr>
      </xdr:nvSpPr>
      <xdr:spPr bwMode="auto">
        <a:xfrm>
          <a:off x="7686675"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dist" rtl="0">
            <a:lnSpc>
              <a:spcPts val="1200"/>
            </a:lnSpc>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0</xdr:rowOff>
    </xdr:from>
    <xdr:to>
      <xdr:col>8</xdr:col>
      <xdr:colOff>0</xdr:colOff>
      <xdr:row>3</xdr:row>
      <xdr:rowOff>0</xdr:rowOff>
    </xdr:to>
    <xdr:sp macro="" textlink="">
      <xdr:nvSpPr>
        <xdr:cNvPr id="25" name="Text Box 2">
          <a:extLst>
            <a:ext uri="{FF2B5EF4-FFF2-40B4-BE49-F238E27FC236}">
              <a16:creationId xmlns:a16="http://schemas.microsoft.com/office/drawing/2014/main" xmlns="" id="{00000000-0008-0000-0900-000019000000}"/>
            </a:ext>
          </a:extLst>
        </xdr:cNvPr>
        <xdr:cNvSpPr txBox="1">
          <a:spLocks noChangeArrowheads="1"/>
        </xdr:cNvSpPr>
      </xdr:nvSpPr>
      <xdr:spPr bwMode="auto">
        <a:xfrm>
          <a:off x="7686675"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0</xdr:rowOff>
    </xdr:from>
    <xdr:to>
      <xdr:col>8</xdr:col>
      <xdr:colOff>0</xdr:colOff>
      <xdr:row>3</xdr:row>
      <xdr:rowOff>0</xdr:rowOff>
    </xdr:to>
    <xdr:sp macro="" textlink="">
      <xdr:nvSpPr>
        <xdr:cNvPr id="26" name="Text Box 3">
          <a:extLst>
            <a:ext uri="{FF2B5EF4-FFF2-40B4-BE49-F238E27FC236}">
              <a16:creationId xmlns:a16="http://schemas.microsoft.com/office/drawing/2014/main" xmlns="" id="{00000000-0008-0000-0900-00001A000000}"/>
            </a:ext>
          </a:extLst>
        </xdr:cNvPr>
        <xdr:cNvSpPr txBox="1">
          <a:spLocks noChangeArrowheads="1"/>
        </xdr:cNvSpPr>
      </xdr:nvSpPr>
      <xdr:spPr bwMode="auto">
        <a:xfrm>
          <a:off x="7686675"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0</xdr:rowOff>
    </xdr:from>
    <xdr:to>
      <xdr:col>8</xdr:col>
      <xdr:colOff>0</xdr:colOff>
      <xdr:row>3</xdr:row>
      <xdr:rowOff>0</xdr:rowOff>
    </xdr:to>
    <xdr:sp macro="" textlink="">
      <xdr:nvSpPr>
        <xdr:cNvPr id="27" name="Text Box 4">
          <a:extLst>
            <a:ext uri="{FF2B5EF4-FFF2-40B4-BE49-F238E27FC236}">
              <a16:creationId xmlns:a16="http://schemas.microsoft.com/office/drawing/2014/main" xmlns="" id="{00000000-0008-0000-0900-00001B000000}"/>
            </a:ext>
          </a:extLst>
        </xdr:cNvPr>
        <xdr:cNvSpPr txBox="1">
          <a:spLocks noChangeArrowheads="1"/>
        </xdr:cNvSpPr>
      </xdr:nvSpPr>
      <xdr:spPr bwMode="auto">
        <a:xfrm>
          <a:off x="7686675"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0</xdr:rowOff>
    </xdr:from>
    <xdr:to>
      <xdr:col>8</xdr:col>
      <xdr:colOff>0</xdr:colOff>
      <xdr:row>3</xdr:row>
      <xdr:rowOff>0</xdr:rowOff>
    </xdr:to>
    <xdr:sp macro="" textlink="">
      <xdr:nvSpPr>
        <xdr:cNvPr id="28" name="Text Box 5">
          <a:extLst>
            <a:ext uri="{FF2B5EF4-FFF2-40B4-BE49-F238E27FC236}">
              <a16:creationId xmlns:a16="http://schemas.microsoft.com/office/drawing/2014/main" xmlns="" id="{00000000-0008-0000-0900-00001C000000}"/>
            </a:ext>
          </a:extLst>
        </xdr:cNvPr>
        <xdr:cNvSpPr txBox="1">
          <a:spLocks noChangeArrowheads="1"/>
        </xdr:cNvSpPr>
      </xdr:nvSpPr>
      <xdr:spPr bwMode="auto">
        <a:xfrm>
          <a:off x="7686675"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0</xdr:rowOff>
    </xdr:from>
    <xdr:to>
      <xdr:col>8</xdr:col>
      <xdr:colOff>0</xdr:colOff>
      <xdr:row>3</xdr:row>
      <xdr:rowOff>0</xdr:rowOff>
    </xdr:to>
    <xdr:sp macro="" textlink="">
      <xdr:nvSpPr>
        <xdr:cNvPr id="29" name="Text Box 6">
          <a:extLst>
            <a:ext uri="{FF2B5EF4-FFF2-40B4-BE49-F238E27FC236}">
              <a16:creationId xmlns:a16="http://schemas.microsoft.com/office/drawing/2014/main" xmlns="" id="{00000000-0008-0000-0900-00001D000000}"/>
            </a:ext>
          </a:extLst>
        </xdr:cNvPr>
        <xdr:cNvSpPr txBox="1">
          <a:spLocks noChangeArrowheads="1"/>
        </xdr:cNvSpPr>
      </xdr:nvSpPr>
      <xdr:spPr bwMode="auto">
        <a:xfrm>
          <a:off x="7686675"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0</xdr:rowOff>
    </xdr:from>
    <xdr:to>
      <xdr:col>8</xdr:col>
      <xdr:colOff>0</xdr:colOff>
      <xdr:row>3</xdr:row>
      <xdr:rowOff>0</xdr:rowOff>
    </xdr:to>
    <xdr:sp macro="" textlink="">
      <xdr:nvSpPr>
        <xdr:cNvPr id="30" name="Text Box 7">
          <a:extLst>
            <a:ext uri="{FF2B5EF4-FFF2-40B4-BE49-F238E27FC236}">
              <a16:creationId xmlns:a16="http://schemas.microsoft.com/office/drawing/2014/main" xmlns="" id="{00000000-0008-0000-0900-00001E000000}"/>
            </a:ext>
          </a:extLst>
        </xdr:cNvPr>
        <xdr:cNvSpPr txBox="1">
          <a:spLocks noChangeArrowheads="1"/>
        </xdr:cNvSpPr>
      </xdr:nvSpPr>
      <xdr:spPr bwMode="auto">
        <a:xfrm>
          <a:off x="7686675"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0</xdr:rowOff>
    </xdr:from>
    <xdr:to>
      <xdr:col>8</xdr:col>
      <xdr:colOff>0</xdr:colOff>
      <xdr:row>3</xdr:row>
      <xdr:rowOff>0</xdr:rowOff>
    </xdr:to>
    <xdr:sp macro="" textlink="">
      <xdr:nvSpPr>
        <xdr:cNvPr id="31" name="Text Box 9">
          <a:extLst>
            <a:ext uri="{FF2B5EF4-FFF2-40B4-BE49-F238E27FC236}">
              <a16:creationId xmlns:a16="http://schemas.microsoft.com/office/drawing/2014/main" xmlns="" id="{00000000-0008-0000-0900-00001F000000}"/>
            </a:ext>
          </a:extLst>
        </xdr:cNvPr>
        <xdr:cNvSpPr txBox="1">
          <a:spLocks noChangeArrowheads="1"/>
        </xdr:cNvSpPr>
      </xdr:nvSpPr>
      <xdr:spPr bwMode="auto">
        <a:xfrm>
          <a:off x="7686675"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0</xdr:rowOff>
    </xdr:from>
    <xdr:to>
      <xdr:col>8</xdr:col>
      <xdr:colOff>0</xdr:colOff>
      <xdr:row>3</xdr:row>
      <xdr:rowOff>0</xdr:rowOff>
    </xdr:to>
    <xdr:sp macro="" textlink="">
      <xdr:nvSpPr>
        <xdr:cNvPr id="32" name="Text Box 10">
          <a:extLst>
            <a:ext uri="{FF2B5EF4-FFF2-40B4-BE49-F238E27FC236}">
              <a16:creationId xmlns:a16="http://schemas.microsoft.com/office/drawing/2014/main" xmlns="" id="{00000000-0008-0000-0900-000020000000}"/>
            </a:ext>
          </a:extLst>
        </xdr:cNvPr>
        <xdr:cNvSpPr txBox="1">
          <a:spLocks noChangeArrowheads="1"/>
        </xdr:cNvSpPr>
      </xdr:nvSpPr>
      <xdr:spPr bwMode="auto">
        <a:xfrm>
          <a:off x="7686675" y="8477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xdr:row>
      <xdr:rowOff>10737</xdr:rowOff>
    </xdr:from>
    <xdr:to>
      <xdr:col>1</xdr:col>
      <xdr:colOff>0</xdr:colOff>
      <xdr:row>3</xdr:row>
      <xdr:rowOff>181184</xdr:rowOff>
    </xdr:to>
    <xdr:sp macro="" textlink="">
      <xdr:nvSpPr>
        <xdr:cNvPr id="2" name="Text Box 1">
          <a:extLst>
            <a:ext uri="{FF2B5EF4-FFF2-40B4-BE49-F238E27FC236}">
              <a16:creationId xmlns:a16="http://schemas.microsoft.com/office/drawing/2014/main" xmlns="" id="{00000000-0008-0000-0B00-000002000000}"/>
            </a:ext>
          </a:extLst>
        </xdr:cNvPr>
        <xdr:cNvSpPr txBox="1">
          <a:spLocks noChangeArrowheads="1"/>
        </xdr:cNvSpPr>
      </xdr:nvSpPr>
      <xdr:spPr bwMode="auto">
        <a:xfrm>
          <a:off x="1943100"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181184</xdr:rowOff>
    </xdr:to>
    <xdr:sp macro="" textlink="">
      <xdr:nvSpPr>
        <xdr:cNvPr id="3" name="Text Box 2">
          <a:extLst>
            <a:ext uri="{FF2B5EF4-FFF2-40B4-BE49-F238E27FC236}">
              <a16:creationId xmlns:a16="http://schemas.microsoft.com/office/drawing/2014/main" xmlns="" id="{00000000-0008-0000-0B00-000003000000}"/>
            </a:ext>
          </a:extLst>
        </xdr:cNvPr>
        <xdr:cNvSpPr txBox="1">
          <a:spLocks noChangeArrowheads="1"/>
        </xdr:cNvSpPr>
      </xdr:nvSpPr>
      <xdr:spPr bwMode="auto">
        <a:xfrm>
          <a:off x="1943100"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181184</xdr:rowOff>
    </xdr:to>
    <xdr:sp macro="" textlink="">
      <xdr:nvSpPr>
        <xdr:cNvPr id="4" name="Text Box 3">
          <a:extLst>
            <a:ext uri="{FF2B5EF4-FFF2-40B4-BE49-F238E27FC236}">
              <a16:creationId xmlns:a16="http://schemas.microsoft.com/office/drawing/2014/main" xmlns="" id="{00000000-0008-0000-0B00-000004000000}"/>
            </a:ext>
          </a:extLst>
        </xdr:cNvPr>
        <xdr:cNvSpPr txBox="1">
          <a:spLocks noChangeArrowheads="1"/>
        </xdr:cNvSpPr>
      </xdr:nvSpPr>
      <xdr:spPr bwMode="auto">
        <a:xfrm>
          <a:off x="1943100"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181184</xdr:rowOff>
    </xdr:to>
    <xdr:sp macro="" textlink="">
      <xdr:nvSpPr>
        <xdr:cNvPr id="5" name="Text Box 4">
          <a:extLst>
            <a:ext uri="{FF2B5EF4-FFF2-40B4-BE49-F238E27FC236}">
              <a16:creationId xmlns:a16="http://schemas.microsoft.com/office/drawing/2014/main" xmlns="" id="{00000000-0008-0000-0B00-000005000000}"/>
            </a:ext>
          </a:extLst>
        </xdr:cNvPr>
        <xdr:cNvSpPr txBox="1">
          <a:spLocks noChangeArrowheads="1"/>
        </xdr:cNvSpPr>
      </xdr:nvSpPr>
      <xdr:spPr bwMode="auto">
        <a:xfrm>
          <a:off x="1943100"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181184</xdr:rowOff>
    </xdr:to>
    <xdr:sp macro="" textlink="">
      <xdr:nvSpPr>
        <xdr:cNvPr id="6" name="Text Box 5">
          <a:extLst>
            <a:ext uri="{FF2B5EF4-FFF2-40B4-BE49-F238E27FC236}">
              <a16:creationId xmlns:a16="http://schemas.microsoft.com/office/drawing/2014/main" xmlns="" id="{00000000-0008-0000-0B00-000006000000}"/>
            </a:ext>
          </a:extLst>
        </xdr:cNvPr>
        <xdr:cNvSpPr txBox="1">
          <a:spLocks noChangeArrowheads="1"/>
        </xdr:cNvSpPr>
      </xdr:nvSpPr>
      <xdr:spPr bwMode="auto">
        <a:xfrm>
          <a:off x="1943100"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14</xdr:col>
      <xdr:colOff>0</xdr:colOff>
      <xdr:row>3</xdr:row>
      <xdr:rowOff>10737</xdr:rowOff>
    </xdr:from>
    <xdr:to>
      <xdr:col>14</xdr:col>
      <xdr:colOff>0</xdr:colOff>
      <xdr:row>3</xdr:row>
      <xdr:rowOff>181184</xdr:rowOff>
    </xdr:to>
    <xdr:sp macro="" textlink="">
      <xdr:nvSpPr>
        <xdr:cNvPr id="7" name="Text Box 6">
          <a:extLst>
            <a:ext uri="{FF2B5EF4-FFF2-40B4-BE49-F238E27FC236}">
              <a16:creationId xmlns:a16="http://schemas.microsoft.com/office/drawing/2014/main" xmlns="" id="{00000000-0008-0000-0B00-000007000000}"/>
            </a:ext>
          </a:extLst>
        </xdr:cNvPr>
        <xdr:cNvSpPr txBox="1">
          <a:spLocks noChangeArrowheads="1"/>
        </xdr:cNvSpPr>
      </xdr:nvSpPr>
      <xdr:spPr bwMode="auto">
        <a:xfrm>
          <a:off x="11477625"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181184</xdr:rowOff>
    </xdr:to>
    <xdr:sp macro="" textlink="">
      <xdr:nvSpPr>
        <xdr:cNvPr id="8" name="Text Box 7">
          <a:extLst>
            <a:ext uri="{FF2B5EF4-FFF2-40B4-BE49-F238E27FC236}">
              <a16:creationId xmlns:a16="http://schemas.microsoft.com/office/drawing/2014/main" xmlns="" id="{00000000-0008-0000-0B00-000008000000}"/>
            </a:ext>
          </a:extLst>
        </xdr:cNvPr>
        <xdr:cNvSpPr txBox="1">
          <a:spLocks noChangeArrowheads="1"/>
        </xdr:cNvSpPr>
      </xdr:nvSpPr>
      <xdr:spPr bwMode="auto">
        <a:xfrm>
          <a:off x="1943100"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181184</xdr:rowOff>
    </xdr:to>
    <xdr:sp macro="" textlink="">
      <xdr:nvSpPr>
        <xdr:cNvPr id="9" name="Text Box 8">
          <a:extLst>
            <a:ext uri="{FF2B5EF4-FFF2-40B4-BE49-F238E27FC236}">
              <a16:creationId xmlns:a16="http://schemas.microsoft.com/office/drawing/2014/main" xmlns="" id="{00000000-0008-0000-0B00-000009000000}"/>
            </a:ext>
          </a:extLst>
        </xdr:cNvPr>
        <xdr:cNvSpPr txBox="1">
          <a:spLocks noChangeArrowheads="1"/>
        </xdr:cNvSpPr>
      </xdr:nvSpPr>
      <xdr:spPr bwMode="auto">
        <a:xfrm>
          <a:off x="1943100"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181184</xdr:rowOff>
    </xdr:to>
    <xdr:sp macro="" textlink="">
      <xdr:nvSpPr>
        <xdr:cNvPr id="10" name="Text Box 10">
          <a:extLst>
            <a:ext uri="{FF2B5EF4-FFF2-40B4-BE49-F238E27FC236}">
              <a16:creationId xmlns:a16="http://schemas.microsoft.com/office/drawing/2014/main" xmlns="" id="{00000000-0008-0000-0B00-00000A000000}"/>
            </a:ext>
          </a:extLst>
        </xdr:cNvPr>
        <xdr:cNvSpPr txBox="1">
          <a:spLocks noChangeArrowheads="1"/>
        </xdr:cNvSpPr>
      </xdr:nvSpPr>
      <xdr:spPr bwMode="auto">
        <a:xfrm>
          <a:off x="1943100"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181184</xdr:rowOff>
    </xdr:to>
    <xdr:sp macro="" textlink="">
      <xdr:nvSpPr>
        <xdr:cNvPr id="11" name="Text Box 11">
          <a:extLst>
            <a:ext uri="{FF2B5EF4-FFF2-40B4-BE49-F238E27FC236}">
              <a16:creationId xmlns:a16="http://schemas.microsoft.com/office/drawing/2014/main" xmlns="" id="{00000000-0008-0000-0B00-00000B000000}"/>
            </a:ext>
          </a:extLst>
        </xdr:cNvPr>
        <xdr:cNvSpPr txBox="1">
          <a:spLocks noChangeArrowheads="1"/>
        </xdr:cNvSpPr>
      </xdr:nvSpPr>
      <xdr:spPr bwMode="auto">
        <a:xfrm>
          <a:off x="1943100"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2</xdr:col>
      <xdr:colOff>0</xdr:colOff>
      <xdr:row>3</xdr:row>
      <xdr:rowOff>10737</xdr:rowOff>
    </xdr:from>
    <xdr:to>
      <xdr:col>2</xdr:col>
      <xdr:colOff>0</xdr:colOff>
      <xdr:row>3</xdr:row>
      <xdr:rowOff>181184</xdr:rowOff>
    </xdr:to>
    <xdr:sp macro="" textlink="">
      <xdr:nvSpPr>
        <xdr:cNvPr id="12" name="Text Box 12">
          <a:extLst>
            <a:ext uri="{FF2B5EF4-FFF2-40B4-BE49-F238E27FC236}">
              <a16:creationId xmlns:a16="http://schemas.microsoft.com/office/drawing/2014/main" xmlns="" id="{00000000-0008-0000-0B00-00000C000000}"/>
            </a:ext>
          </a:extLst>
        </xdr:cNvPr>
        <xdr:cNvSpPr txBox="1">
          <a:spLocks noChangeArrowheads="1"/>
        </xdr:cNvSpPr>
      </xdr:nvSpPr>
      <xdr:spPr bwMode="auto">
        <a:xfrm>
          <a:off x="2676525"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5</xdr:col>
      <xdr:colOff>0</xdr:colOff>
      <xdr:row>3</xdr:row>
      <xdr:rowOff>10737</xdr:rowOff>
    </xdr:from>
    <xdr:to>
      <xdr:col>5</xdr:col>
      <xdr:colOff>0</xdr:colOff>
      <xdr:row>3</xdr:row>
      <xdr:rowOff>181184</xdr:rowOff>
    </xdr:to>
    <xdr:sp macro="" textlink="">
      <xdr:nvSpPr>
        <xdr:cNvPr id="13" name="Text Box 13">
          <a:extLst>
            <a:ext uri="{FF2B5EF4-FFF2-40B4-BE49-F238E27FC236}">
              <a16:creationId xmlns:a16="http://schemas.microsoft.com/office/drawing/2014/main" xmlns="" id="{00000000-0008-0000-0B00-00000D000000}"/>
            </a:ext>
          </a:extLst>
        </xdr:cNvPr>
        <xdr:cNvSpPr txBox="1">
          <a:spLocks noChangeArrowheads="1"/>
        </xdr:cNvSpPr>
      </xdr:nvSpPr>
      <xdr:spPr bwMode="auto">
        <a:xfrm>
          <a:off x="4876800"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10737</xdr:rowOff>
    </xdr:from>
    <xdr:to>
      <xdr:col>8</xdr:col>
      <xdr:colOff>0</xdr:colOff>
      <xdr:row>3</xdr:row>
      <xdr:rowOff>181184</xdr:rowOff>
    </xdr:to>
    <xdr:sp macro="" textlink="">
      <xdr:nvSpPr>
        <xdr:cNvPr id="14" name="Text Box 14">
          <a:extLst>
            <a:ext uri="{FF2B5EF4-FFF2-40B4-BE49-F238E27FC236}">
              <a16:creationId xmlns:a16="http://schemas.microsoft.com/office/drawing/2014/main" xmlns="" id="{00000000-0008-0000-0B00-00000E000000}"/>
            </a:ext>
          </a:extLst>
        </xdr:cNvPr>
        <xdr:cNvSpPr txBox="1">
          <a:spLocks noChangeArrowheads="1"/>
        </xdr:cNvSpPr>
      </xdr:nvSpPr>
      <xdr:spPr bwMode="auto">
        <a:xfrm>
          <a:off x="7077075"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11</xdr:col>
      <xdr:colOff>0</xdr:colOff>
      <xdr:row>3</xdr:row>
      <xdr:rowOff>10737</xdr:rowOff>
    </xdr:from>
    <xdr:to>
      <xdr:col>11</xdr:col>
      <xdr:colOff>0</xdr:colOff>
      <xdr:row>3</xdr:row>
      <xdr:rowOff>181184</xdr:rowOff>
    </xdr:to>
    <xdr:sp macro="" textlink="">
      <xdr:nvSpPr>
        <xdr:cNvPr id="15" name="Text Box 15">
          <a:extLst>
            <a:ext uri="{FF2B5EF4-FFF2-40B4-BE49-F238E27FC236}">
              <a16:creationId xmlns:a16="http://schemas.microsoft.com/office/drawing/2014/main" xmlns="" id="{00000000-0008-0000-0B00-00000F000000}"/>
            </a:ext>
          </a:extLst>
        </xdr:cNvPr>
        <xdr:cNvSpPr txBox="1">
          <a:spLocks noChangeArrowheads="1"/>
        </xdr:cNvSpPr>
      </xdr:nvSpPr>
      <xdr:spPr bwMode="auto">
        <a:xfrm>
          <a:off x="9277350"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5</xdr:col>
      <xdr:colOff>0</xdr:colOff>
      <xdr:row>3</xdr:row>
      <xdr:rowOff>10737</xdr:rowOff>
    </xdr:from>
    <xdr:to>
      <xdr:col>5</xdr:col>
      <xdr:colOff>0</xdr:colOff>
      <xdr:row>3</xdr:row>
      <xdr:rowOff>181184</xdr:rowOff>
    </xdr:to>
    <xdr:sp macro="" textlink="">
      <xdr:nvSpPr>
        <xdr:cNvPr id="16" name="Text Box 16">
          <a:extLst>
            <a:ext uri="{FF2B5EF4-FFF2-40B4-BE49-F238E27FC236}">
              <a16:creationId xmlns:a16="http://schemas.microsoft.com/office/drawing/2014/main" xmlns="" id="{00000000-0008-0000-0B00-000010000000}"/>
            </a:ext>
          </a:extLst>
        </xdr:cNvPr>
        <xdr:cNvSpPr txBox="1">
          <a:spLocks noChangeArrowheads="1"/>
        </xdr:cNvSpPr>
      </xdr:nvSpPr>
      <xdr:spPr bwMode="auto">
        <a:xfrm>
          <a:off x="4876800"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10737</xdr:rowOff>
    </xdr:from>
    <xdr:to>
      <xdr:col>8</xdr:col>
      <xdr:colOff>0</xdr:colOff>
      <xdr:row>3</xdr:row>
      <xdr:rowOff>181184</xdr:rowOff>
    </xdr:to>
    <xdr:sp macro="" textlink="">
      <xdr:nvSpPr>
        <xdr:cNvPr id="17" name="Text Box 17">
          <a:extLst>
            <a:ext uri="{FF2B5EF4-FFF2-40B4-BE49-F238E27FC236}">
              <a16:creationId xmlns:a16="http://schemas.microsoft.com/office/drawing/2014/main" xmlns="" id="{00000000-0008-0000-0B00-000011000000}"/>
            </a:ext>
          </a:extLst>
        </xdr:cNvPr>
        <xdr:cNvSpPr txBox="1">
          <a:spLocks noChangeArrowheads="1"/>
        </xdr:cNvSpPr>
      </xdr:nvSpPr>
      <xdr:spPr bwMode="auto">
        <a:xfrm>
          <a:off x="7077075"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11</xdr:col>
      <xdr:colOff>0</xdr:colOff>
      <xdr:row>3</xdr:row>
      <xdr:rowOff>10737</xdr:rowOff>
    </xdr:from>
    <xdr:to>
      <xdr:col>11</xdr:col>
      <xdr:colOff>0</xdr:colOff>
      <xdr:row>3</xdr:row>
      <xdr:rowOff>181184</xdr:rowOff>
    </xdr:to>
    <xdr:sp macro="" textlink="">
      <xdr:nvSpPr>
        <xdr:cNvPr id="18" name="Text Box 18">
          <a:extLst>
            <a:ext uri="{FF2B5EF4-FFF2-40B4-BE49-F238E27FC236}">
              <a16:creationId xmlns:a16="http://schemas.microsoft.com/office/drawing/2014/main" xmlns="" id="{00000000-0008-0000-0B00-000012000000}"/>
            </a:ext>
          </a:extLst>
        </xdr:cNvPr>
        <xdr:cNvSpPr txBox="1">
          <a:spLocks noChangeArrowheads="1"/>
        </xdr:cNvSpPr>
      </xdr:nvSpPr>
      <xdr:spPr bwMode="auto">
        <a:xfrm>
          <a:off x="9277350"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14</xdr:col>
      <xdr:colOff>0</xdr:colOff>
      <xdr:row>3</xdr:row>
      <xdr:rowOff>10737</xdr:rowOff>
    </xdr:from>
    <xdr:to>
      <xdr:col>14</xdr:col>
      <xdr:colOff>0</xdr:colOff>
      <xdr:row>3</xdr:row>
      <xdr:rowOff>181184</xdr:rowOff>
    </xdr:to>
    <xdr:sp macro="" textlink="">
      <xdr:nvSpPr>
        <xdr:cNvPr id="19" name="Text Box 19">
          <a:extLst>
            <a:ext uri="{FF2B5EF4-FFF2-40B4-BE49-F238E27FC236}">
              <a16:creationId xmlns:a16="http://schemas.microsoft.com/office/drawing/2014/main" xmlns="" id="{00000000-0008-0000-0B00-000013000000}"/>
            </a:ext>
          </a:extLst>
        </xdr:cNvPr>
        <xdr:cNvSpPr txBox="1">
          <a:spLocks noChangeArrowheads="1"/>
        </xdr:cNvSpPr>
      </xdr:nvSpPr>
      <xdr:spPr bwMode="auto">
        <a:xfrm>
          <a:off x="11477625"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181184</xdr:rowOff>
    </xdr:to>
    <xdr:sp macro="" textlink="">
      <xdr:nvSpPr>
        <xdr:cNvPr id="20" name="Text Box 1">
          <a:extLst>
            <a:ext uri="{FF2B5EF4-FFF2-40B4-BE49-F238E27FC236}">
              <a16:creationId xmlns:a16="http://schemas.microsoft.com/office/drawing/2014/main" xmlns="" id="{00000000-0008-0000-0B00-000014000000}"/>
            </a:ext>
          </a:extLst>
        </xdr:cNvPr>
        <xdr:cNvSpPr txBox="1">
          <a:spLocks noChangeArrowheads="1"/>
        </xdr:cNvSpPr>
      </xdr:nvSpPr>
      <xdr:spPr bwMode="auto">
        <a:xfrm>
          <a:off x="1943100"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181184</xdr:rowOff>
    </xdr:to>
    <xdr:sp macro="" textlink="">
      <xdr:nvSpPr>
        <xdr:cNvPr id="21" name="Text Box 2">
          <a:extLst>
            <a:ext uri="{FF2B5EF4-FFF2-40B4-BE49-F238E27FC236}">
              <a16:creationId xmlns:a16="http://schemas.microsoft.com/office/drawing/2014/main" xmlns="" id="{00000000-0008-0000-0B00-000015000000}"/>
            </a:ext>
          </a:extLst>
        </xdr:cNvPr>
        <xdr:cNvSpPr txBox="1">
          <a:spLocks noChangeArrowheads="1"/>
        </xdr:cNvSpPr>
      </xdr:nvSpPr>
      <xdr:spPr bwMode="auto">
        <a:xfrm>
          <a:off x="1943100"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181184</xdr:rowOff>
    </xdr:to>
    <xdr:sp macro="" textlink="">
      <xdr:nvSpPr>
        <xdr:cNvPr id="22" name="Text Box 3">
          <a:extLst>
            <a:ext uri="{FF2B5EF4-FFF2-40B4-BE49-F238E27FC236}">
              <a16:creationId xmlns:a16="http://schemas.microsoft.com/office/drawing/2014/main" xmlns="" id="{00000000-0008-0000-0B00-000016000000}"/>
            </a:ext>
          </a:extLst>
        </xdr:cNvPr>
        <xdr:cNvSpPr txBox="1">
          <a:spLocks noChangeArrowheads="1"/>
        </xdr:cNvSpPr>
      </xdr:nvSpPr>
      <xdr:spPr bwMode="auto">
        <a:xfrm>
          <a:off x="1943100"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181184</xdr:rowOff>
    </xdr:to>
    <xdr:sp macro="" textlink="">
      <xdr:nvSpPr>
        <xdr:cNvPr id="23" name="Text Box 4">
          <a:extLst>
            <a:ext uri="{FF2B5EF4-FFF2-40B4-BE49-F238E27FC236}">
              <a16:creationId xmlns:a16="http://schemas.microsoft.com/office/drawing/2014/main" xmlns="" id="{00000000-0008-0000-0B00-000017000000}"/>
            </a:ext>
          </a:extLst>
        </xdr:cNvPr>
        <xdr:cNvSpPr txBox="1">
          <a:spLocks noChangeArrowheads="1"/>
        </xdr:cNvSpPr>
      </xdr:nvSpPr>
      <xdr:spPr bwMode="auto">
        <a:xfrm>
          <a:off x="1943100"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181184</xdr:rowOff>
    </xdr:to>
    <xdr:sp macro="" textlink="">
      <xdr:nvSpPr>
        <xdr:cNvPr id="24" name="Text Box 5">
          <a:extLst>
            <a:ext uri="{FF2B5EF4-FFF2-40B4-BE49-F238E27FC236}">
              <a16:creationId xmlns:a16="http://schemas.microsoft.com/office/drawing/2014/main" xmlns="" id="{00000000-0008-0000-0B00-000018000000}"/>
            </a:ext>
          </a:extLst>
        </xdr:cNvPr>
        <xdr:cNvSpPr txBox="1">
          <a:spLocks noChangeArrowheads="1"/>
        </xdr:cNvSpPr>
      </xdr:nvSpPr>
      <xdr:spPr bwMode="auto">
        <a:xfrm>
          <a:off x="1943100"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14</xdr:col>
      <xdr:colOff>0</xdr:colOff>
      <xdr:row>3</xdr:row>
      <xdr:rowOff>10737</xdr:rowOff>
    </xdr:from>
    <xdr:to>
      <xdr:col>14</xdr:col>
      <xdr:colOff>0</xdr:colOff>
      <xdr:row>3</xdr:row>
      <xdr:rowOff>181184</xdr:rowOff>
    </xdr:to>
    <xdr:sp macro="" textlink="">
      <xdr:nvSpPr>
        <xdr:cNvPr id="25" name="Text Box 6">
          <a:extLst>
            <a:ext uri="{FF2B5EF4-FFF2-40B4-BE49-F238E27FC236}">
              <a16:creationId xmlns:a16="http://schemas.microsoft.com/office/drawing/2014/main" xmlns="" id="{00000000-0008-0000-0B00-000019000000}"/>
            </a:ext>
          </a:extLst>
        </xdr:cNvPr>
        <xdr:cNvSpPr txBox="1">
          <a:spLocks noChangeArrowheads="1"/>
        </xdr:cNvSpPr>
      </xdr:nvSpPr>
      <xdr:spPr bwMode="auto">
        <a:xfrm>
          <a:off x="11477625"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181184</xdr:rowOff>
    </xdr:to>
    <xdr:sp macro="" textlink="">
      <xdr:nvSpPr>
        <xdr:cNvPr id="26" name="Text Box 7">
          <a:extLst>
            <a:ext uri="{FF2B5EF4-FFF2-40B4-BE49-F238E27FC236}">
              <a16:creationId xmlns:a16="http://schemas.microsoft.com/office/drawing/2014/main" xmlns="" id="{00000000-0008-0000-0B00-00001A000000}"/>
            </a:ext>
          </a:extLst>
        </xdr:cNvPr>
        <xdr:cNvSpPr txBox="1">
          <a:spLocks noChangeArrowheads="1"/>
        </xdr:cNvSpPr>
      </xdr:nvSpPr>
      <xdr:spPr bwMode="auto">
        <a:xfrm>
          <a:off x="1943100"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181184</xdr:rowOff>
    </xdr:to>
    <xdr:sp macro="" textlink="">
      <xdr:nvSpPr>
        <xdr:cNvPr id="27" name="Text Box 8">
          <a:extLst>
            <a:ext uri="{FF2B5EF4-FFF2-40B4-BE49-F238E27FC236}">
              <a16:creationId xmlns:a16="http://schemas.microsoft.com/office/drawing/2014/main" xmlns="" id="{00000000-0008-0000-0B00-00001B000000}"/>
            </a:ext>
          </a:extLst>
        </xdr:cNvPr>
        <xdr:cNvSpPr txBox="1">
          <a:spLocks noChangeArrowheads="1"/>
        </xdr:cNvSpPr>
      </xdr:nvSpPr>
      <xdr:spPr bwMode="auto">
        <a:xfrm>
          <a:off x="1943100"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181184</xdr:rowOff>
    </xdr:to>
    <xdr:sp macro="" textlink="">
      <xdr:nvSpPr>
        <xdr:cNvPr id="28" name="Text Box 10">
          <a:extLst>
            <a:ext uri="{FF2B5EF4-FFF2-40B4-BE49-F238E27FC236}">
              <a16:creationId xmlns:a16="http://schemas.microsoft.com/office/drawing/2014/main" xmlns="" id="{00000000-0008-0000-0B00-00001C000000}"/>
            </a:ext>
          </a:extLst>
        </xdr:cNvPr>
        <xdr:cNvSpPr txBox="1">
          <a:spLocks noChangeArrowheads="1"/>
        </xdr:cNvSpPr>
      </xdr:nvSpPr>
      <xdr:spPr bwMode="auto">
        <a:xfrm>
          <a:off x="1943100"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10737</xdr:rowOff>
    </xdr:from>
    <xdr:to>
      <xdr:col>1</xdr:col>
      <xdr:colOff>0</xdr:colOff>
      <xdr:row>3</xdr:row>
      <xdr:rowOff>181184</xdr:rowOff>
    </xdr:to>
    <xdr:sp macro="" textlink="">
      <xdr:nvSpPr>
        <xdr:cNvPr id="29" name="Text Box 11">
          <a:extLst>
            <a:ext uri="{FF2B5EF4-FFF2-40B4-BE49-F238E27FC236}">
              <a16:creationId xmlns:a16="http://schemas.microsoft.com/office/drawing/2014/main" xmlns="" id="{00000000-0008-0000-0B00-00001D000000}"/>
            </a:ext>
          </a:extLst>
        </xdr:cNvPr>
        <xdr:cNvSpPr txBox="1">
          <a:spLocks noChangeArrowheads="1"/>
        </xdr:cNvSpPr>
      </xdr:nvSpPr>
      <xdr:spPr bwMode="auto">
        <a:xfrm>
          <a:off x="1943100"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2</xdr:col>
      <xdr:colOff>0</xdr:colOff>
      <xdr:row>3</xdr:row>
      <xdr:rowOff>10737</xdr:rowOff>
    </xdr:from>
    <xdr:to>
      <xdr:col>2</xdr:col>
      <xdr:colOff>0</xdr:colOff>
      <xdr:row>3</xdr:row>
      <xdr:rowOff>181184</xdr:rowOff>
    </xdr:to>
    <xdr:sp macro="" textlink="">
      <xdr:nvSpPr>
        <xdr:cNvPr id="30" name="Text Box 12">
          <a:extLst>
            <a:ext uri="{FF2B5EF4-FFF2-40B4-BE49-F238E27FC236}">
              <a16:creationId xmlns:a16="http://schemas.microsoft.com/office/drawing/2014/main" xmlns="" id="{00000000-0008-0000-0B00-00001E000000}"/>
            </a:ext>
          </a:extLst>
        </xdr:cNvPr>
        <xdr:cNvSpPr txBox="1">
          <a:spLocks noChangeArrowheads="1"/>
        </xdr:cNvSpPr>
      </xdr:nvSpPr>
      <xdr:spPr bwMode="auto">
        <a:xfrm>
          <a:off x="2676525"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5</xdr:col>
      <xdr:colOff>0</xdr:colOff>
      <xdr:row>3</xdr:row>
      <xdr:rowOff>10737</xdr:rowOff>
    </xdr:from>
    <xdr:to>
      <xdr:col>5</xdr:col>
      <xdr:colOff>0</xdr:colOff>
      <xdr:row>3</xdr:row>
      <xdr:rowOff>181184</xdr:rowOff>
    </xdr:to>
    <xdr:sp macro="" textlink="">
      <xdr:nvSpPr>
        <xdr:cNvPr id="31" name="Text Box 13">
          <a:extLst>
            <a:ext uri="{FF2B5EF4-FFF2-40B4-BE49-F238E27FC236}">
              <a16:creationId xmlns:a16="http://schemas.microsoft.com/office/drawing/2014/main" xmlns="" id="{00000000-0008-0000-0B00-00001F000000}"/>
            </a:ext>
          </a:extLst>
        </xdr:cNvPr>
        <xdr:cNvSpPr txBox="1">
          <a:spLocks noChangeArrowheads="1"/>
        </xdr:cNvSpPr>
      </xdr:nvSpPr>
      <xdr:spPr bwMode="auto">
        <a:xfrm>
          <a:off x="4876800"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10737</xdr:rowOff>
    </xdr:from>
    <xdr:to>
      <xdr:col>8</xdr:col>
      <xdr:colOff>0</xdr:colOff>
      <xdr:row>3</xdr:row>
      <xdr:rowOff>181184</xdr:rowOff>
    </xdr:to>
    <xdr:sp macro="" textlink="">
      <xdr:nvSpPr>
        <xdr:cNvPr id="32" name="Text Box 14">
          <a:extLst>
            <a:ext uri="{FF2B5EF4-FFF2-40B4-BE49-F238E27FC236}">
              <a16:creationId xmlns:a16="http://schemas.microsoft.com/office/drawing/2014/main" xmlns="" id="{00000000-0008-0000-0B00-000020000000}"/>
            </a:ext>
          </a:extLst>
        </xdr:cNvPr>
        <xdr:cNvSpPr txBox="1">
          <a:spLocks noChangeArrowheads="1"/>
        </xdr:cNvSpPr>
      </xdr:nvSpPr>
      <xdr:spPr bwMode="auto">
        <a:xfrm>
          <a:off x="7077075"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11</xdr:col>
      <xdr:colOff>0</xdr:colOff>
      <xdr:row>3</xdr:row>
      <xdr:rowOff>10737</xdr:rowOff>
    </xdr:from>
    <xdr:to>
      <xdr:col>11</xdr:col>
      <xdr:colOff>0</xdr:colOff>
      <xdr:row>3</xdr:row>
      <xdr:rowOff>181184</xdr:rowOff>
    </xdr:to>
    <xdr:sp macro="" textlink="">
      <xdr:nvSpPr>
        <xdr:cNvPr id="33" name="Text Box 15">
          <a:extLst>
            <a:ext uri="{FF2B5EF4-FFF2-40B4-BE49-F238E27FC236}">
              <a16:creationId xmlns:a16="http://schemas.microsoft.com/office/drawing/2014/main" xmlns="" id="{00000000-0008-0000-0B00-000021000000}"/>
            </a:ext>
          </a:extLst>
        </xdr:cNvPr>
        <xdr:cNvSpPr txBox="1">
          <a:spLocks noChangeArrowheads="1"/>
        </xdr:cNvSpPr>
      </xdr:nvSpPr>
      <xdr:spPr bwMode="auto">
        <a:xfrm>
          <a:off x="9277350"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5</xdr:col>
      <xdr:colOff>0</xdr:colOff>
      <xdr:row>3</xdr:row>
      <xdr:rowOff>10737</xdr:rowOff>
    </xdr:from>
    <xdr:to>
      <xdr:col>5</xdr:col>
      <xdr:colOff>0</xdr:colOff>
      <xdr:row>3</xdr:row>
      <xdr:rowOff>181184</xdr:rowOff>
    </xdr:to>
    <xdr:sp macro="" textlink="">
      <xdr:nvSpPr>
        <xdr:cNvPr id="34" name="Text Box 16">
          <a:extLst>
            <a:ext uri="{FF2B5EF4-FFF2-40B4-BE49-F238E27FC236}">
              <a16:creationId xmlns:a16="http://schemas.microsoft.com/office/drawing/2014/main" xmlns="" id="{00000000-0008-0000-0B00-000022000000}"/>
            </a:ext>
          </a:extLst>
        </xdr:cNvPr>
        <xdr:cNvSpPr txBox="1">
          <a:spLocks noChangeArrowheads="1"/>
        </xdr:cNvSpPr>
      </xdr:nvSpPr>
      <xdr:spPr bwMode="auto">
        <a:xfrm>
          <a:off x="4876800"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10737</xdr:rowOff>
    </xdr:from>
    <xdr:to>
      <xdr:col>8</xdr:col>
      <xdr:colOff>0</xdr:colOff>
      <xdr:row>3</xdr:row>
      <xdr:rowOff>181184</xdr:rowOff>
    </xdr:to>
    <xdr:sp macro="" textlink="">
      <xdr:nvSpPr>
        <xdr:cNvPr id="35" name="Text Box 17">
          <a:extLst>
            <a:ext uri="{FF2B5EF4-FFF2-40B4-BE49-F238E27FC236}">
              <a16:creationId xmlns:a16="http://schemas.microsoft.com/office/drawing/2014/main" xmlns="" id="{00000000-0008-0000-0B00-000023000000}"/>
            </a:ext>
          </a:extLst>
        </xdr:cNvPr>
        <xdr:cNvSpPr txBox="1">
          <a:spLocks noChangeArrowheads="1"/>
        </xdr:cNvSpPr>
      </xdr:nvSpPr>
      <xdr:spPr bwMode="auto">
        <a:xfrm>
          <a:off x="7077075"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11</xdr:col>
      <xdr:colOff>0</xdr:colOff>
      <xdr:row>3</xdr:row>
      <xdr:rowOff>10737</xdr:rowOff>
    </xdr:from>
    <xdr:to>
      <xdr:col>11</xdr:col>
      <xdr:colOff>0</xdr:colOff>
      <xdr:row>3</xdr:row>
      <xdr:rowOff>181184</xdr:rowOff>
    </xdr:to>
    <xdr:sp macro="" textlink="">
      <xdr:nvSpPr>
        <xdr:cNvPr id="36" name="Text Box 18">
          <a:extLst>
            <a:ext uri="{FF2B5EF4-FFF2-40B4-BE49-F238E27FC236}">
              <a16:creationId xmlns:a16="http://schemas.microsoft.com/office/drawing/2014/main" xmlns="" id="{00000000-0008-0000-0B00-000024000000}"/>
            </a:ext>
          </a:extLst>
        </xdr:cNvPr>
        <xdr:cNvSpPr txBox="1">
          <a:spLocks noChangeArrowheads="1"/>
        </xdr:cNvSpPr>
      </xdr:nvSpPr>
      <xdr:spPr bwMode="auto">
        <a:xfrm>
          <a:off x="9277350"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14</xdr:col>
      <xdr:colOff>0</xdr:colOff>
      <xdr:row>3</xdr:row>
      <xdr:rowOff>10737</xdr:rowOff>
    </xdr:from>
    <xdr:to>
      <xdr:col>14</xdr:col>
      <xdr:colOff>0</xdr:colOff>
      <xdr:row>3</xdr:row>
      <xdr:rowOff>181184</xdr:rowOff>
    </xdr:to>
    <xdr:sp macro="" textlink="">
      <xdr:nvSpPr>
        <xdr:cNvPr id="37" name="Text Box 19">
          <a:extLst>
            <a:ext uri="{FF2B5EF4-FFF2-40B4-BE49-F238E27FC236}">
              <a16:creationId xmlns:a16="http://schemas.microsoft.com/office/drawing/2014/main" xmlns="" id="{00000000-0008-0000-0B00-000025000000}"/>
            </a:ext>
          </a:extLst>
        </xdr:cNvPr>
        <xdr:cNvSpPr txBox="1">
          <a:spLocks noChangeArrowheads="1"/>
        </xdr:cNvSpPr>
      </xdr:nvSpPr>
      <xdr:spPr bwMode="auto">
        <a:xfrm>
          <a:off x="11477625" y="1068012"/>
          <a:ext cx="0" cy="170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3</xdr:row>
      <xdr:rowOff>19050</xdr:rowOff>
    </xdr:from>
    <xdr:to>
      <xdr:col>1</xdr:col>
      <xdr:colOff>0</xdr:colOff>
      <xdr:row>3</xdr:row>
      <xdr:rowOff>257175</xdr:rowOff>
    </xdr:to>
    <xdr:sp macro="" textlink="">
      <xdr:nvSpPr>
        <xdr:cNvPr id="2" name="Text Box 2">
          <a:extLst>
            <a:ext uri="{FF2B5EF4-FFF2-40B4-BE49-F238E27FC236}">
              <a16:creationId xmlns:a16="http://schemas.microsoft.com/office/drawing/2014/main" xmlns="" id="{00000000-0008-0000-0C00-000003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3" name="Text Box 3">
          <a:extLst>
            <a:ext uri="{FF2B5EF4-FFF2-40B4-BE49-F238E27FC236}">
              <a16:creationId xmlns:a16="http://schemas.microsoft.com/office/drawing/2014/main" xmlns="" id="{00000000-0008-0000-0C00-000004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4" name="Text Box 4">
          <a:extLst>
            <a:ext uri="{FF2B5EF4-FFF2-40B4-BE49-F238E27FC236}">
              <a16:creationId xmlns:a16="http://schemas.microsoft.com/office/drawing/2014/main" xmlns="" id="{00000000-0008-0000-0C00-000005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5" name="Text Box 5">
          <a:extLst>
            <a:ext uri="{FF2B5EF4-FFF2-40B4-BE49-F238E27FC236}">
              <a16:creationId xmlns:a16="http://schemas.microsoft.com/office/drawing/2014/main" xmlns="" id="{00000000-0008-0000-0C00-000006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6" name="Text Box 6">
          <a:extLst>
            <a:ext uri="{FF2B5EF4-FFF2-40B4-BE49-F238E27FC236}">
              <a16:creationId xmlns:a16="http://schemas.microsoft.com/office/drawing/2014/main" xmlns="" id="{00000000-0008-0000-0C00-000007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7" name="Text Box 7">
          <a:extLst>
            <a:ext uri="{FF2B5EF4-FFF2-40B4-BE49-F238E27FC236}">
              <a16:creationId xmlns:a16="http://schemas.microsoft.com/office/drawing/2014/main" xmlns="" id="{00000000-0008-0000-0C00-000008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8" name="Text Box 8">
          <a:extLst>
            <a:ext uri="{FF2B5EF4-FFF2-40B4-BE49-F238E27FC236}">
              <a16:creationId xmlns:a16="http://schemas.microsoft.com/office/drawing/2014/main" xmlns="" id="{00000000-0008-0000-0C00-000009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9" name="Text Box 9">
          <a:extLst>
            <a:ext uri="{FF2B5EF4-FFF2-40B4-BE49-F238E27FC236}">
              <a16:creationId xmlns:a16="http://schemas.microsoft.com/office/drawing/2014/main" xmlns="" id="{00000000-0008-0000-0C00-00000A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10" name="Text Box 10">
          <a:extLst>
            <a:ext uri="{FF2B5EF4-FFF2-40B4-BE49-F238E27FC236}">
              <a16:creationId xmlns:a16="http://schemas.microsoft.com/office/drawing/2014/main" xmlns="" id="{00000000-0008-0000-0C00-00000B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11" name="Text Box 11">
          <a:extLst>
            <a:ext uri="{FF2B5EF4-FFF2-40B4-BE49-F238E27FC236}">
              <a16:creationId xmlns:a16="http://schemas.microsoft.com/office/drawing/2014/main" xmlns="" id="{00000000-0008-0000-0C00-00000C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14</xdr:col>
      <xdr:colOff>0</xdr:colOff>
      <xdr:row>3</xdr:row>
      <xdr:rowOff>19050</xdr:rowOff>
    </xdr:from>
    <xdr:to>
      <xdr:col>14</xdr:col>
      <xdr:colOff>0</xdr:colOff>
      <xdr:row>3</xdr:row>
      <xdr:rowOff>257175</xdr:rowOff>
    </xdr:to>
    <xdr:sp macro="" textlink="">
      <xdr:nvSpPr>
        <xdr:cNvPr id="12" name="Text Box 12">
          <a:extLst>
            <a:ext uri="{FF2B5EF4-FFF2-40B4-BE49-F238E27FC236}">
              <a16:creationId xmlns:a16="http://schemas.microsoft.com/office/drawing/2014/main" xmlns="" id="{00000000-0008-0000-0C00-00000D000000}"/>
            </a:ext>
          </a:extLst>
        </xdr:cNvPr>
        <xdr:cNvSpPr txBox="1">
          <a:spLocks noChangeArrowheads="1"/>
        </xdr:cNvSpPr>
      </xdr:nvSpPr>
      <xdr:spPr bwMode="auto">
        <a:xfrm>
          <a:off x="1208722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14</xdr:col>
      <xdr:colOff>0</xdr:colOff>
      <xdr:row>3</xdr:row>
      <xdr:rowOff>19050</xdr:rowOff>
    </xdr:from>
    <xdr:to>
      <xdr:col>14</xdr:col>
      <xdr:colOff>0</xdr:colOff>
      <xdr:row>3</xdr:row>
      <xdr:rowOff>257175</xdr:rowOff>
    </xdr:to>
    <xdr:sp macro="" textlink="">
      <xdr:nvSpPr>
        <xdr:cNvPr id="13" name="Text Box 13">
          <a:extLst>
            <a:ext uri="{FF2B5EF4-FFF2-40B4-BE49-F238E27FC236}">
              <a16:creationId xmlns:a16="http://schemas.microsoft.com/office/drawing/2014/main" xmlns="" id="{00000000-0008-0000-0C00-00000E000000}"/>
            </a:ext>
          </a:extLst>
        </xdr:cNvPr>
        <xdr:cNvSpPr txBox="1">
          <a:spLocks noChangeArrowheads="1"/>
        </xdr:cNvSpPr>
      </xdr:nvSpPr>
      <xdr:spPr bwMode="auto">
        <a:xfrm>
          <a:off x="1208722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14" name="Text Box 14">
          <a:extLst>
            <a:ext uri="{FF2B5EF4-FFF2-40B4-BE49-F238E27FC236}">
              <a16:creationId xmlns:a16="http://schemas.microsoft.com/office/drawing/2014/main" xmlns="" id="{00000000-0008-0000-0C00-00000F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15" name="Text Box 15">
          <a:extLst>
            <a:ext uri="{FF2B5EF4-FFF2-40B4-BE49-F238E27FC236}">
              <a16:creationId xmlns:a16="http://schemas.microsoft.com/office/drawing/2014/main" xmlns="" id="{00000000-0008-0000-0C00-000010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16" name="Text Box 16">
          <a:extLst>
            <a:ext uri="{FF2B5EF4-FFF2-40B4-BE49-F238E27FC236}">
              <a16:creationId xmlns:a16="http://schemas.microsoft.com/office/drawing/2014/main" xmlns="" id="{00000000-0008-0000-0C00-000011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17" name="Text Box 17">
          <a:extLst>
            <a:ext uri="{FF2B5EF4-FFF2-40B4-BE49-F238E27FC236}">
              <a16:creationId xmlns:a16="http://schemas.microsoft.com/office/drawing/2014/main" xmlns="" id="{00000000-0008-0000-0C00-000012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18" name="Text Box 18">
          <a:extLst>
            <a:ext uri="{FF2B5EF4-FFF2-40B4-BE49-F238E27FC236}">
              <a16:creationId xmlns:a16="http://schemas.microsoft.com/office/drawing/2014/main" xmlns="" id="{00000000-0008-0000-0C00-000013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19" name="Text Box 19">
          <a:extLst>
            <a:ext uri="{FF2B5EF4-FFF2-40B4-BE49-F238E27FC236}">
              <a16:creationId xmlns:a16="http://schemas.microsoft.com/office/drawing/2014/main" xmlns="" id="{00000000-0008-0000-0C00-000014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2</xdr:col>
      <xdr:colOff>0</xdr:colOff>
      <xdr:row>3</xdr:row>
      <xdr:rowOff>19050</xdr:rowOff>
    </xdr:from>
    <xdr:to>
      <xdr:col>2</xdr:col>
      <xdr:colOff>0</xdr:colOff>
      <xdr:row>3</xdr:row>
      <xdr:rowOff>257175</xdr:rowOff>
    </xdr:to>
    <xdr:sp macro="" textlink="">
      <xdr:nvSpPr>
        <xdr:cNvPr id="20" name="Text Box 20">
          <a:extLst>
            <a:ext uri="{FF2B5EF4-FFF2-40B4-BE49-F238E27FC236}">
              <a16:creationId xmlns:a16="http://schemas.microsoft.com/office/drawing/2014/main" xmlns="" id="{00000000-0008-0000-0C00-000015000000}"/>
            </a:ext>
          </a:extLst>
        </xdr:cNvPr>
        <xdr:cNvSpPr txBox="1">
          <a:spLocks noChangeArrowheads="1"/>
        </xdr:cNvSpPr>
      </xdr:nvSpPr>
      <xdr:spPr bwMode="auto">
        <a:xfrm>
          <a:off x="328612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2</xdr:col>
      <xdr:colOff>0</xdr:colOff>
      <xdr:row>3</xdr:row>
      <xdr:rowOff>19050</xdr:rowOff>
    </xdr:from>
    <xdr:to>
      <xdr:col>2</xdr:col>
      <xdr:colOff>0</xdr:colOff>
      <xdr:row>3</xdr:row>
      <xdr:rowOff>257175</xdr:rowOff>
    </xdr:to>
    <xdr:sp macro="" textlink="">
      <xdr:nvSpPr>
        <xdr:cNvPr id="21" name="Text Box 21">
          <a:extLst>
            <a:ext uri="{FF2B5EF4-FFF2-40B4-BE49-F238E27FC236}">
              <a16:creationId xmlns:a16="http://schemas.microsoft.com/office/drawing/2014/main" xmlns="" id="{00000000-0008-0000-0C00-000016000000}"/>
            </a:ext>
          </a:extLst>
        </xdr:cNvPr>
        <xdr:cNvSpPr txBox="1">
          <a:spLocks noChangeArrowheads="1"/>
        </xdr:cNvSpPr>
      </xdr:nvSpPr>
      <xdr:spPr bwMode="auto">
        <a:xfrm>
          <a:off x="328612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5</xdr:col>
      <xdr:colOff>0</xdr:colOff>
      <xdr:row>3</xdr:row>
      <xdr:rowOff>19050</xdr:rowOff>
    </xdr:from>
    <xdr:to>
      <xdr:col>5</xdr:col>
      <xdr:colOff>0</xdr:colOff>
      <xdr:row>3</xdr:row>
      <xdr:rowOff>257175</xdr:rowOff>
    </xdr:to>
    <xdr:sp macro="" textlink="">
      <xdr:nvSpPr>
        <xdr:cNvPr id="22" name="Text Box 22">
          <a:extLst>
            <a:ext uri="{FF2B5EF4-FFF2-40B4-BE49-F238E27FC236}">
              <a16:creationId xmlns:a16="http://schemas.microsoft.com/office/drawing/2014/main" xmlns="" id="{00000000-0008-0000-0C00-000017000000}"/>
            </a:ext>
          </a:extLst>
        </xdr:cNvPr>
        <xdr:cNvSpPr txBox="1">
          <a:spLocks noChangeArrowheads="1"/>
        </xdr:cNvSpPr>
      </xdr:nvSpPr>
      <xdr:spPr bwMode="auto">
        <a:xfrm>
          <a:off x="54864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5</xdr:col>
      <xdr:colOff>0</xdr:colOff>
      <xdr:row>3</xdr:row>
      <xdr:rowOff>19050</xdr:rowOff>
    </xdr:from>
    <xdr:to>
      <xdr:col>5</xdr:col>
      <xdr:colOff>0</xdr:colOff>
      <xdr:row>3</xdr:row>
      <xdr:rowOff>257175</xdr:rowOff>
    </xdr:to>
    <xdr:sp macro="" textlink="">
      <xdr:nvSpPr>
        <xdr:cNvPr id="23" name="Text Box 23">
          <a:extLst>
            <a:ext uri="{FF2B5EF4-FFF2-40B4-BE49-F238E27FC236}">
              <a16:creationId xmlns:a16="http://schemas.microsoft.com/office/drawing/2014/main" xmlns="" id="{00000000-0008-0000-0C00-000018000000}"/>
            </a:ext>
          </a:extLst>
        </xdr:cNvPr>
        <xdr:cNvSpPr txBox="1">
          <a:spLocks noChangeArrowheads="1"/>
        </xdr:cNvSpPr>
      </xdr:nvSpPr>
      <xdr:spPr bwMode="auto">
        <a:xfrm>
          <a:off x="54864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19050</xdr:rowOff>
    </xdr:from>
    <xdr:to>
      <xdr:col>8</xdr:col>
      <xdr:colOff>0</xdr:colOff>
      <xdr:row>3</xdr:row>
      <xdr:rowOff>257175</xdr:rowOff>
    </xdr:to>
    <xdr:sp macro="" textlink="">
      <xdr:nvSpPr>
        <xdr:cNvPr id="24" name="Text Box 24">
          <a:extLst>
            <a:ext uri="{FF2B5EF4-FFF2-40B4-BE49-F238E27FC236}">
              <a16:creationId xmlns:a16="http://schemas.microsoft.com/office/drawing/2014/main" xmlns="" id="{00000000-0008-0000-0C00-000019000000}"/>
            </a:ext>
          </a:extLst>
        </xdr:cNvPr>
        <xdr:cNvSpPr txBox="1">
          <a:spLocks noChangeArrowheads="1"/>
        </xdr:cNvSpPr>
      </xdr:nvSpPr>
      <xdr:spPr bwMode="auto">
        <a:xfrm>
          <a:off x="768667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19050</xdr:rowOff>
    </xdr:from>
    <xdr:to>
      <xdr:col>8</xdr:col>
      <xdr:colOff>0</xdr:colOff>
      <xdr:row>3</xdr:row>
      <xdr:rowOff>257175</xdr:rowOff>
    </xdr:to>
    <xdr:sp macro="" textlink="">
      <xdr:nvSpPr>
        <xdr:cNvPr id="25" name="Text Box 25">
          <a:extLst>
            <a:ext uri="{FF2B5EF4-FFF2-40B4-BE49-F238E27FC236}">
              <a16:creationId xmlns:a16="http://schemas.microsoft.com/office/drawing/2014/main" xmlns="" id="{00000000-0008-0000-0C00-00001A000000}"/>
            </a:ext>
          </a:extLst>
        </xdr:cNvPr>
        <xdr:cNvSpPr txBox="1">
          <a:spLocks noChangeArrowheads="1"/>
        </xdr:cNvSpPr>
      </xdr:nvSpPr>
      <xdr:spPr bwMode="auto">
        <a:xfrm>
          <a:off x="768667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11</xdr:col>
      <xdr:colOff>0</xdr:colOff>
      <xdr:row>3</xdr:row>
      <xdr:rowOff>19050</xdr:rowOff>
    </xdr:from>
    <xdr:to>
      <xdr:col>11</xdr:col>
      <xdr:colOff>0</xdr:colOff>
      <xdr:row>3</xdr:row>
      <xdr:rowOff>257175</xdr:rowOff>
    </xdr:to>
    <xdr:sp macro="" textlink="">
      <xdr:nvSpPr>
        <xdr:cNvPr id="26" name="Text Box 26">
          <a:extLst>
            <a:ext uri="{FF2B5EF4-FFF2-40B4-BE49-F238E27FC236}">
              <a16:creationId xmlns:a16="http://schemas.microsoft.com/office/drawing/2014/main" xmlns="" id="{00000000-0008-0000-0C00-00001B000000}"/>
            </a:ext>
          </a:extLst>
        </xdr:cNvPr>
        <xdr:cNvSpPr txBox="1">
          <a:spLocks noChangeArrowheads="1"/>
        </xdr:cNvSpPr>
      </xdr:nvSpPr>
      <xdr:spPr bwMode="auto">
        <a:xfrm>
          <a:off x="988695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11</xdr:col>
      <xdr:colOff>0</xdr:colOff>
      <xdr:row>3</xdr:row>
      <xdr:rowOff>19050</xdr:rowOff>
    </xdr:from>
    <xdr:to>
      <xdr:col>11</xdr:col>
      <xdr:colOff>0</xdr:colOff>
      <xdr:row>3</xdr:row>
      <xdr:rowOff>257175</xdr:rowOff>
    </xdr:to>
    <xdr:sp macro="" textlink="">
      <xdr:nvSpPr>
        <xdr:cNvPr id="27" name="Text Box 27">
          <a:extLst>
            <a:ext uri="{FF2B5EF4-FFF2-40B4-BE49-F238E27FC236}">
              <a16:creationId xmlns:a16="http://schemas.microsoft.com/office/drawing/2014/main" xmlns="" id="{00000000-0008-0000-0C00-00001C000000}"/>
            </a:ext>
          </a:extLst>
        </xdr:cNvPr>
        <xdr:cNvSpPr txBox="1">
          <a:spLocks noChangeArrowheads="1"/>
        </xdr:cNvSpPr>
      </xdr:nvSpPr>
      <xdr:spPr bwMode="auto">
        <a:xfrm>
          <a:off x="988695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5</xdr:col>
      <xdr:colOff>0</xdr:colOff>
      <xdr:row>3</xdr:row>
      <xdr:rowOff>19050</xdr:rowOff>
    </xdr:from>
    <xdr:to>
      <xdr:col>5</xdr:col>
      <xdr:colOff>0</xdr:colOff>
      <xdr:row>3</xdr:row>
      <xdr:rowOff>257175</xdr:rowOff>
    </xdr:to>
    <xdr:sp macro="" textlink="">
      <xdr:nvSpPr>
        <xdr:cNvPr id="28" name="Text Box 28">
          <a:extLst>
            <a:ext uri="{FF2B5EF4-FFF2-40B4-BE49-F238E27FC236}">
              <a16:creationId xmlns:a16="http://schemas.microsoft.com/office/drawing/2014/main" xmlns="" id="{00000000-0008-0000-0C00-00001D000000}"/>
            </a:ext>
          </a:extLst>
        </xdr:cNvPr>
        <xdr:cNvSpPr txBox="1">
          <a:spLocks noChangeArrowheads="1"/>
        </xdr:cNvSpPr>
      </xdr:nvSpPr>
      <xdr:spPr bwMode="auto">
        <a:xfrm>
          <a:off x="54864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5</xdr:col>
      <xdr:colOff>0</xdr:colOff>
      <xdr:row>3</xdr:row>
      <xdr:rowOff>19050</xdr:rowOff>
    </xdr:from>
    <xdr:to>
      <xdr:col>5</xdr:col>
      <xdr:colOff>0</xdr:colOff>
      <xdr:row>3</xdr:row>
      <xdr:rowOff>257175</xdr:rowOff>
    </xdr:to>
    <xdr:sp macro="" textlink="">
      <xdr:nvSpPr>
        <xdr:cNvPr id="29" name="Text Box 29">
          <a:extLst>
            <a:ext uri="{FF2B5EF4-FFF2-40B4-BE49-F238E27FC236}">
              <a16:creationId xmlns:a16="http://schemas.microsoft.com/office/drawing/2014/main" xmlns="" id="{00000000-0008-0000-0C00-00001E000000}"/>
            </a:ext>
          </a:extLst>
        </xdr:cNvPr>
        <xdr:cNvSpPr txBox="1">
          <a:spLocks noChangeArrowheads="1"/>
        </xdr:cNvSpPr>
      </xdr:nvSpPr>
      <xdr:spPr bwMode="auto">
        <a:xfrm>
          <a:off x="54864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19050</xdr:rowOff>
    </xdr:from>
    <xdr:to>
      <xdr:col>8</xdr:col>
      <xdr:colOff>0</xdr:colOff>
      <xdr:row>3</xdr:row>
      <xdr:rowOff>257175</xdr:rowOff>
    </xdr:to>
    <xdr:sp macro="" textlink="">
      <xdr:nvSpPr>
        <xdr:cNvPr id="30" name="Text Box 30">
          <a:extLst>
            <a:ext uri="{FF2B5EF4-FFF2-40B4-BE49-F238E27FC236}">
              <a16:creationId xmlns:a16="http://schemas.microsoft.com/office/drawing/2014/main" xmlns="" id="{00000000-0008-0000-0C00-00001F000000}"/>
            </a:ext>
          </a:extLst>
        </xdr:cNvPr>
        <xdr:cNvSpPr txBox="1">
          <a:spLocks noChangeArrowheads="1"/>
        </xdr:cNvSpPr>
      </xdr:nvSpPr>
      <xdr:spPr bwMode="auto">
        <a:xfrm>
          <a:off x="768667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19050</xdr:rowOff>
    </xdr:from>
    <xdr:to>
      <xdr:col>8</xdr:col>
      <xdr:colOff>0</xdr:colOff>
      <xdr:row>3</xdr:row>
      <xdr:rowOff>257175</xdr:rowOff>
    </xdr:to>
    <xdr:sp macro="" textlink="">
      <xdr:nvSpPr>
        <xdr:cNvPr id="31" name="Text Box 31">
          <a:extLst>
            <a:ext uri="{FF2B5EF4-FFF2-40B4-BE49-F238E27FC236}">
              <a16:creationId xmlns:a16="http://schemas.microsoft.com/office/drawing/2014/main" xmlns="" id="{00000000-0008-0000-0C00-000020000000}"/>
            </a:ext>
          </a:extLst>
        </xdr:cNvPr>
        <xdr:cNvSpPr txBox="1">
          <a:spLocks noChangeArrowheads="1"/>
        </xdr:cNvSpPr>
      </xdr:nvSpPr>
      <xdr:spPr bwMode="auto">
        <a:xfrm>
          <a:off x="768667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11</xdr:col>
      <xdr:colOff>0</xdr:colOff>
      <xdr:row>3</xdr:row>
      <xdr:rowOff>19050</xdr:rowOff>
    </xdr:from>
    <xdr:to>
      <xdr:col>11</xdr:col>
      <xdr:colOff>0</xdr:colOff>
      <xdr:row>3</xdr:row>
      <xdr:rowOff>257175</xdr:rowOff>
    </xdr:to>
    <xdr:sp macro="" textlink="">
      <xdr:nvSpPr>
        <xdr:cNvPr id="32" name="Text Box 32">
          <a:extLst>
            <a:ext uri="{FF2B5EF4-FFF2-40B4-BE49-F238E27FC236}">
              <a16:creationId xmlns:a16="http://schemas.microsoft.com/office/drawing/2014/main" xmlns="" id="{00000000-0008-0000-0C00-000021000000}"/>
            </a:ext>
          </a:extLst>
        </xdr:cNvPr>
        <xdr:cNvSpPr txBox="1">
          <a:spLocks noChangeArrowheads="1"/>
        </xdr:cNvSpPr>
      </xdr:nvSpPr>
      <xdr:spPr bwMode="auto">
        <a:xfrm>
          <a:off x="988695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11</xdr:col>
      <xdr:colOff>0</xdr:colOff>
      <xdr:row>3</xdr:row>
      <xdr:rowOff>19050</xdr:rowOff>
    </xdr:from>
    <xdr:to>
      <xdr:col>11</xdr:col>
      <xdr:colOff>0</xdr:colOff>
      <xdr:row>3</xdr:row>
      <xdr:rowOff>257175</xdr:rowOff>
    </xdr:to>
    <xdr:sp macro="" textlink="">
      <xdr:nvSpPr>
        <xdr:cNvPr id="33" name="Text Box 33">
          <a:extLst>
            <a:ext uri="{FF2B5EF4-FFF2-40B4-BE49-F238E27FC236}">
              <a16:creationId xmlns:a16="http://schemas.microsoft.com/office/drawing/2014/main" xmlns="" id="{00000000-0008-0000-0C00-000022000000}"/>
            </a:ext>
          </a:extLst>
        </xdr:cNvPr>
        <xdr:cNvSpPr txBox="1">
          <a:spLocks noChangeArrowheads="1"/>
        </xdr:cNvSpPr>
      </xdr:nvSpPr>
      <xdr:spPr bwMode="auto">
        <a:xfrm>
          <a:off x="988695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14</xdr:col>
      <xdr:colOff>0</xdr:colOff>
      <xdr:row>3</xdr:row>
      <xdr:rowOff>19050</xdr:rowOff>
    </xdr:from>
    <xdr:to>
      <xdr:col>14</xdr:col>
      <xdr:colOff>0</xdr:colOff>
      <xdr:row>3</xdr:row>
      <xdr:rowOff>257175</xdr:rowOff>
    </xdr:to>
    <xdr:sp macro="" textlink="">
      <xdr:nvSpPr>
        <xdr:cNvPr id="34" name="Text Box 34">
          <a:extLst>
            <a:ext uri="{FF2B5EF4-FFF2-40B4-BE49-F238E27FC236}">
              <a16:creationId xmlns:a16="http://schemas.microsoft.com/office/drawing/2014/main" xmlns="" id="{00000000-0008-0000-0C00-000023000000}"/>
            </a:ext>
          </a:extLst>
        </xdr:cNvPr>
        <xdr:cNvSpPr txBox="1">
          <a:spLocks noChangeArrowheads="1"/>
        </xdr:cNvSpPr>
      </xdr:nvSpPr>
      <xdr:spPr bwMode="auto">
        <a:xfrm>
          <a:off x="1208722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14</xdr:col>
      <xdr:colOff>0</xdr:colOff>
      <xdr:row>3</xdr:row>
      <xdr:rowOff>19050</xdr:rowOff>
    </xdr:from>
    <xdr:to>
      <xdr:col>14</xdr:col>
      <xdr:colOff>0</xdr:colOff>
      <xdr:row>3</xdr:row>
      <xdr:rowOff>257175</xdr:rowOff>
    </xdr:to>
    <xdr:sp macro="" textlink="">
      <xdr:nvSpPr>
        <xdr:cNvPr id="35" name="Text Box 35">
          <a:extLst>
            <a:ext uri="{FF2B5EF4-FFF2-40B4-BE49-F238E27FC236}">
              <a16:creationId xmlns:a16="http://schemas.microsoft.com/office/drawing/2014/main" xmlns="" id="{00000000-0008-0000-0C00-000024000000}"/>
            </a:ext>
          </a:extLst>
        </xdr:cNvPr>
        <xdr:cNvSpPr txBox="1">
          <a:spLocks noChangeArrowheads="1"/>
        </xdr:cNvSpPr>
      </xdr:nvSpPr>
      <xdr:spPr bwMode="auto">
        <a:xfrm>
          <a:off x="1208722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36" name="Text Box 2">
          <a:extLst>
            <a:ext uri="{FF2B5EF4-FFF2-40B4-BE49-F238E27FC236}">
              <a16:creationId xmlns:a16="http://schemas.microsoft.com/office/drawing/2014/main" xmlns="" id="{00000000-0008-0000-0C00-000025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37" name="Text Box 3">
          <a:extLst>
            <a:ext uri="{FF2B5EF4-FFF2-40B4-BE49-F238E27FC236}">
              <a16:creationId xmlns:a16="http://schemas.microsoft.com/office/drawing/2014/main" xmlns="" id="{00000000-0008-0000-0C00-000026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38" name="Text Box 4">
          <a:extLst>
            <a:ext uri="{FF2B5EF4-FFF2-40B4-BE49-F238E27FC236}">
              <a16:creationId xmlns:a16="http://schemas.microsoft.com/office/drawing/2014/main" xmlns="" id="{00000000-0008-0000-0C00-000027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39" name="Text Box 5">
          <a:extLst>
            <a:ext uri="{FF2B5EF4-FFF2-40B4-BE49-F238E27FC236}">
              <a16:creationId xmlns:a16="http://schemas.microsoft.com/office/drawing/2014/main" xmlns="" id="{00000000-0008-0000-0C00-000028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40" name="Text Box 6">
          <a:extLst>
            <a:ext uri="{FF2B5EF4-FFF2-40B4-BE49-F238E27FC236}">
              <a16:creationId xmlns:a16="http://schemas.microsoft.com/office/drawing/2014/main" xmlns="" id="{00000000-0008-0000-0C00-000029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41" name="Text Box 7">
          <a:extLst>
            <a:ext uri="{FF2B5EF4-FFF2-40B4-BE49-F238E27FC236}">
              <a16:creationId xmlns:a16="http://schemas.microsoft.com/office/drawing/2014/main" xmlns="" id="{00000000-0008-0000-0C00-00002A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42" name="Text Box 8">
          <a:extLst>
            <a:ext uri="{FF2B5EF4-FFF2-40B4-BE49-F238E27FC236}">
              <a16:creationId xmlns:a16="http://schemas.microsoft.com/office/drawing/2014/main" xmlns="" id="{00000000-0008-0000-0C00-00002B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43" name="Text Box 9">
          <a:extLst>
            <a:ext uri="{FF2B5EF4-FFF2-40B4-BE49-F238E27FC236}">
              <a16:creationId xmlns:a16="http://schemas.microsoft.com/office/drawing/2014/main" xmlns="" id="{00000000-0008-0000-0C00-00002C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44" name="Text Box 10">
          <a:extLst>
            <a:ext uri="{FF2B5EF4-FFF2-40B4-BE49-F238E27FC236}">
              <a16:creationId xmlns:a16="http://schemas.microsoft.com/office/drawing/2014/main" xmlns="" id="{00000000-0008-0000-0C00-00002D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45" name="Text Box 11">
          <a:extLst>
            <a:ext uri="{FF2B5EF4-FFF2-40B4-BE49-F238E27FC236}">
              <a16:creationId xmlns:a16="http://schemas.microsoft.com/office/drawing/2014/main" xmlns="" id="{00000000-0008-0000-0C00-00002E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14</xdr:col>
      <xdr:colOff>0</xdr:colOff>
      <xdr:row>3</xdr:row>
      <xdr:rowOff>19050</xdr:rowOff>
    </xdr:from>
    <xdr:to>
      <xdr:col>14</xdr:col>
      <xdr:colOff>0</xdr:colOff>
      <xdr:row>3</xdr:row>
      <xdr:rowOff>257175</xdr:rowOff>
    </xdr:to>
    <xdr:sp macro="" textlink="">
      <xdr:nvSpPr>
        <xdr:cNvPr id="46" name="Text Box 12">
          <a:extLst>
            <a:ext uri="{FF2B5EF4-FFF2-40B4-BE49-F238E27FC236}">
              <a16:creationId xmlns:a16="http://schemas.microsoft.com/office/drawing/2014/main" xmlns="" id="{00000000-0008-0000-0C00-00002F000000}"/>
            </a:ext>
          </a:extLst>
        </xdr:cNvPr>
        <xdr:cNvSpPr txBox="1">
          <a:spLocks noChangeArrowheads="1"/>
        </xdr:cNvSpPr>
      </xdr:nvSpPr>
      <xdr:spPr bwMode="auto">
        <a:xfrm>
          <a:off x="1208722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14</xdr:col>
      <xdr:colOff>0</xdr:colOff>
      <xdr:row>3</xdr:row>
      <xdr:rowOff>19050</xdr:rowOff>
    </xdr:from>
    <xdr:to>
      <xdr:col>14</xdr:col>
      <xdr:colOff>0</xdr:colOff>
      <xdr:row>3</xdr:row>
      <xdr:rowOff>257175</xdr:rowOff>
    </xdr:to>
    <xdr:sp macro="" textlink="">
      <xdr:nvSpPr>
        <xdr:cNvPr id="47" name="Text Box 13">
          <a:extLst>
            <a:ext uri="{FF2B5EF4-FFF2-40B4-BE49-F238E27FC236}">
              <a16:creationId xmlns:a16="http://schemas.microsoft.com/office/drawing/2014/main" xmlns="" id="{00000000-0008-0000-0C00-000030000000}"/>
            </a:ext>
          </a:extLst>
        </xdr:cNvPr>
        <xdr:cNvSpPr txBox="1">
          <a:spLocks noChangeArrowheads="1"/>
        </xdr:cNvSpPr>
      </xdr:nvSpPr>
      <xdr:spPr bwMode="auto">
        <a:xfrm>
          <a:off x="1208722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48" name="Text Box 14">
          <a:extLst>
            <a:ext uri="{FF2B5EF4-FFF2-40B4-BE49-F238E27FC236}">
              <a16:creationId xmlns:a16="http://schemas.microsoft.com/office/drawing/2014/main" xmlns="" id="{00000000-0008-0000-0C00-000031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49" name="Text Box 15">
          <a:extLst>
            <a:ext uri="{FF2B5EF4-FFF2-40B4-BE49-F238E27FC236}">
              <a16:creationId xmlns:a16="http://schemas.microsoft.com/office/drawing/2014/main" xmlns="" id="{00000000-0008-0000-0C00-000032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50" name="Text Box 16">
          <a:extLst>
            <a:ext uri="{FF2B5EF4-FFF2-40B4-BE49-F238E27FC236}">
              <a16:creationId xmlns:a16="http://schemas.microsoft.com/office/drawing/2014/main" xmlns="" id="{00000000-0008-0000-0C00-000033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51" name="Text Box 17">
          <a:extLst>
            <a:ext uri="{FF2B5EF4-FFF2-40B4-BE49-F238E27FC236}">
              <a16:creationId xmlns:a16="http://schemas.microsoft.com/office/drawing/2014/main" xmlns="" id="{00000000-0008-0000-0C00-000034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52" name="Text Box 18">
          <a:extLst>
            <a:ext uri="{FF2B5EF4-FFF2-40B4-BE49-F238E27FC236}">
              <a16:creationId xmlns:a16="http://schemas.microsoft.com/office/drawing/2014/main" xmlns="" id="{00000000-0008-0000-0C00-000035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xdr:col>
      <xdr:colOff>0</xdr:colOff>
      <xdr:row>3</xdr:row>
      <xdr:rowOff>19050</xdr:rowOff>
    </xdr:from>
    <xdr:to>
      <xdr:col>1</xdr:col>
      <xdr:colOff>0</xdr:colOff>
      <xdr:row>3</xdr:row>
      <xdr:rowOff>257175</xdr:rowOff>
    </xdr:to>
    <xdr:sp macro="" textlink="">
      <xdr:nvSpPr>
        <xdr:cNvPr id="53" name="Text Box 19">
          <a:extLst>
            <a:ext uri="{FF2B5EF4-FFF2-40B4-BE49-F238E27FC236}">
              <a16:creationId xmlns:a16="http://schemas.microsoft.com/office/drawing/2014/main" xmlns="" id="{00000000-0008-0000-0C00-000036000000}"/>
            </a:ext>
          </a:extLst>
        </xdr:cNvPr>
        <xdr:cNvSpPr txBox="1">
          <a:spLocks noChangeArrowheads="1"/>
        </xdr:cNvSpPr>
      </xdr:nvSpPr>
      <xdr:spPr bwMode="auto">
        <a:xfrm>
          <a:off x="25527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2</xdr:col>
      <xdr:colOff>0</xdr:colOff>
      <xdr:row>3</xdr:row>
      <xdr:rowOff>19050</xdr:rowOff>
    </xdr:from>
    <xdr:to>
      <xdr:col>2</xdr:col>
      <xdr:colOff>0</xdr:colOff>
      <xdr:row>3</xdr:row>
      <xdr:rowOff>257175</xdr:rowOff>
    </xdr:to>
    <xdr:sp macro="" textlink="">
      <xdr:nvSpPr>
        <xdr:cNvPr id="54" name="Text Box 20">
          <a:extLst>
            <a:ext uri="{FF2B5EF4-FFF2-40B4-BE49-F238E27FC236}">
              <a16:creationId xmlns:a16="http://schemas.microsoft.com/office/drawing/2014/main" xmlns="" id="{00000000-0008-0000-0C00-000037000000}"/>
            </a:ext>
          </a:extLst>
        </xdr:cNvPr>
        <xdr:cNvSpPr txBox="1">
          <a:spLocks noChangeArrowheads="1"/>
        </xdr:cNvSpPr>
      </xdr:nvSpPr>
      <xdr:spPr bwMode="auto">
        <a:xfrm>
          <a:off x="328612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2</xdr:col>
      <xdr:colOff>0</xdr:colOff>
      <xdr:row>3</xdr:row>
      <xdr:rowOff>19050</xdr:rowOff>
    </xdr:from>
    <xdr:to>
      <xdr:col>2</xdr:col>
      <xdr:colOff>0</xdr:colOff>
      <xdr:row>3</xdr:row>
      <xdr:rowOff>257175</xdr:rowOff>
    </xdr:to>
    <xdr:sp macro="" textlink="">
      <xdr:nvSpPr>
        <xdr:cNvPr id="55" name="Text Box 21">
          <a:extLst>
            <a:ext uri="{FF2B5EF4-FFF2-40B4-BE49-F238E27FC236}">
              <a16:creationId xmlns:a16="http://schemas.microsoft.com/office/drawing/2014/main" xmlns="" id="{00000000-0008-0000-0C00-000038000000}"/>
            </a:ext>
          </a:extLst>
        </xdr:cNvPr>
        <xdr:cNvSpPr txBox="1">
          <a:spLocks noChangeArrowheads="1"/>
        </xdr:cNvSpPr>
      </xdr:nvSpPr>
      <xdr:spPr bwMode="auto">
        <a:xfrm>
          <a:off x="328612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5</xdr:col>
      <xdr:colOff>0</xdr:colOff>
      <xdr:row>3</xdr:row>
      <xdr:rowOff>19050</xdr:rowOff>
    </xdr:from>
    <xdr:to>
      <xdr:col>5</xdr:col>
      <xdr:colOff>0</xdr:colOff>
      <xdr:row>3</xdr:row>
      <xdr:rowOff>257175</xdr:rowOff>
    </xdr:to>
    <xdr:sp macro="" textlink="">
      <xdr:nvSpPr>
        <xdr:cNvPr id="56" name="Text Box 22">
          <a:extLst>
            <a:ext uri="{FF2B5EF4-FFF2-40B4-BE49-F238E27FC236}">
              <a16:creationId xmlns:a16="http://schemas.microsoft.com/office/drawing/2014/main" xmlns="" id="{00000000-0008-0000-0C00-000039000000}"/>
            </a:ext>
          </a:extLst>
        </xdr:cNvPr>
        <xdr:cNvSpPr txBox="1">
          <a:spLocks noChangeArrowheads="1"/>
        </xdr:cNvSpPr>
      </xdr:nvSpPr>
      <xdr:spPr bwMode="auto">
        <a:xfrm>
          <a:off x="54864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5</xdr:col>
      <xdr:colOff>0</xdr:colOff>
      <xdr:row>3</xdr:row>
      <xdr:rowOff>19050</xdr:rowOff>
    </xdr:from>
    <xdr:to>
      <xdr:col>5</xdr:col>
      <xdr:colOff>0</xdr:colOff>
      <xdr:row>3</xdr:row>
      <xdr:rowOff>257175</xdr:rowOff>
    </xdr:to>
    <xdr:sp macro="" textlink="">
      <xdr:nvSpPr>
        <xdr:cNvPr id="57" name="Text Box 23">
          <a:extLst>
            <a:ext uri="{FF2B5EF4-FFF2-40B4-BE49-F238E27FC236}">
              <a16:creationId xmlns:a16="http://schemas.microsoft.com/office/drawing/2014/main" xmlns="" id="{00000000-0008-0000-0C00-00003A000000}"/>
            </a:ext>
          </a:extLst>
        </xdr:cNvPr>
        <xdr:cNvSpPr txBox="1">
          <a:spLocks noChangeArrowheads="1"/>
        </xdr:cNvSpPr>
      </xdr:nvSpPr>
      <xdr:spPr bwMode="auto">
        <a:xfrm>
          <a:off x="54864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19050</xdr:rowOff>
    </xdr:from>
    <xdr:to>
      <xdr:col>8</xdr:col>
      <xdr:colOff>0</xdr:colOff>
      <xdr:row>3</xdr:row>
      <xdr:rowOff>257175</xdr:rowOff>
    </xdr:to>
    <xdr:sp macro="" textlink="">
      <xdr:nvSpPr>
        <xdr:cNvPr id="58" name="Text Box 24">
          <a:extLst>
            <a:ext uri="{FF2B5EF4-FFF2-40B4-BE49-F238E27FC236}">
              <a16:creationId xmlns:a16="http://schemas.microsoft.com/office/drawing/2014/main" xmlns="" id="{00000000-0008-0000-0C00-00003B000000}"/>
            </a:ext>
          </a:extLst>
        </xdr:cNvPr>
        <xdr:cNvSpPr txBox="1">
          <a:spLocks noChangeArrowheads="1"/>
        </xdr:cNvSpPr>
      </xdr:nvSpPr>
      <xdr:spPr bwMode="auto">
        <a:xfrm>
          <a:off x="768667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19050</xdr:rowOff>
    </xdr:from>
    <xdr:to>
      <xdr:col>8</xdr:col>
      <xdr:colOff>0</xdr:colOff>
      <xdr:row>3</xdr:row>
      <xdr:rowOff>257175</xdr:rowOff>
    </xdr:to>
    <xdr:sp macro="" textlink="">
      <xdr:nvSpPr>
        <xdr:cNvPr id="59" name="Text Box 25">
          <a:extLst>
            <a:ext uri="{FF2B5EF4-FFF2-40B4-BE49-F238E27FC236}">
              <a16:creationId xmlns:a16="http://schemas.microsoft.com/office/drawing/2014/main" xmlns="" id="{00000000-0008-0000-0C00-00003C000000}"/>
            </a:ext>
          </a:extLst>
        </xdr:cNvPr>
        <xdr:cNvSpPr txBox="1">
          <a:spLocks noChangeArrowheads="1"/>
        </xdr:cNvSpPr>
      </xdr:nvSpPr>
      <xdr:spPr bwMode="auto">
        <a:xfrm>
          <a:off x="768667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11</xdr:col>
      <xdr:colOff>0</xdr:colOff>
      <xdr:row>3</xdr:row>
      <xdr:rowOff>19050</xdr:rowOff>
    </xdr:from>
    <xdr:to>
      <xdr:col>11</xdr:col>
      <xdr:colOff>0</xdr:colOff>
      <xdr:row>3</xdr:row>
      <xdr:rowOff>257175</xdr:rowOff>
    </xdr:to>
    <xdr:sp macro="" textlink="">
      <xdr:nvSpPr>
        <xdr:cNvPr id="60" name="Text Box 26">
          <a:extLst>
            <a:ext uri="{FF2B5EF4-FFF2-40B4-BE49-F238E27FC236}">
              <a16:creationId xmlns:a16="http://schemas.microsoft.com/office/drawing/2014/main" xmlns="" id="{00000000-0008-0000-0C00-00003D000000}"/>
            </a:ext>
          </a:extLst>
        </xdr:cNvPr>
        <xdr:cNvSpPr txBox="1">
          <a:spLocks noChangeArrowheads="1"/>
        </xdr:cNvSpPr>
      </xdr:nvSpPr>
      <xdr:spPr bwMode="auto">
        <a:xfrm>
          <a:off x="988695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11</xdr:col>
      <xdr:colOff>0</xdr:colOff>
      <xdr:row>3</xdr:row>
      <xdr:rowOff>19050</xdr:rowOff>
    </xdr:from>
    <xdr:to>
      <xdr:col>11</xdr:col>
      <xdr:colOff>0</xdr:colOff>
      <xdr:row>3</xdr:row>
      <xdr:rowOff>257175</xdr:rowOff>
    </xdr:to>
    <xdr:sp macro="" textlink="">
      <xdr:nvSpPr>
        <xdr:cNvPr id="61" name="Text Box 27">
          <a:extLst>
            <a:ext uri="{FF2B5EF4-FFF2-40B4-BE49-F238E27FC236}">
              <a16:creationId xmlns:a16="http://schemas.microsoft.com/office/drawing/2014/main" xmlns="" id="{00000000-0008-0000-0C00-00003E000000}"/>
            </a:ext>
          </a:extLst>
        </xdr:cNvPr>
        <xdr:cNvSpPr txBox="1">
          <a:spLocks noChangeArrowheads="1"/>
        </xdr:cNvSpPr>
      </xdr:nvSpPr>
      <xdr:spPr bwMode="auto">
        <a:xfrm>
          <a:off x="988695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5</xdr:col>
      <xdr:colOff>0</xdr:colOff>
      <xdr:row>3</xdr:row>
      <xdr:rowOff>19050</xdr:rowOff>
    </xdr:from>
    <xdr:to>
      <xdr:col>5</xdr:col>
      <xdr:colOff>0</xdr:colOff>
      <xdr:row>3</xdr:row>
      <xdr:rowOff>257175</xdr:rowOff>
    </xdr:to>
    <xdr:sp macro="" textlink="">
      <xdr:nvSpPr>
        <xdr:cNvPr id="62" name="Text Box 28">
          <a:extLst>
            <a:ext uri="{FF2B5EF4-FFF2-40B4-BE49-F238E27FC236}">
              <a16:creationId xmlns:a16="http://schemas.microsoft.com/office/drawing/2014/main" xmlns="" id="{00000000-0008-0000-0C00-00003F000000}"/>
            </a:ext>
          </a:extLst>
        </xdr:cNvPr>
        <xdr:cNvSpPr txBox="1">
          <a:spLocks noChangeArrowheads="1"/>
        </xdr:cNvSpPr>
      </xdr:nvSpPr>
      <xdr:spPr bwMode="auto">
        <a:xfrm>
          <a:off x="54864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5</xdr:col>
      <xdr:colOff>0</xdr:colOff>
      <xdr:row>3</xdr:row>
      <xdr:rowOff>19050</xdr:rowOff>
    </xdr:from>
    <xdr:to>
      <xdr:col>5</xdr:col>
      <xdr:colOff>0</xdr:colOff>
      <xdr:row>3</xdr:row>
      <xdr:rowOff>257175</xdr:rowOff>
    </xdr:to>
    <xdr:sp macro="" textlink="">
      <xdr:nvSpPr>
        <xdr:cNvPr id="63" name="Text Box 29">
          <a:extLst>
            <a:ext uri="{FF2B5EF4-FFF2-40B4-BE49-F238E27FC236}">
              <a16:creationId xmlns:a16="http://schemas.microsoft.com/office/drawing/2014/main" xmlns="" id="{00000000-0008-0000-0C00-000040000000}"/>
            </a:ext>
          </a:extLst>
        </xdr:cNvPr>
        <xdr:cNvSpPr txBox="1">
          <a:spLocks noChangeArrowheads="1"/>
        </xdr:cNvSpPr>
      </xdr:nvSpPr>
      <xdr:spPr bwMode="auto">
        <a:xfrm>
          <a:off x="54864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19050</xdr:rowOff>
    </xdr:from>
    <xdr:to>
      <xdr:col>8</xdr:col>
      <xdr:colOff>0</xdr:colOff>
      <xdr:row>3</xdr:row>
      <xdr:rowOff>257175</xdr:rowOff>
    </xdr:to>
    <xdr:sp macro="" textlink="">
      <xdr:nvSpPr>
        <xdr:cNvPr id="64" name="Text Box 30">
          <a:extLst>
            <a:ext uri="{FF2B5EF4-FFF2-40B4-BE49-F238E27FC236}">
              <a16:creationId xmlns:a16="http://schemas.microsoft.com/office/drawing/2014/main" xmlns="" id="{00000000-0008-0000-0C00-000041000000}"/>
            </a:ext>
          </a:extLst>
        </xdr:cNvPr>
        <xdr:cNvSpPr txBox="1">
          <a:spLocks noChangeArrowheads="1"/>
        </xdr:cNvSpPr>
      </xdr:nvSpPr>
      <xdr:spPr bwMode="auto">
        <a:xfrm>
          <a:off x="768667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19050</xdr:rowOff>
    </xdr:from>
    <xdr:to>
      <xdr:col>8</xdr:col>
      <xdr:colOff>0</xdr:colOff>
      <xdr:row>3</xdr:row>
      <xdr:rowOff>257175</xdr:rowOff>
    </xdr:to>
    <xdr:sp macro="" textlink="">
      <xdr:nvSpPr>
        <xdr:cNvPr id="65" name="Text Box 31">
          <a:extLst>
            <a:ext uri="{FF2B5EF4-FFF2-40B4-BE49-F238E27FC236}">
              <a16:creationId xmlns:a16="http://schemas.microsoft.com/office/drawing/2014/main" xmlns="" id="{00000000-0008-0000-0C00-000042000000}"/>
            </a:ext>
          </a:extLst>
        </xdr:cNvPr>
        <xdr:cNvSpPr txBox="1">
          <a:spLocks noChangeArrowheads="1"/>
        </xdr:cNvSpPr>
      </xdr:nvSpPr>
      <xdr:spPr bwMode="auto">
        <a:xfrm>
          <a:off x="768667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11</xdr:col>
      <xdr:colOff>0</xdr:colOff>
      <xdr:row>3</xdr:row>
      <xdr:rowOff>19050</xdr:rowOff>
    </xdr:from>
    <xdr:to>
      <xdr:col>11</xdr:col>
      <xdr:colOff>0</xdr:colOff>
      <xdr:row>3</xdr:row>
      <xdr:rowOff>257175</xdr:rowOff>
    </xdr:to>
    <xdr:sp macro="" textlink="">
      <xdr:nvSpPr>
        <xdr:cNvPr id="66" name="Text Box 32">
          <a:extLst>
            <a:ext uri="{FF2B5EF4-FFF2-40B4-BE49-F238E27FC236}">
              <a16:creationId xmlns:a16="http://schemas.microsoft.com/office/drawing/2014/main" xmlns="" id="{00000000-0008-0000-0C00-000043000000}"/>
            </a:ext>
          </a:extLst>
        </xdr:cNvPr>
        <xdr:cNvSpPr txBox="1">
          <a:spLocks noChangeArrowheads="1"/>
        </xdr:cNvSpPr>
      </xdr:nvSpPr>
      <xdr:spPr bwMode="auto">
        <a:xfrm>
          <a:off x="988695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11</xdr:col>
      <xdr:colOff>0</xdr:colOff>
      <xdr:row>3</xdr:row>
      <xdr:rowOff>19050</xdr:rowOff>
    </xdr:from>
    <xdr:to>
      <xdr:col>11</xdr:col>
      <xdr:colOff>0</xdr:colOff>
      <xdr:row>3</xdr:row>
      <xdr:rowOff>257175</xdr:rowOff>
    </xdr:to>
    <xdr:sp macro="" textlink="">
      <xdr:nvSpPr>
        <xdr:cNvPr id="67" name="Text Box 33">
          <a:extLst>
            <a:ext uri="{FF2B5EF4-FFF2-40B4-BE49-F238E27FC236}">
              <a16:creationId xmlns:a16="http://schemas.microsoft.com/office/drawing/2014/main" xmlns="" id="{00000000-0008-0000-0C00-000044000000}"/>
            </a:ext>
          </a:extLst>
        </xdr:cNvPr>
        <xdr:cNvSpPr txBox="1">
          <a:spLocks noChangeArrowheads="1"/>
        </xdr:cNvSpPr>
      </xdr:nvSpPr>
      <xdr:spPr bwMode="auto">
        <a:xfrm>
          <a:off x="988695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14</xdr:col>
      <xdr:colOff>0</xdr:colOff>
      <xdr:row>3</xdr:row>
      <xdr:rowOff>19050</xdr:rowOff>
    </xdr:from>
    <xdr:to>
      <xdr:col>14</xdr:col>
      <xdr:colOff>0</xdr:colOff>
      <xdr:row>3</xdr:row>
      <xdr:rowOff>257175</xdr:rowOff>
    </xdr:to>
    <xdr:sp macro="" textlink="">
      <xdr:nvSpPr>
        <xdr:cNvPr id="68" name="Text Box 34">
          <a:extLst>
            <a:ext uri="{FF2B5EF4-FFF2-40B4-BE49-F238E27FC236}">
              <a16:creationId xmlns:a16="http://schemas.microsoft.com/office/drawing/2014/main" xmlns="" id="{00000000-0008-0000-0C00-000045000000}"/>
            </a:ext>
          </a:extLst>
        </xdr:cNvPr>
        <xdr:cNvSpPr txBox="1">
          <a:spLocks noChangeArrowheads="1"/>
        </xdr:cNvSpPr>
      </xdr:nvSpPr>
      <xdr:spPr bwMode="auto">
        <a:xfrm>
          <a:off x="1208722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14</xdr:col>
      <xdr:colOff>0</xdr:colOff>
      <xdr:row>3</xdr:row>
      <xdr:rowOff>19050</xdr:rowOff>
    </xdr:from>
    <xdr:to>
      <xdr:col>14</xdr:col>
      <xdr:colOff>0</xdr:colOff>
      <xdr:row>3</xdr:row>
      <xdr:rowOff>257175</xdr:rowOff>
    </xdr:to>
    <xdr:sp macro="" textlink="">
      <xdr:nvSpPr>
        <xdr:cNvPr id="69" name="Text Box 35">
          <a:extLst>
            <a:ext uri="{FF2B5EF4-FFF2-40B4-BE49-F238E27FC236}">
              <a16:creationId xmlns:a16="http://schemas.microsoft.com/office/drawing/2014/main" xmlns="" id="{00000000-0008-0000-0C00-000046000000}"/>
            </a:ext>
          </a:extLst>
        </xdr:cNvPr>
        <xdr:cNvSpPr txBox="1">
          <a:spLocks noChangeArrowheads="1"/>
        </xdr:cNvSpPr>
      </xdr:nvSpPr>
      <xdr:spPr bwMode="auto">
        <a:xfrm>
          <a:off x="1208722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14</xdr:col>
      <xdr:colOff>0</xdr:colOff>
      <xdr:row>3</xdr:row>
      <xdr:rowOff>19050</xdr:rowOff>
    </xdr:from>
    <xdr:to>
      <xdr:col>14</xdr:col>
      <xdr:colOff>0</xdr:colOff>
      <xdr:row>3</xdr:row>
      <xdr:rowOff>257175</xdr:rowOff>
    </xdr:to>
    <xdr:sp macro="" textlink="">
      <xdr:nvSpPr>
        <xdr:cNvPr id="70" name="Text Box 12">
          <a:extLst>
            <a:ext uri="{FF2B5EF4-FFF2-40B4-BE49-F238E27FC236}">
              <a16:creationId xmlns:a16="http://schemas.microsoft.com/office/drawing/2014/main" xmlns="" id="{00000000-0008-0000-0C00-000047000000}"/>
            </a:ext>
          </a:extLst>
        </xdr:cNvPr>
        <xdr:cNvSpPr txBox="1">
          <a:spLocks noChangeArrowheads="1"/>
        </xdr:cNvSpPr>
      </xdr:nvSpPr>
      <xdr:spPr bwMode="auto">
        <a:xfrm>
          <a:off x="1208722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14</xdr:col>
      <xdr:colOff>0</xdr:colOff>
      <xdr:row>3</xdr:row>
      <xdr:rowOff>19050</xdr:rowOff>
    </xdr:from>
    <xdr:to>
      <xdr:col>14</xdr:col>
      <xdr:colOff>0</xdr:colOff>
      <xdr:row>3</xdr:row>
      <xdr:rowOff>257175</xdr:rowOff>
    </xdr:to>
    <xdr:sp macro="" textlink="">
      <xdr:nvSpPr>
        <xdr:cNvPr id="71" name="Text Box 13">
          <a:extLst>
            <a:ext uri="{FF2B5EF4-FFF2-40B4-BE49-F238E27FC236}">
              <a16:creationId xmlns:a16="http://schemas.microsoft.com/office/drawing/2014/main" xmlns="" id="{00000000-0008-0000-0C00-000048000000}"/>
            </a:ext>
          </a:extLst>
        </xdr:cNvPr>
        <xdr:cNvSpPr txBox="1">
          <a:spLocks noChangeArrowheads="1"/>
        </xdr:cNvSpPr>
      </xdr:nvSpPr>
      <xdr:spPr bwMode="auto">
        <a:xfrm>
          <a:off x="1208722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2</xdr:col>
      <xdr:colOff>0</xdr:colOff>
      <xdr:row>3</xdr:row>
      <xdr:rowOff>19050</xdr:rowOff>
    </xdr:from>
    <xdr:to>
      <xdr:col>2</xdr:col>
      <xdr:colOff>0</xdr:colOff>
      <xdr:row>3</xdr:row>
      <xdr:rowOff>257175</xdr:rowOff>
    </xdr:to>
    <xdr:sp macro="" textlink="">
      <xdr:nvSpPr>
        <xdr:cNvPr id="72" name="Text Box 20">
          <a:extLst>
            <a:ext uri="{FF2B5EF4-FFF2-40B4-BE49-F238E27FC236}">
              <a16:creationId xmlns:a16="http://schemas.microsoft.com/office/drawing/2014/main" xmlns="" id="{00000000-0008-0000-0C00-000049000000}"/>
            </a:ext>
          </a:extLst>
        </xdr:cNvPr>
        <xdr:cNvSpPr txBox="1">
          <a:spLocks noChangeArrowheads="1"/>
        </xdr:cNvSpPr>
      </xdr:nvSpPr>
      <xdr:spPr bwMode="auto">
        <a:xfrm>
          <a:off x="328612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2</xdr:col>
      <xdr:colOff>0</xdr:colOff>
      <xdr:row>3</xdr:row>
      <xdr:rowOff>19050</xdr:rowOff>
    </xdr:from>
    <xdr:to>
      <xdr:col>2</xdr:col>
      <xdr:colOff>0</xdr:colOff>
      <xdr:row>3</xdr:row>
      <xdr:rowOff>257175</xdr:rowOff>
    </xdr:to>
    <xdr:sp macro="" textlink="">
      <xdr:nvSpPr>
        <xdr:cNvPr id="73" name="Text Box 21">
          <a:extLst>
            <a:ext uri="{FF2B5EF4-FFF2-40B4-BE49-F238E27FC236}">
              <a16:creationId xmlns:a16="http://schemas.microsoft.com/office/drawing/2014/main" xmlns="" id="{00000000-0008-0000-0C00-00004A000000}"/>
            </a:ext>
          </a:extLst>
        </xdr:cNvPr>
        <xdr:cNvSpPr txBox="1">
          <a:spLocks noChangeArrowheads="1"/>
        </xdr:cNvSpPr>
      </xdr:nvSpPr>
      <xdr:spPr bwMode="auto">
        <a:xfrm>
          <a:off x="328612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5</xdr:col>
      <xdr:colOff>0</xdr:colOff>
      <xdr:row>3</xdr:row>
      <xdr:rowOff>19050</xdr:rowOff>
    </xdr:from>
    <xdr:to>
      <xdr:col>5</xdr:col>
      <xdr:colOff>0</xdr:colOff>
      <xdr:row>3</xdr:row>
      <xdr:rowOff>257175</xdr:rowOff>
    </xdr:to>
    <xdr:sp macro="" textlink="">
      <xdr:nvSpPr>
        <xdr:cNvPr id="74" name="Text Box 22">
          <a:extLst>
            <a:ext uri="{FF2B5EF4-FFF2-40B4-BE49-F238E27FC236}">
              <a16:creationId xmlns:a16="http://schemas.microsoft.com/office/drawing/2014/main" xmlns="" id="{00000000-0008-0000-0C00-00004B000000}"/>
            </a:ext>
          </a:extLst>
        </xdr:cNvPr>
        <xdr:cNvSpPr txBox="1">
          <a:spLocks noChangeArrowheads="1"/>
        </xdr:cNvSpPr>
      </xdr:nvSpPr>
      <xdr:spPr bwMode="auto">
        <a:xfrm>
          <a:off x="54864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5</xdr:col>
      <xdr:colOff>0</xdr:colOff>
      <xdr:row>3</xdr:row>
      <xdr:rowOff>19050</xdr:rowOff>
    </xdr:from>
    <xdr:to>
      <xdr:col>5</xdr:col>
      <xdr:colOff>0</xdr:colOff>
      <xdr:row>3</xdr:row>
      <xdr:rowOff>257175</xdr:rowOff>
    </xdr:to>
    <xdr:sp macro="" textlink="">
      <xdr:nvSpPr>
        <xdr:cNvPr id="75" name="Text Box 23">
          <a:extLst>
            <a:ext uri="{FF2B5EF4-FFF2-40B4-BE49-F238E27FC236}">
              <a16:creationId xmlns:a16="http://schemas.microsoft.com/office/drawing/2014/main" xmlns="" id="{00000000-0008-0000-0C00-00004C000000}"/>
            </a:ext>
          </a:extLst>
        </xdr:cNvPr>
        <xdr:cNvSpPr txBox="1">
          <a:spLocks noChangeArrowheads="1"/>
        </xdr:cNvSpPr>
      </xdr:nvSpPr>
      <xdr:spPr bwMode="auto">
        <a:xfrm>
          <a:off x="54864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19050</xdr:rowOff>
    </xdr:from>
    <xdr:to>
      <xdr:col>8</xdr:col>
      <xdr:colOff>0</xdr:colOff>
      <xdr:row>3</xdr:row>
      <xdr:rowOff>257175</xdr:rowOff>
    </xdr:to>
    <xdr:sp macro="" textlink="">
      <xdr:nvSpPr>
        <xdr:cNvPr id="76" name="Text Box 24">
          <a:extLst>
            <a:ext uri="{FF2B5EF4-FFF2-40B4-BE49-F238E27FC236}">
              <a16:creationId xmlns:a16="http://schemas.microsoft.com/office/drawing/2014/main" xmlns="" id="{00000000-0008-0000-0C00-00004D000000}"/>
            </a:ext>
          </a:extLst>
        </xdr:cNvPr>
        <xdr:cNvSpPr txBox="1">
          <a:spLocks noChangeArrowheads="1"/>
        </xdr:cNvSpPr>
      </xdr:nvSpPr>
      <xdr:spPr bwMode="auto">
        <a:xfrm>
          <a:off x="768667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19050</xdr:rowOff>
    </xdr:from>
    <xdr:to>
      <xdr:col>8</xdr:col>
      <xdr:colOff>0</xdr:colOff>
      <xdr:row>3</xdr:row>
      <xdr:rowOff>257175</xdr:rowOff>
    </xdr:to>
    <xdr:sp macro="" textlink="">
      <xdr:nvSpPr>
        <xdr:cNvPr id="77" name="Text Box 25">
          <a:extLst>
            <a:ext uri="{FF2B5EF4-FFF2-40B4-BE49-F238E27FC236}">
              <a16:creationId xmlns:a16="http://schemas.microsoft.com/office/drawing/2014/main" xmlns="" id="{00000000-0008-0000-0C00-00004E000000}"/>
            </a:ext>
          </a:extLst>
        </xdr:cNvPr>
        <xdr:cNvSpPr txBox="1">
          <a:spLocks noChangeArrowheads="1"/>
        </xdr:cNvSpPr>
      </xdr:nvSpPr>
      <xdr:spPr bwMode="auto">
        <a:xfrm>
          <a:off x="768667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11</xdr:col>
      <xdr:colOff>0</xdr:colOff>
      <xdr:row>3</xdr:row>
      <xdr:rowOff>19050</xdr:rowOff>
    </xdr:from>
    <xdr:to>
      <xdr:col>11</xdr:col>
      <xdr:colOff>0</xdr:colOff>
      <xdr:row>3</xdr:row>
      <xdr:rowOff>257175</xdr:rowOff>
    </xdr:to>
    <xdr:sp macro="" textlink="">
      <xdr:nvSpPr>
        <xdr:cNvPr id="78" name="Text Box 26">
          <a:extLst>
            <a:ext uri="{FF2B5EF4-FFF2-40B4-BE49-F238E27FC236}">
              <a16:creationId xmlns:a16="http://schemas.microsoft.com/office/drawing/2014/main" xmlns="" id="{00000000-0008-0000-0C00-00004F000000}"/>
            </a:ext>
          </a:extLst>
        </xdr:cNvPr>
        <xdr:cNvSpPr txBox="1">
          <a:spLocks noChangeArrowheads="1"/>
        </xdr:cNvSpPr>
      </xdr:nvSpPr>
      <xdr:spPr bwMode="auto">
        <a:xfrm>
          <a:off x="988695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11</xdr:col>
      <xdr:colOff>0</xdr:colOff>
      <xdr:row>3</xdr:row>
      <xdr:rowOff>19050</xdr:rowOff>
    </xdr:from>
    <xdr:to>
      <xdr:col>11</xdr:col>
      <xdr:colOff>0</xdr:colOff>
      <xdr:row>3</xdr:row>
      <xdr:rowOff>257175</xdr:rowOff>
    </xdr:to>
    <xdr:sp macro="" textlink="">
      <xdr:nvSpPr>
        <xdr:cNvPr id="79" name="Text Box 27">
          <a:extLst>
            <a:ext uri="{FF2B5EF4-FFF2-40B4-BE49-F238E27FC236}">
              <a16:creationId xmlns:a16="http://schemas.microsoft.com/office/drawing/2014/main" xmlns="" id="{00000000-0008-0000-0C00-000050000000}"/>
            </a:ext>
          </a:extLst>
        </xdr:cNvPr>
        <xdr:cNvSpPr txBox="1">
          <a:spLocks noChangeArrowheads="1"/>
        </xdr:cNvSpPr>
      </xdr:nvSpPr>
      <xdr:spPr bwMode="auto">
        <a:xfrm>
          <a:off x="988695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5</xdr:col>
      <xdr:colOff>0</xdr:colOff>
      <xdr:row>3</xdr:row>
      <xdr:rowOff>19050</xdr:rowOff>
    </xdr:from>
    <xdr:to>
      <xdr:col>5</xdr:col>
      <xdr:colOff>0</xdr:colOff>
      <xdr:row>3</xdr:row>
      <xdr:rowOff>257175</xdr:rowOff>
    </xdr:to>
    <xdr:sp macro="" textlink="">
      <xdr:nvSpPr>
        <xdr:cNvPr id="80" name="Text Box 28">
          <a:extLst>
            <a:ext uri="{FF2B5EF4-FFF2-40B4-BE49-F238E27FC236}">
              <a16:creationId xmlns:a16="http://schemas.microsoft.com/office/drawing/2014/main" xmlns="" id="{00000000-0008-0000-0C00-000051000000}"/>
            </a:ext>
          </a:extLst>
        </xdr:cNvPr>
        <xdr:cNvSpPr txBox="1">
          <a:spLocks noChangeArrowheads="1"/>
        </xdr:cNvSpPr>
      </xdr:nvSpPr>
      <xdr:spPr bwMode="auto">
        <a:xfrm>
          <a:off x="54864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5</xdr:col>
      <xdr:colOff>0</xdr:colOff>
      <xdr:row>3</xdr:row>
      <xdr:rowOff>19050</xdr:rowOff>
    </xdr:from>
    <xdr:to>
      <xdr:col>5</xdr:col>
      <xdr:colOff>0</xdr:colOff>
      <xdr:row>3</xdr:row>
      <xdr:rowOff>257175</xdr:rowOff>
    </xdr:to>
    <xdr:sp macro="" textlink="">
      <xdr:nvSpPr>
        <xdr:cNvPr id="81" name="Text Box 29">
          <a:extLst>
            <a:ext uri="{FF2B5EF4-FFF2-40B4-BE49-F238E27FC236}">
              <a16:creationId xmlns:a16="http://schemas.microsoft.com/office/drawing/2014/main" xmlns="" id="{00000000-0008-0000-0C00-000052000000}"/>
            </a:ext>
          </a:extLst>
        </xdr:cNvPr>
        <xdr:cNvSpPr txBox="1">
          <a:spLocks noChangeArrowheads="1"/>
        </xdr:cNvSpPr>
      </xdr:nvSpPr>
      <xdr:spPr bwMode="auto">
        <a:xfrm>
          <a:off x="548640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19050</xdr:rowOff>
    </xdr:from>
    <xdr:to>
      <xdr:col>8</xdr:col>
      <xdr:colOff>0</xdr:colOff>
      <xdr:row>3</xdr:row>
      <xdr:rowOff>257175</xdr:rowOff>
    </xdr:to>
    <xdr:sp macro="" textlink="">
      <xdr:nvSpPr>
        <xdr:cNvPr id="82" name="Text Box 30">
          <a:extLst>
            <a:ext uri="{FF2B5EF4-FFF2-40B4-BE49-F238E27FC236}">
              <a16:creationId xmlns:a16="http://schemas.microsoft.com/office/drawing/2014/main" xmlns="" id="{00000000-0008-0000-0C00-000053000000}"/>
            </a:ext>
          </a:extLst>
        </xdr:cNvPr>
        <xdr:cNvSpPr txBox="1">
          <a:spLocks noChangeArrowheads="1"/>
        </xdr:cNvSpPr>
      </xdr:nvSpPr>
      <xdr:spPr bwMode="auto">
        <a:xfrm>
          <a:off x="768667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8</xdr:col>
      <xdr:colOff>0</xdr:colOff>
      <xdr:row>3</xdr:row>
      <xdr:rowOff>19050</xdr:rowOff>
    </xdr:from>
    <xdr:to>
      <xdr:col>8</xdr:col>
      <xdr:colOff>0</xdr:colOff>
      <xdr:row>3</xdr:row>
      <xdr:rowOff>257175</xdr:rowOff>
    </xdr:to>
    <xdr:sp macro="" textlink="">
      <xdr:nvSpPr>
        <xdr:cNvPr id="83" name="Text Box 31">
          <a:extLst>
            <a:ext uri="{FF2B5EF4-FFF2-40B4-BE49-F238E27FC236}">
              <a16:creationId xmlns:a16="http://schemas.microsoft.com/office/drawing/2014/main" xmlns="" id="{00000000-0008-0000-0C00-000054000000}"/>
            </a:ext>
          </a:extLst>
        </xdr:cNvPr>
        <xdr:cNvSpPr txBox="1">
          <a:spLocks noChangeArrowheads="1"/>
        </xdr:cNvSpPr>
      </xdr:nvSpPr>
      <xdr:spPr bwMode="auto">
        <a:xfrm>
          <a:off x="768667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11</xdr:col>
      <xdr:colOff>0</xdr:colOff>
      <xdr:row>3</xdr:row>
      <xdr:rowOff>19050</xdr:rowOff>
    </xdr:from>
    <xdr:to>
      <xdr:col>11</xdr:col>
      <xdr:colOff>0</xdr:colOff>
      <xdr:row>3</xdr:row>
      <xdr:rowOff>257175</xdr:rowOff>
    </xdr:to>
    <xdr:sp macro="" textlink="">
      <xdr:nvSpPr>
        <xdr:cNvPr id="84" name="Text Box 32">
          <a:extLst>
            <a:ext uri="{FF2B5EF4-FFF2-40B4-BE49-F238E27FC236}">
              <a16:creationId xmlns:a16="http://schemas.microsoft.com/office/drawing/2014/main" xmlns="" id="{00000000-0008-0000-0C00-000055000000}"/>
            </a:ext>
          </a:extLst>
        </xdr:cNvPr>
        <xdr:cNvSpPr txBox="1">
          <a:spLocks noChangeArrowheads="1"/>
        </xdr:cNvSpPr>
      </xdr:nvSpPr>
      <xdr:spPr bwMode="auto">
        <a:xfrm>
          <a:off x="988695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11</xdr:col>
      <xdr:colOff>0</xdr:colOff>
      <xdr:row>3</xdr:row>
      <xdr:rowOff>19050</xdr:rowOff>
    </xdr:from>
    <xdr:to>
      <xdr:col>11</xdr:col>
      <xdr:colOff>0</xdr:colOff>
      <xdr:row>3</xdr:row>
      <xdr:rowOff>257175</xdr:rowOff>
    </xdr:to>
    <xdr:sp macro="" textlink="">
      <xdr:nvSpPr>
        <xdr:cNvPr id="85" name="Text Box 33">
          <a:extLst>
            <a:ext uri="{FF2B5EF4-FFF2-40B4-BE49-F238E27FC236}">
              <a16:creationId xmlns:a16="http://schemas.microsoft.com/office/drawing/2014/main" xmlns="" id="{00000000-0008-0000-0C00-000056000000}"/>
            </a:ext>
          </a:extLst>
        </xdr:cNvPr>
        <xdr:cNvSpPr txBox="1">
          <a:spLocks noChangeArrowheads="1"/>
        </xdr:cNvSpPr>
      </xdr:nvSpPr>
      <xdr:spPr bwMode="auto">
        <a:xfrm>
          <a:off x="9886950"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14</xdr:col>
      <xdr:colOff>0</xdr:colOff>
      <xdr:row>3</xdr:row>
      <xdr:rowOff>19050</xdr:rowOff>
    </xdr:from>
    <xdr:to>
      <xdr:col>14</xdr:col>
      <xdr:colOff>0</xdr:colOff>
      <xdr:row>3</xdr:row>
      <xdr:rowOff>257175</xdr:rowOff>
    </xdr:to>
    <xdr:sp macro="" textlink="">
      <xdr:nvSpPr>
        <xdr:cNvPr id="86" name="Text Box 34">
          <a:extLst>
            <a:ext uri="{FF2B5EF4-FFF2-40B4-BE49-F238E27FC236}">
              <a16:creationId xmlns:a16="http://schemas.microsoft.com/office/drawing/2014/main" xmlns="" id="{00000000-0008-0000-0C00-000057000000}"/>
            </a:ext>
          </a:extLst>
        </xdr:cNvPr>
        <xdr:cNvSpPr txBox="1">
          <a:spLocks noChangeArrowheads="1"/>
        </xdr:cNvSpPr>
      </xdr:nvSpPr>
      <xdr:spPr bwMode="auto">
        <a:xfrm>
          <a:off x="1208722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twoCellAnchor>
    <xdr:from>
      <xdr:col>14</xdr:col>
      <xdr:colOff>0</xdr:colOff>
      <xdr:row>3</xdr:row>
      <xdr:rowOff>19050</xdr:rowOff>
    </xdr:from>
    <xdr:to>
      <xdr:col>14</xdr:col>
      <xdr:colOff>0</xdr:colOff>
      <xdr:row>3</xdr:row>
      <xdr:rowOff>257175</xdr:rowOff>
    </xdr:to>
    <xdr:sp macro="" textlink="">
      <xdr:nvSpPr>
        <xdr:cNvPr id="87" name="Text Box 35">
          <a:extLst>
            <a:ext uri="{FF2B5EF4-FFF2-40B4-BE49-F238E27FC236}">
              <a16:creationId xmlns:a16="http://schemas.microsoft.com/office/drawing/2014/main" xmlns="" id="{00000000-0008-0000-0C00-000058000000}"/>
            </a:ext>
          </a:extLst>
        </xdr:cNvPr>
        <xdr:cNvSpPr txBox="1">
          <a:spLocks noChangeArrowheads="1"/>
        </xdr:cNvSpPr>
      </xdr:nvSpPr>
      <xdr:spPr bwMode="auto">
        <a:xfrm>
          <a:off x="12087225" y="1028700"/>
          <a:ext cx="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zh-TW" altLang="en-US" sz="1200" b="0" i="0" u="none" strike="noStrike" baseline="0">
              <a:solidFill>
                <a:srgbClr val="000000"/>
              </a:solidFill>
              <a:latin typeface="新細明體"/>
              <a:ea typeface="新細明體"/>
            </a:rPr>
            <a:t>罪名別</a:t>
          </a:r>
          <a:endParaRPr lang="zh-TW"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371475</xdr:colOff>
      <xdr:row>17</xdr:row>
      <xdr:rowOff>0</xdr:rowOff>
    </xdr:from>
    <xdr:to>
      <xdr:col>0</xdr:col>
      <xdr:colOff>466725</xdr:colOff>
      <xdr:row>17</xdr:row>
      <xdr:rowOff>0</xdr:rowOff>
    </xdr:to>
    <xdr:sp macro="" textlink="">
      <xdr:nvSpPr>
        <xdr:cNvPr id="2" name="AutoShape 1">
          <a:extLst>
            <a:ext uri="{FF2B5EF4-FFF2-40B4-BE49-F238E27FC236}">
              <a16:creationId xmlns:a16="http://schemas.microsoft.com/office/drawing/2014/main" xmlns="" id="{00000000-0008-0000-0F00-000002000000}"/>
            </a:ext>
          </a:extLst>
        </xdr:cNvPr>
        <xdr:cNvSpPr>
          <a:spLocks/>
        </xdr:cNvSpPr>
      </xdr:nvSpPr>
      <xdr:spPr bwMode="auto">
        <a:xfrm>
          <a:off x="371475" y="5572125"/>
          <a:ext cx="95250" cy="0"/>
        </a:xfrm>
        <a:prstGeom prst="leftBrace">
          <a:avLst>
            <a:gd name="adj1" fmla="val -2147483648"/>
            <a:gd name="adj2" fmla="val 50000"/>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clientData/>
  </xdr:twoCellAnchor>
  <xdr:twoCellAnchor>
    <xdr:from>
      <xdr:col>0</xdr:col>
      <xdr:colOff>371475</xdr:colOff>
      <xdr:row>17</xdr:row>
      <xdr:rowOff>0</xdr:rowOff>
    </xdr:from>
    <xdr:to>
      <xdr:col>0</xdr:col>
      <xdr:colOff>466725</xdr:colOff>
      <xdr:row>17</xdr:row>
      <xdr:rowOff>0</xdr:rowOff>
    </xdr:to>
    <xdr:sp macro="" textlink="">
      <xdr:nvSpPr>
        <xdr:cNvPr id="3" name="AutoShape 2">
          <a:extLst>
            <a:ext uri="{FF2B5EF4-FFF2-40B4-BE49-F238E27FC236}">
              <a16:creationId xmlns:a16="http://schemas.microsoft.com/office/drawing/2014/main" xmlns="" id="{00000000-0008-0000-0F00-000003000000}"/>
            </a:ext>
          </a:extLst>
        </xdr:cNvPr>
        <xdr:cNvSpPr>
          <a:spLocks/>
        </xdr:cNvSpPr>
      </xdr:nvSpPr>
      <xdr:spPr bwMode="auto">
        <a:xfrm>
          <a:off x="371475" y="5572125"/>
          <a:ext cx="95250" cy="0"/>
        </a:xfrm>
        <a:prstGeom prst="leftBrace">
          <a:avLst>
            <a:gd name="adj1" fmla="val -2147483648"/>
            <a:gd name="adj2" fmla="val 50000"/>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clientData/>
  </xdr:twoCellAnchor>
  <xdr:twoCellAnchor>
    <xdr:from>
      <xdr:col>0</xdr:col>
      <xdr:colOff>371475</xdr:colOff>
      <xdr:row>17</xdr:row>
      <xdr:rowOff>0</xdr:rowOff>
    </xdr:from>
    <xdr:to>
      <xdr:col>0</xdr:col>
      <xdr:colOff>466725</xdr:colOff>
      <xdr:row>17</xdr:row>
      <xdr:rowOff>0</xdr:rowOff>
    </xdr:to>
    <xdr:sp macro="" textlink="">
      <xdr:nvSpPr>
        <xdr:cNvPr id="4" name="AutoShape 1">
          <a:extLst>
            <a:ext uri="{FF2B5EF4-FFF2-40B4-BE49-F238E27FC236}">
              <a16:creationId xmlns:a16="http://schemas.microsoft.com/office/drawing/2014/main" xmlns="" id="{00000000-0008-0000-0F00-000004000000}"/>
            </a:ext>
          </a:extLst>
        </xdr:cNvPr>
        <xdr:cNvSpPr>
          <a:spLocks/>
        </xdr:cNvSpPr>
      </xdr:nvSpPr>
      <xdr:spPr bwMode="auto">
        <a:xfrm>
          <a:off x="371475" y="5572125"/>
          <a:ext cx="95250" cy="0"/>
        </a:xfrm>
        <a:prstGeom prst="leftBrace">
          <a:avLst>
            <a:gd name="adj1" fmla="val -2147483648"/>
            <a:gd name="adj2" fmla="val 50000"/>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clientData/>
  </xdr:twoCellAnchor>
  <xdr:twoCellAnchor>
    <xdr:from>
      <xdr:col>0</xdr:col>
      <xdr:colOff>371475</xdr:colOff>
      <xdr:row>17</xdr:row>
      <xdr:rowOff>0</xdr:rowOff>
    </xdr:from>
    <xdr:to>
      <xdr:col>0</xdr:col>
      <xdr:colOff>466725</xdr:colOff>
      <xdr:row>17</xdr:row>
      <xdr:rowOff>0</xdr:rowOff>
    </xdr:to>
    <xdr:sp macro="" textlink="">
      <xdr:nvSpPr>
        <xdr:cNvPr id="5" name="AutoShape 2">
          <a:extLst>
            <a:ext uri="{FF2B5EF4-FFF2-40B4-BE49-F238E27FC236}">
              <a16:creationId xmlns:a16="http://schemas.microsoft.com/office/drawing/2014/main" xmlns="" id="{00000000-0008-0000-0F00-000005000000}"/>
            </a:ext>
          </a:extLst>
        </xdr:cNvPr>
        <xdr:cNvSpPr>
          <a:spLocks/>
        </xdr:cNvSpPr>
      </xdr:nvSpPr>
      <xdr:spPr bwMode="auto">
        <a:xfrm>
          <a:off x="371475" y="5572125"/>
          <a:ext cx="95250" cy="0"/>
        </a:xfrm>
        <a:prstGeom prst="leftBrace">
          <a:avLst>
            <a:gd name="adj1" fmla="val -2147483648"/>
            <a:gd name="adj2" fmla="val 50000"/>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3</xdr:row>
      <xdr:rowOff>19050</xdr:rowOff>
    </xdr:from>
    <xdr:to>
      <xdr:col>10</xdr:col>
      <xdr:colOff>0</xdr:colOff>
      <xdr:row>7</xdr:row>
      <xdr:rowOff>190500</xdr:rowOff>
    </xdr:to>
    <xdr:sp macro="" textlink="">
      <xdr:nvSpPr>
        <xdr:cNvPr id="2" name="Text Box 1">
          <a:extLst>
            <a:ext uri="{FF2B5EF4-FFF2-40B4-BE49-F238E27FC236}">
              <a16:creationId xmlns:a16="http://schemas.microsoft.com/office/drawing/2014/main" xmlns="" id="{00000000-0008-0000-1200-000002000000}"/>
            </a:ext>
          </a:extLst>
        </xdr:cNvPr>
        <xdr:cNvSpPr txBox="1">
          <a:spLocks noChangeArrowheads="1"/>
        </xdr:cNvSpPr>
      </xdr:nvSpPr>
      <xdr:spPr bwMode="auto">
        <a:xfrm>
          <a:off x="7181850" y="771525"/>
          <a:ext cx="0" cy="1085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27432" tIns="0" rIns="27432" bIns="0" anchor="ctr" upright="1"/>
        <a:lstStyle/>
        <a:p>
          <a:pPr algn="dist" rtl="0">
            <a:defRPr sz="1000"/>
          </a:pPr>
          <a:r>
            <a:rPr lang="zh-TW" altLang="en-US" sz="1200" b="0" i="0" u="none" strike="noStrike" baseline="0">
              <a:solidFill>
                <a:srgbClr val="000000"/>
              </a:solidFill>
              <a:latin typeface="新細明體"/>
              <a:ea typeface="新細明體"/>
            </a:rPr>
            <a:t>年別</a:t>
          </a:r>
          <a:endParaRPr lang="zh-TW" altLang="en-US"/>
        </a:p>
      </xdr:txBody>
    </xdr:sp>
    <xdr:clientData/>
  </xdr:twoCellAnchor>
  <xdr:twoCellAnchor>
    <xdr:from>
      <xdr:col>1</xdr:col>
      <xdr:colOff>19050</xdr:colOff>
      <xdr:row>28</xdr:row>
      <xdr:rowOff>95250</xdr:rowOff>
    </xdr:from>
    <xdr:to>
      <xdr:col>1</xdr:col>
      <xdr:colOff>95250</xdr:colOff>
      <xdr:row>29</xdr:row>
      <xdr:rowOff>152400</xdr:rowOff>
    </xdr:to>
    <xdr:sp macro="" textlink="">
      <xdr:nvSpPr>
        <xdr:cNvPr id="3" name="AutoShape 47">
          <a:extLst>
            <a:ext uri="{FF2B5EF4-FFF2-40B4-BE49-F238E27FC236}">
              <a16:creationId xmlns:a16="http://schemas.microsoft.com/office/drawing/2014/main" xmlns="" id="{00000000-0008-0000-1200-000003000000}"/>
            </a:ext>
          </a:extLst>
        </xdr:cNvPr>
        <xdr:cNvSpPr>
          <a:spLocks/>
        </xdr:cNvSpPr>
      </xdr:nvSpPr>
      <xdr:spPr bwMode="auto">
        <a:xfrm>
          <a:off x="428625" y="5848350"/>
          <a:ext cx="76200" cy="247650"/>
        </a:xfrm>
        <a:prstGeom prst="leftBrace">
          <a:avLst>
            <a:gd name="adj1" fmla="val 44131"/>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19050</xdr:colOff>
      <xdr:row>10</xdr:row>
      <xdr:rowOff>85725</xdr:rowOff>
    </xdr:from>
    <xdr:to>
      <xdr:col>1</xdr:col>
      <xdr:colOff>95250</xdr:colOff>
      <xdr:row>11</xdr:row>
      <xdr:rowOff>123825</xdr:rowOff>
    </xdr:to>
    <xdr:sp macro="" textlink="">
      <xdr:nvSpPr>
        <xdr:cNvPr id="4" name="AutoShape 47">
          <a:extLst>
            <a:ext uri="{FF2B5EF4-FFF2-40B4-BE49-F238E27FC236}">
              <a16:creationId xmlns:a16="http://schemas.microsoft.com/office/drawing/2014/main" xmlns="" id="{00000000-0008-0000-1200-000007000000}"/>
            </a:ext>
          </a:extLst>
        </xdr:cNvPr>
        <xdr:cNvSpPr>
          <a:spLocks/>
        </xdr:cNvSpPr>
      </xdr:nvSpPr>
      <xdr:spPr bwMode="auto">
        <a:xfrm>
          <a:off x="428625" y="2409825"/>
          <a:ext cx="76200" cy="228600"/>
        </a:xfrm>
        <a:prstGeom prst="leftBrace">
          <a:avLst>
            <a:gd name="adj1" fmla="val 2500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19050</xdr:colOff>
      <xdr:row>12</xdr:row>
      <xdr:rowOff>85725</xdr:rowOff>
    </xdr:from>
    <xdr:to>
      <xdr:col>1</xdr:col>
      <xdr:colOff>95250</xdr:colOff>
      <xdr:row>13</xdr:row>
      <xdr:rowOff>123825</xdr:rowOff>
    </xdr:to>
    <xdr:sp macro="" textlink="">
      <xdr:nvSpPr>
        <xdr:cNvPr id="5" name="AutoShape 47">
          <a:extLst>
            <a:ext uri="{FF2B5EF4-FFF2-40B4-BE49-F238E27FC236}">
              <a16:creationId xmlns:a16="http://schemas.microsoft.com/office/drawing/2014/main" xmlns="" id="{00000000-0008-0000-1200-000008000000}"/>
            </a:ext>
          </a:extLst>
        </xdr:cNvPr>
        <xdr:cNvSpPr>
          <a:spLocks/>
        </xdr:cNvSpPr>
      </xdr:nvSpPr>
      <xdr:spPr bwMode="auto">
        <a:xfrm>
          <a:off x="428625" y="2790825"/>
          <a:ext cx="76200" cy="228600"/>
        </a:xfrm>
        <a:prstGeom prst="leftBrace">
          <a:avLst>
            <a:gd name="adj1" fmla="val 2500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19050</xdr:colOff>
      <xdr:row>16</xdr:row>
      <xdr:rowOff>85725</xdr:rowOff>
    </xdr:from>
    <xdr:to>
      <xdr:col>1</xdr:col>
      <xdr:colOff>95250</xdr:colOff>
      <xdr:row>17</xdr:row>
      <xdr:rowOff>123825</xdr:rowOff>
    </xdr:to>
    <xdr:sp macro="" textlink="">
      <xdr:nvSpPr>
        <xdr:cNvPr id="6" name="AutoShape 47">
          <a:extLst>
            <a:ext uri="{FF2B5EF4-FFF2-40B4-BE49-F238E27FC236}">
              <a16:creationId xmlns:a16="http://schemas.microsoft.com/office/drawing/2014/main" xmlns="" id="{00000000-0008-0000-1200-00000A000000}"/>
            </a:ext>
          </a:extLst>
        </xdr:cNvPr>
        <xdr:cNvSpPr>
          <a:spLocks/>
        </xdr:cNvSpPr>
      </xdr:nvSpPr>
      <xdr:spPr bwMode="auto">
        <a:xfrm>
          <a:off x="428625" y="3552825"/>
          <a:ext cx="76200" cy="228600"/>
        </a:xfrm>
        <a:prstGeom prst="leftBrace">
          <a:avLst>
            <a:gd name="adj1" fmla="val 2500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19050</xdr:colOff>
      <xdr:row>18</xdr:row>
      <xdr:rowOff>85725</xdr:rowOff>
    </xdr:from>
    <xdr:to>
      <xdr:col>1</xdr:col>
      <xdr:colOff>95250</xdr:colOff>
      <xdr:row>19</xdr:row>
      <xdr:rowOff>123825</xdr:rowOff>
    </xdr:to>
    <xdr:sp macro="" textlink="">
      <xdr:nvSpPr>
        <xdr:cNvPr id="7" name="AutoShape 47">
          <a:extLst>
            <a:ext uri="{FF2B5EF4-FFF2-40B4-BE49-F238E27FC236}">
              <a16:creationId xmlns:a16="http://schemas.microsoft.com/office/drawing/2014/main" xmlns="" id="{00000000-0008-0000-1200-00000B000000}"/>
            </a:ext>
          </a:extLst>
        </xdr:cNvPr>
        <xdr:cNvSpPr>
          <a:spLocks/>
        </xdr:cNvSpPr>
      </xdr:nvSpPr>
      <xdr:spPr bwMode="auto">
        <a:xfrm>
          <a:off x="428625" y="3933825"/>
          <a:ext cx="76200" cy="228600"/>
        </a:xfrm>
        <a:prstGeom prst="leftBrace">
          <a:avLst>
            <a:gd name="adj1" fmla="val 2500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19050</xdr:colOff>
      <xdr:row>20</xdr:row>
      <xdr:rowOff>85725</xdr:rowOff>
    </xdr:from>
    <xdr:to>
      <xdr:col>1</xdr:col>
      <xdr:colOff>95250</xdr:colOff>
      <xdr:row>21</xdr:row>
      <xdr:rowOff>123825</xdr:rowOff>
    </xdr:to>
    <xdr:sp macro="" textlink="">
      <xdr:nvSpPr>
        <xdr:cNvPr id="8" name="AutoShape 47">
          <a:extLst>
            <a:ext uri="{FF2B5EF4-FFF2-40B4-BE49-F238E27FC236}">
              <a16:creationId xmlns:a16="http://schemas.microsoft.com/office/drawing/2014/main" xmlns="" id="{00000000-0008-0000-1200-00000C000000}"/>
            </a:ext>
          </a:extLst>
        </xdr:cNvPr>
        <xdr:cNvSpPr>
          <a:spLocks/>
        </xdr:cNvSpPr>
      </xdr:nvSpPr>
      <xdr:spPr bwMode="auto">
        <a:xfrm>
          <a:off x="428625" y="4314825"/>
          <a:ext cx="76200" cy="228600"/>
        </a:xfrm>
        <a:prstGeom prst="leftBrace">
          <a:avLst>
            <a:gd name="adj1" fmla="val 2500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19050</xdr:colOff>
      <xdr:row>22</xdr:row>
      <xdr:rowOff>85725</xdr:rowOff>
    </xdr:from>
    <xdr:to>
      <xdr:col>1</xdr:col>
      <xdr:colOff>95250</xdr:colOff>
      <xdr:row>23</xdr:row>
      <xdr:rowOff>123825</xdr:rowOff>
    </xdr:to>
    <xdr:sp macro="" textlink="">
      <xdr:nvSpPr>
        <xdr:cNvPr id="9" name="AutoShape 47">
          <a:extLst>
            <a:ext uri="{FF2B5EF4-FFF2-40B4-BE49-F238E27FC236}">
              <a16:creationId xmlns:a16="http://schemas.microsoft.com/office/drawing/2014/main" xmlns="" id="{00000000-0008-0000-1200-00000D000000}"/>
            </a:ext>
          </a:extLst>
        </xdr:cNvPr>
        <xdr:cNvSpPr>
          <a:spLocks/>
        </xdr:cNvSpPr>
      </xdr:nvSpPr>
      <xdr:spPr bwMode="auto">
        <a:xfrm>
          <a:off x="428625" y="4695825"/>
          <a:ext cx="76200" cy="228600"/>
        </a:xfrm>
        <a:prstGeom prst="leftBrace">
          <a:avLst>
            <a:gd name="adj1" fmla="val 2500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19050</xdr:colOff>
      <xdr:row>24</xdr:row>
      <xdr:rowOff>85725</xdr:rowOff>
    </xdr:from>
    <xdr:to>
      <xdr:col>1</xdr:col>
      <xdr:colOff>95250</xdr:colOff>
      <xdr:row>25</xdr:row>
      <xdr:rowOff>123825</xdr:rowOff>
    </xdr:to>
    <xdr:sp macro="" textlink="">
      <xdr:nvSpPr>
        <xdr:cNvPr id="10" name="AutoShape 47">
          <a:extLst>
            <a:ext uri="{FF2B5EF4-FFF2-40B4-BE49-F238E27FC236}">
              <a16:creationId xmlns:a16="http://schemas.microsoft.com/office/drawing/2014/main" xmlns="" id="{00000000-0008-0000-1200-00000E000000}"/>
            </a:ext>
          </a:extLst>
        </xdr:cNvPr>
        <xdr:cNvSpPr>
          <a:spLocks/>
        </xdr:cNvSpPr>
      </xdr:nvSpPr>
      <xdr:spPr bwMode="auto">
        <a:xfrm>
          <a:off x="428625" y="5076825"/>
          <a:ext cx="76200" cy="228600"/>
        </a:xfrm>
        <a:prstGeom prst="leftBrace">
          <a:avLst>
            <a:gd name="adj1" fmla="val 2500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0</xdr:colOff>
      <xdr:row>3</xdr:row>
      <xdr:rowOff>19050</xdr:rowOff>
    </xdr:from>
    <xdr:to>
      <xdr:col>10</xdr:col>
      <xdr:colOff>0</xdr:colOff>
      <xdr:row>7</xdr:row>
      <xdr:rowOff>190500</xdr:rowOff>
    </xdr:to>
    <xdr:sp macro="" textlink="">
      <xdr:nvSpPr>
        <xdr:cNvPr id="11" name="Text Box 1">
          <a:extLst>
            <a:ext uri="{FF2B5EF4-FFF2-40B4-BE49-F238E27FC236}">
              <a16:creationId xmlns:a16="http://schemas.microsoft.com/office/drawing/2014/main" xmlns="" id="{00000000-0008-0000-1200-000010000000}"/>
            </a:ext>
          </a:extLst>
        </xdr:cNvPr>
        <xdr:cNvSpPr txBox="1">
          <a:spLocks noChangeArrowheads="1"/>
        </xdr:cNvSpPr>
      </xdr:nvSpPr>
      <xdr:spPr bwMode="auto">
        <a:xfrm>
          <a:off x="7181850" y="771525"/>
          <a:ext cx="0" cy="1085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27432" tIns="0" rIns="27432" bIns="0" anchor="ctr" upright="1"/>
        <a:lstStyle/>
        <a:p>
          <a:pPr algn="dist" rtl="0">
            <a:defRPr sz="1000"/>
          </a:pPr>
          <a:r>
            <a:rPr lang="zh-TW" altLang="en-US" sz="1200" b="0" i="0" u="none" strike="noStrike" baseline="0">
              <a:solidFill>
                <a:srgbClr val="000000"/>
              </a:solidFill>
              <a:latin typeface="新細明體"/>
              <a:ea typeface="新細明體"/>
            </a:rPr>
            <a:t>年別</a:t>
          </a:r>
          <a:endParaRPr lang="zh-TW" altLang="en-US"/>
        </a:p>
      </xdr:txBody>
    </xdr:sp>
    <xdr:clientData/>
  </xdr:twoCellAnchor>
  <xdr:twoCellAnchor>
    <xdr:from>
      <xdr:col>1</xdr:col>
      <xdr:colOff>19050</xdr:colOff>
      <xdr:row>14</xdr:row>
      <xdr:rowOff>85725</xdr:rowOff>
    </xdr:from>
    <xdr:to>
      <xdr:col>1</xdr:col>
      <xdr:colOff>95250</xdr:colOff>
      <xdr:row>15</xdr:row>
      <xdr:rowOff>123825</xdr:rowOff>
    </xdr:to>
    <xdr:sp macro="" textlink="">
      <xdr:nvSpPr>
        <xdr:cNvPr id="12" name="AutoShape 47">
          <a:extLst>
            <a:ext uri="{FF2B5EF4-FFF2-40B4-BE49-F238E27FC236}">
              <a16:creationId xmlns:a16="http://schemas.microsoft.com/office/drawing/2014/main" xmlns="" id="{00000000-0008-0000-1200-000017000000}"/>
            </a:ext>
          </a:extLst>
        </xdr:cNvPr>
        <xdr:cNvSpPr>
          <a:spLocks/>
        </xdr:cNvSpPr>
      </xdr:nvSpPr>
      <xdr:spPr bwMode="auto">
        <a:xfrm>
          <a:off x="428625" y="3171825"/>
          <a:ext cx="76200" cy="228600"/>
        </a:xfrm>
        <a:prstGeom prst="leftBrace">
          <a:avLst>
            <a:gd name="adj1" fmla="val 2500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19050</xdr:colOff>
      <xdr:row>26</xdr:row>
      <xdr:rowOff>85725</xdr:rowOff>
    </xdr:from>
    <xdr:to>
      <xdr:col>1</xdr:col>
      <xdr:colOff>95250</xdr:colOff>
      <xdr:row>27</xdr:row>
      <xdr:rowOff>123825</xdr:rowOff>
    </xdr:to>
    <xdr:sp macro="" textlink="">
      <xdr:nvSpPr>
        <xdr:cNvPr id="13" name="AutoShape 47">
          <a:extLst>
            <a:ext uri="{FF2B5EF4-FFF2-40B4-BE49-F238E27FC236}">
              <a16:creationId xmlns:a16="http://schemas.microsoft.com/office/drawing/2014/main" xmlns="" id="{00000000-0008-0000-1200-00001D000000}"/>
            </a:ext>
          </a:extLst>
        </xdr:cNvPr>
        <xdr:cNvSpPr>
          <a:spLocks/>
        </xdr:cNvSpPr>
      </xdr:nvSpPr>
      <xdr:spPr bwMode="auto">
        <a:xfrm>
          <a:off x="428625" y="5457825"/>
          <a:ext cx="76200" cy="228600"/>
        </a:xfrm>
        <a:prstGeom prst="leftBrace">
          <a:avLst>
            <a:gd name="adj1" fmla="val 2500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S31"/>
  <sheetViews>
    <sheetView showGridLines="0" topLeftCell="E1" zoomScale="106" zoomScaleNormal="120" zoomScalePageLayoutView="120" workbookViewId="0">
      <selection activeCell="J18" sqref="J18"/>
    </sheetView>
  </sheetViews>
  <sheetFormatPr defaultColWidth="9" defaultRowHeight="15.75"/>
  <cols>
    <col min="1" max="4" width="9" style="9" customWidth="1"/>
    <col min="5" max="6" width="13.5" style="9" bestFit="1" customWidth="1"/>
    <col min="7" max="7" width="9" style="9"/>
    <col min="8" max="8" width="9.5" style="9" bestFit="1" customWidth="1"/>
    <col min="9" max="9" width="9.5" style="9" customWidth="1"/>
    <col min="10" max="11" width="9.125" style="9" bestFit="1" customWidth="1"/>
    <col min="12" max="12" width="9" style="9"/>
    <col min="13" max="13" width="12.875" style="9" bestFit="1" customWidth="1"/>
    <col min="14" max="17" width="9" style="9"/>
    <col min="18" max="18" width="9" style="9" customWidth="1"/>
    <col min="19" max="19" width="12.875" style="9" bestFit="1" customWidth="1"/>
    <col min="20" max="16384" width="9" style="9"/>
  </cols>
  <sheetData>
    <row r="1" spans="1:19" ht="20.25">
      <c r="D1" s="2812" t="s">
        <v>210</v>
      </c>
      <c r="E1" s="2812"/>
      <c r="F1" s="2812"/>
      <c r="G1" s="2812"/>
      <c r="H1" s="2812"/>
      <c r="I1" s="2812"/>
      <c r="J1" s="2812"/>
      <c r="K1" s="2812"/>
      <c r="L1" s="2812"/>
      <c r="M1" s="2812"/>
      <c r="N1" s="2812"/>
      <c r="O1" s="2812"/>
      <c r="P1" s="2812"/>
    </row>
    <row r="2" spans="1:19" ht="18.75" customHeight="1">
      <c r="D2" s="2813"/>
      <c r="E2" s="2813"/>
      <c r="F2" s="2814" t="s">
        <v>211</v>
      </c>
      <c r="G2" s="2814"/>
      <c r="H2" s="2814"/>
      <c r="I2" s="2815"/>
      <c r="J2" s="2816" t="s">
        <v>520</v>
      </c>
      <c r="K2" s="2816"/>
      <c r="L2" s="2816"/>
      <c r="M2" s="2817"/>
      <c r="N2" s="2816" t="s">
        <v>521</v>
      </c>
      <c r="O2" s="2816"/>
      <c r="P2" s="2817"/>
    </row>
    <row r="3" spans="1:19" ht="18.75" customHeight="1">
      <c r="D3" s="2802" t="s">
        <v>522</v>
      </c>
      <c r="E3" s="2803"/>
      <c r="F3" s="2804">
        <v>268349</v>
      </c>
      <c r="G3" s="2805"/>
      <c r="H3" s="2805"/>
      <c r="I3" s="2806"/>
      <c r="J3" s="2807" t="s">
        <v>2</v>
      </c>
      <c r="K3" s="2808"/>
      <c r="L3" s="2808"/>
      <c r="M3" s="2809"/>
      <c r="N3" s="2810" t="s">
        <v>578</v>
      </c>
      <c r="O3" s="2811"/>
      <c r="P3" s="2811"/>
    </row>
    <row r="4" spans="1:19" ht="18.75" customHeight="1">
      <c r="D4" s="2791" t="s">
        <v>523</v>
      </c>
      <c r="E4" s="2792"/>
      <c r="F4" s="2793">
        <v>258706</v>
      </c>
      <c r="G4" s="2794"/>
      <c r="H4" s="2794"/>
      <c r="I4" s="2795"/>
      <c r="J4" s="2796" t="s">
        <v>3</v>
      </c>
      <c r="K4" s="2797"/>
      <c r="L4" s="2797"/>
      <c r="M4" s="2798"/>
      <c r="N4" s="2799" t="s">
        <v>579</v>
      </c>
      <c r="O4" s="2800"/>
      <c r="P4" s="2800"/>
    </row>
    <row r="5" spans="1:19" ht="18.75" customHeight="1">
      <c r="D5" s="2791" t="s">
        <v>524</v>
      </c>
      <c r="E5" s="2792"/>
      <c r="F5" s="2793">
        <v>277664</v>
      </c>
      <c r="G5" s="2794"/>
      <c r="H5" s="2794"/>
      <c r="I5" s="2795"/>
      <c r="J5" s="2796" t="s">
        <v>525</v>
      </c>
      <c r="K5" s="2797"/>
      <c r="L5" s="2797"/>
      <c r="M5" s="2798"/>
      <c r="N5" s="2801" t="s">
        <v>580</v>
      </c>
      <c r="O5" s="2800"/>
      <c r="P5" s="2800"/>
    </row>
    <row r="6" spans="1:19" ht="18.75" customHeight="1">
      <c r="D6" s="2780" t="s">
        <v>212</v>
      </c>
      <c r="E6" s="2781"/>
      <c r="F6" s="2782">
        <v>1137.26</v>
      </c>
      <c r="G6" s="2783"/>
      <c r="H6" s="2783"/>
      <c r="I6" s="2784"/>
      <c r="J6" s="2785" t="s">
        <v>4</v>
      </c>
      <c r="K6" s="2786"/>
      <c r="L6" s="2786"/>
      <c r="M6" s="2787"/>
      <c r="N6" s="2788" t="s">
        <v>581</v>
      </c>
      <c r="O6" s="2789"/>
      <c r="P6" s="2789"/>
    </row>
    <row r="7" spans="1:19">
      <c r="D7" s="4" t="s">
        <v>213</v>
      </c>
      <c r="E7" s="1"/>
      <c r="F7" s="1"/>
      <c r="G7" s="1"/>
      <c r="H7" s="1"/>
      <c r="I7" s="1"/>
      <c r="J7" s="10"/>
    </row>
    <row r="8" spans="1:19" s="47" customFormat="1" ht="20.25" customHeight="1">
      <c r="D8" s="5" t="s">
        <v>214</v>
      </c>
      <c r="E8" s="5"/>
      <c r="F8" s="5"/>
      <c r="G8" s="5"/>
      <c r="H8" s="5"/>
      <c r="I8" s="5"/>
      <c r="J8" s="46"/>
    </row>
    <row r="9" spans="1:19" s="47" customFormat="1">
      <c r="D9" s="5" t="s">
        <v>526</v>
      </c>
      <c r="E9" s="5"/>
      <c r="F9" s="5"/>
      <c r="G9" s="5"/>
      <c r="H9" s="493"/>
      <c r="I9" s="493"/>
      <c r="J9" s="493"/>
      <c r="K9" s="493"/>
      <c r="L9" s="493"/>
      <c r="M9" s="493"/>
    </row>
    <row r="10" spans="1:19" s="47" customFormat="1" ht="19.5" customHeight="1">
      <c r="D10" s="5" t="s">
        <v>527</v>
      </c>
      <c r="E10" s="5"/>
      <c r="F10" s="5"/>
      <c r="G10" s="5"/>
      <c r="H10" s="5"/>
      <c r="I10" s="5"/>
      <c r="J10" s="48"/>
    </row>
    <row r="11" spans="1:19" ht="17.25" customHeight="1">
      <c r="D11" s="5" t="s">
        <v>215</v>
      </c>
      <c r="E11" s="5"/>
      <c r="F11" s="5"/>
      <c r="G11" s="5"/>
      <c r="H11" s="5"/>
      <c r="I11" s="5"/>
      <c r="J11" s="49"/>
    </row>
    <row r="13" spans="1:19" ht="20.25">
      <c r="A13" s="2790" t="s">
        <v>528</v>
      </c>
      <c r="B13" s="2790"/>
      <c r="C13" s="2790"/>
      <c r="D13" s="2790"/>
      <c r="E13" s="2790"/>
      <c r="F13" s="2790"/>
      <c r="G13" s="2790"/>
      <c r="H13" s="2790"/>
      <c r="I13" s="2790"/>
      <c r="J13" s="2790"/>
      <c r="K13" s="2790"/>
      <c r="L13" s="2790"/>
      <c r="M13" s="2790"/>
      <c r="N13" s="2790"/>
      <c r="O13" s="2790"/>
      <c r="P13" s="2790"/>
      <c r="Q13" s="2790"/>
      <c r="R13" s="2790"/>
      <c r="S13" s="2790"/>
    </row>
    <row r="14" spans="1:19">
      <c r="A14" s="2775"/>
      <c r="B14" s="2775" t="s">
        <v>216</v>
      </c>
      <c r="C14" s="2775"/>
      <c r="D14" s="2775"/>
      <c r="E14" s="2775"/>
      <c r="F14" s="2775"/>
      <c r="G14" s="2775"/>
      <c r="H14" s="2779" t="s">
        <v>529</v>
      </c>
      <c r="I14" s="2775"/>
      <c r="J14" s="2775"/>
      <c r="K14" s="2775"/>
      <c r="L14" s="2775"/>
      <c r="M14" s="2775"/>
      <c r="N14" s="2779" t="s">
        <v>217</v>
      </c>
      <c r="O14" s="2775"/>
      <c r="P14" s="2775"/>
      <c r="Q14" s="2775"/>
      <c r="R14" s="2775"/>
      <c r="S14" s="2775"/>
    </row>
    <row r="15" spans="1:19" ht="16.5" customHeight="1">
      <c r="A15" s="2775"/>
      <c r="B15" s="491" t="s">
        <v>218</v>
      </c>
      <c r="C15" s="380" t="s">
        <v>219</v>
      </c>
      <c r="D15" s="490" t="s">
        <v>220</v>
      </c>
      <c r="E15" s="380" t="s">
        <v>221</v>
      </c>
      <c r="F15" s="380" t="s">
        <v>222</v>
      </c>
      <c r="G15" s="244" t="s">
        <v>223</v>
      </c>
      <c r="H15" s="245" t="s">
        <v>218</v>
      </c>
      <c r="I15" s="495" t="s">
        <v>530</v>
      </c>
      <c r="J15" s="2774" t="s">
        <v>20</v>
      </c>
      <c r="K15" s="2775"/>
      <c r="L15" s="2776"/>
      <c r="M15" s="490" t="s">
        <v>221</v>
      </c>
      <c r="N15" s="245" t="s">
        <v>218</v>
      </c>
      <c r="O15" s="380" t="s">
        <v>219</v>
      </c>
      <c r="P15" s="2774" t="s">
        <v>20</v>
      </c>
      <c r="Q15" s="2775"/>
      <c r="R15" s="2776"/>
      <c r="S15" s="490" t="s">
        <v>221</v>
      </c>
    </row>
    <row r="16" spans="1:19">
      <c r="A16" s="2775"/>
      <c r="B16" s="491" t="s">
        <v>224</v>
      </c>
      <c r="C16" s="380" t="s">
        <v>224</v>
      </c>
      <c r="D16" s="380" t="s">
        <v>225</v>
      </c>
      <c r="E16" s="380" t="s">
        <v>226</v>
      </c>
      <c r="F16" s="381" t="s">
        <v>227</v>
      </c>
      <c r="G16" s="244" t="s">
        <v>531</v>
      </c>
      <c r="H16" s="245" t="s">
        <v>286</v>
      </c>
      <c r="I16" s="380" t="s">
        <v>532</v>
      </c>
      <c r="J16" s="380" t="s">
        <v>533</v>
      </c>
      <c r="K16" s="380" t="s">
        <v>534</v>
      </c>
      <c r="L16" s="380" t="s">
        <v>535</v>
      </c>
      <c r="M16" s="490" t="s">
        <v>226</v>
      </c>
      <c r="N16" s="489" t="s">
        <v>286</v>
      </c>
      <c r="O16" s="380" t="s">
        <v>286</v>
      </c>
      <c r="P16" s="380" t="s">
        <v>228</v>
      </c>
      <c r="Q16" s="380" t="s">
        <v>536</v>
      </c>
      <c r="R16" s="380" t="s">
        <v>229</v>
      </c>
      <c r="S16" s="490" t="s">
        <v>226</v>
      </c>
    </row>
    <row r="17" spans="1:19">
      <c r="A17" s="492" t="s">
        <v>17</v>
      </c>
      <c r="B17" s="340">
        <v>371934</v>
      </c>
      <c r="C17" s="340">
        <v>296500</v>
      </c>
      <c r="D17" s="340">
        <v>269340</v>
      </c>
      <c r="E17" s="382">
        <v>1607.25</v>
      </c>
      <c r="F17" s="382">
        <v>1163.9100000000001</v>
      </c>
      <c r="G17" s="375" t="s">
        <v>537</v>
      </c>
      <c r="H17" s="340">
        <v>175839</v>
      </c>
      <c r="I17" s="340">
        <v>121346</v>
      </c>
      <c r="J17" s="340">
        <v>64234</v>
      </c>
      <c r="K17" s="340">
        <v>51693</v>
      </c>
      <c r="L17" s="365">
        <v>12541</v>
      </c>
      <c r="M17" s="339">
        <v>759.86083197628727</v>
      </c>
      <c r="N17" s="366">
        <v>5312</v>
      </c>
      <c r="O17" s="340">
        <v>4684</v>
      </c>
      <c r="P17" s="340">
        <v>5365</v>
      </c>
      <c r="Q17" s="340">
        <v>5059</v>
      </c>
      <c r="R17" s="340">
        <v>306</v>
      </c>
      <c r="S17" s="367">
        <v>22.95</v>
      </c>
    </row>
    <row r="18" spans="1:19">
      <c r="A18" s="118" t="s">
        <v>18</v>
      </c>
      <c r="B18" s="133">
        <v>347674</v>
      </c>
      <c r="C18" s="133">
        <v>276371</v>
      </c>
      <c r="D18" s="133">
        <v>260356</v>
      </c>
      <c r="E18" s="120">
        <v>1499.01</v>
      </c>
      <c r="F18" s="120">
        <v>1122.54</v>
      </c>
      <c r="G18" s="376" t="s">
        <v>538</v>
      </c>
      <c r="H18" s="133">
        <v>144898</v>
      </c>
      <c r="I18" s="133">
        <v>99793</v>
      </c>
      <c r="J18" s="133">
        <v>57599</v>
      </c>
      <c r="K18" s="133">
        <v>45913</v>
      </c>
      <c r="L18" s="344">
        <v>11686</v>
      </c>
      <c r="M18" s="116">
        <v>624.73489360260055</v>
      </c>
      <c r="N18" s="368">
        <v>4190</v>
      </c>
      <c r="O18" s="133">
        <v>3943</v>
      </c>
      <c r="P18" s="133">
        <v>4929</v>
      </c>
      <c r="Q18" s="133">
        <v>4680</v>
      </c>
      <c r="R18" s="133">
        <v>249</v>
      </c>
      <c r="S18" s="134">
        <v>18.07</v>
      </c>
    </row>
    <row r="19" spans="1:19">
      <c r="A19" s="118" t="s">
        <v>19</v>
      </c>
      <c r="B19" s="133">
        <v>317356</v>
      </c>
      <c r="C19" s="133">
        <v>266512</v>
      </c>
      <c r="D19" s="133">
        <v>262058</v>
      </c>
      <c r="E19" s="120">
        <v>1363.78</v>
      </c>
      <c r="F19" s="120">
        <v>1126.1400000000001</v>
      </c>
      <c r="G19" s="376" t="s">
        <v>539</v>
      </c>
      <c r="H19" s="133">
        <v>124549</v>
      </c>
      <c r="I19" s="133">
        <v>90103</v>
      </c>
      <c r="J19" s="133">
        <v>58551</v>
      </c>
      <c r="K19" s="133">
        <v>45637</v>
      </c>
      <c r="L19" s="344">
        <v>12914</v>
      </c>
      <c r="M19" s="116">
        <v>535.22576588499874</v>
      </c>
      <c r="N19" s="368">
        <v>3461</v>
      </c>
      <c r="O19" s="133">
        <v>3355</v>
      </c>
      <c r="P19" s="133">
        <v>4527</v>
      </c>
      <c r="Q19" s="133">
        <v>4275</v>
      </c>
      <c r="R19" s="133">
        <v>252</v>
      </c>
      <c r="S19" s="134">
        <v>14.87</v>
      </c>
    </row>
    <row r="20" spans="1:19">
      <c r="A20" s="114" t="s">
        <v>177</v>
      </c>
      <c r="B20" s="97">
        <v>298967</v>
      </c>
      <c r="C20" s="97">
        <v>258802</v>
      </c>
      <c r="D20" s="97">
        <v>255310</v>
      </c>
      <c r="E20" s="116">
        <v>1280.6600000000001</v>
      </c>
      <c r="F20" s="116">
        <v>1093.6500000000001</v>
      </c>
      <c r="G20" s="376" t="s">
        <v>540</v>
      </c>
      <c r="H20" s="115">
        <v>105091</v>
      </c>
      <c r="I20" s="115">
        <v>76941</v>
      </c>
      <c r="J20" s="97">
        <v>51932</v>
      </c>
      <c r="K20" s="97">
        <v>40407</v>
      </c>
      <c r="L20" s="346">
        <v>11525</v>
      </c>
      <c r="M20" s="116">
        <v>450.1712907094273</v>
      </c>
      <c r="N20" s="345">
        <v>2525</v>
      </c>
      <c r="O20" s="97">
        <v>2456</v>
      </c>
      <c r="P20" s="97">
        <v>3052</v>
      </c>
      <c r="Q20" s="133">
        <v>2887</v>
      </c>
      <c r="R20" s="133">
        <v>165</v>
      </c>
      <c r="S20" s="132">
        <v>10.82</v>
      </c>
    </row>
    <row r="21" spans="1:19">
      <c r="A21" s="114" t="s">
        <v>178</v>
      </c>
      <c r="B21" s="97">
        <v>306300</v>
      </c>
      <c r="C21" s="97">
        <v>263515</v>
      </c>
      <c r="D21" s="97">
        <v>261603</v>
      </c>
      <c r="E21" s="116">
        <v>1308.77</v>
      </c>
      <c r="F21" s="116">
        <v>1117.79</v>
      </c>
      <c r="G21" s="376" t="s">
        <v>541</v>
      </c>
      <c r="H21" s="115">
        <v>103025</v>
      </c>
      <c r="I21" s="115">
        <v>77842</v>
      </c>
      <c r="J21" s="97">
        <v>38753</v>
      </c>
      <c r="K21" s="97">
        <v>31368</v>
      </c>
      <c r="L21" s="346">
        <v>7385</v>
      </c>
      <c r="M21" s="116">
        <v>440.21</v>
      </c>
      <c r="N21" s="345">
        <v>2289</v>
      </c>
      <c r="O21" s="97">
        <v>2234</v>
      </c>
      <c r="P21" s="97">
        <v>2825</v>
      </c>
      <c r="Q21" s="133">
        <v>2665</v>
      </c>
      <c r="R21" s="133">
        <v>160</v>
      </c>
      <c r="S21" s="132">
        <v>9.7799999999999994</v>
      </c>
    </row>
    <row r="22" spans="1:19">
      <c r="A22" s="114" t="s">
        <v>230</v>
      </c>
      <c r="B22" s="97">
        <v>297800</v>
      </c>
      <c r="C22" s="97">
        <v>273567</v>
      </c>
      <c r="D22" s="97">
        <v>269296</v>
      </c>
      <c r="E22" s="116">
        <v>1269.24</v>
      </c>
      <c r="F22" s="116">
        <v>1147.75</v>
      </c>
      <c r="G22" s="376" t="s">
        <v>540</v>
      </c>
      <c r="H22" s="115">
        <v>90655</v>
      </c>
      <c r="I22" s="115">
        <v>76143</v>
      </c>
      <c r="J22" s="97">
        <v>54453</v>
      </c>
      <c r="K22" s="97">
        <v>42066</v>
      </c>
      <c r="L22" s="97">
        <v>12387</v>
      </c>
      <c r="M22" s="116">
        <v>386.375</v>
      </c>
      <c r="N22" s="97">
        <v>1956</v>
      </c>
      <c r="O22" s="97">
        <v>2008</v>
      </c>
      <c r="P22" s="97">
        <v>2522</v>
      </c>
      <c r="Q22" s="133">
        <v>2408</v>
      </c>
      <c r="R22" s="133">
        <v>114</v>
      </c>
      <c r="S22" s="132">
        <v>8.33</v>
      </c>
    </row>
    <row r="23" spans="1:19">
      <c r="A23" s="369" t="s">
        <v>542</v>
      </c>
      <c r="B23" s="97">
        <v>294831</v>
      </c>
      <c r="C23" s="97">
        <v>274091</v>
      </c>
      <c r="D23" s="97">
        <v>272817</v>
      </c>
      <c r="E23" s="116">
        <v>1253.7493177501478</v>
      </c>
      <c r="F23" s="116">
        <v>1160.1362394749606</v>
      </c>
      <c r="G23" s="376" t="s">
        <v>543</v>
      </c>
      <c r="H23" s="115">
        <v>83242</v>
      </c>
      <c r="I23" s="115">
        <v>71098</v>
      </c>
      <c r="J23" s="97">
        <v>54386</v>
      </c>
      <c r="K23" s="97">
        <v>41874</v>
      </c>
      <c r="L23" s="97">
        <v>12512</v>
      </c>
      <c r="M23" s="116">
        <v>353.98</v>
      </c>
      <c r="N23" s="97">
        <v>1627</v>
      </c>
      <c r="O23" s="97">
        <v>1656</v>
      </c>
      <c r="P23" s="97">
        <v>2208</v>
      </c>
      <c r="Q23" s="133">
        <v>2085</v>
      </c>
      <c r="R23" s="133">
        <v>123</v>
      </c>
      <c r="S23" s="132">
        <v>6.92</v>
      </c>
    </row>
    <row r="24" spans="1:19">
      <c r="A24" s="369" t="s">
        <v>181</v>
      </c>
      <c r="B24" s="97">
        <v>293453</v>
      </c>
      <c r="C24" s="97">
        <v>277506</v>
      </c>
      <c r="D24" s="97">
        <v>287294</v>
      </c>
      <c r="E24" s="116">
        <v>1245.79</v>
      </c>
      <c r="F24" s="116">
        <v>1219.6500000000001</v>
      </c>
      <c r="G24" s="376" t="s">
        <v>544</v>
      </c>
      <c r="H24" s="115">
        <v>76751</v>
      </c>
      <c r="I24" s="115">
        <v>68779</v>
      </c>
      <c r="J24" s="97">
        <v>58799</v>
      </c>
      <c r="K24" s="97">
        <v>44794</v>
      </c>
      <c r="L24" s="97">
        <v>14005</v>
      </c>
      <c r="M24" s="116">
        <v>325.83</v>
      </c>
      <c r="N24" s="97">
        <v>1260</v>
      </c>
      <c r="O24" s="97">
        <v>1293</v>
      </c>
      <c r="P24" s="97">
        <v>1910</v>
      </c>
      <c r="Q24" s="133">
        <v>1800</v>
      </c>
      <c r="R24" s="133">
        <v>110</v>
      </c>
      <c r="S24" s="132">
        <v>5.35</v>
      </c>
    </row>
    <row r="25" spans="1:19">
      <c r="A25" s="369" t="s">
        <v>231</v>
      </c>
      <c r="B25" s="97">
        <v>284538</v>
      </c>
      <c r="C25" s="97">
        <v>270882</v>
      </c>
      <c r="D25" s="97">
        <v>291621</v>
      </c>
      <c r="E25" s="116">
        <v>1206.6880436090132</v>
      </c>
      <c r="F25" s="116">
        <v>1236.7261102745647</v>
      </c>
      <c r="G25" s="376" t="s">
        <v>232</v>
      </c>
      <c r="H25" s="115">
        <v>72822</v>
      </c>
      <c r="I25" s="115">
        <v>66594</v>
      </c>
      <c r="J25" s="97">
        <v>60993</v>
      </c>
      <c r="K25" s="97">
        <v>45503</v>
      </c>
      <c r="L25" s="97">
        <v>15490</v>
      </c>
      <c r="M25" s="116">
        <v>308.82847532384278</v>
      </c>
      <c r="N25" s="135">
        <v>993</v>
      </c>
      <c r="O25" s="135">
        <v>995</v>
      </c>
      <c r="P25" s="97">
        <v>1666</v>
      </c>
      <c r="Q25" s="133">
        <v>1567</v>
      </c>
      <c r="R25" s="133">
        <v>99</v>
      </c>
      <c r="S25" s="132">
        <v>4.2111817307486179</v>
      </c>
    </row>
    <row r="26" spans="1:19">
      <c r="A26" s="370" t="s">
        <v>183</v>
      </c>
      <c r="B26" s="371">
        <v>268349</v>
      </c>
      <c r="C26" s="371">
        <v>258706</v>
      </c>
      <c r="D26" s="371">
        <v>277664</v>
      </c>
      <c r="E26" s="337">
        <v>1137.2635134140064</v>
      </c>
      <c r="F26" s="337">
        <v>1176.7404990836062</v>
      </c>
      <c r="G26" s="377" t="s">
        <v>545</v>
      </c>
      <c r="H26" s="372">
        <v>67698</v>
      </c>
      <c r="I26" s="372">
        <v>64062</v>
      </c>
      <c r="J26" s="371">
        <v>62950</v>
      </c>
      <c r="K26" s="371">
        <v>46739</v>
      </c>
      <c r="L26" s="371">
        <v>16211</v>
      </c>
      <c r="M26" s="337">
        <v>286.90423788089913</v>
      </c>
      <c r="N26" s="379">
        <v>859</v>
      </c>
      <c r="O26" s="379">
        <v>898</v>
      </c>
      <c r="P26" s="371">
        <v>1464</v>
      </c>
      <c r="Q26" s="373">
        <v>1381</v>
      </c>
      <c r="R26" s="373">
        <v>83</v>
      </c>
      <c r="S26" s="374">
        <v>3.6404434450012166</v>
      </c>
    </row>
    <row r="27" spans="1:19">
      <c r="A27" s="302" t="s">
        <v>65</v>
      </c>
      <c r="B27" s="111"/>
      <c r="C27" s="111"/>
      <c r="D27" s="111"/>
      <c r="E27" s="111"/>
      <c r="F27" s="111"/>
      <c r="G27" s="111"/>
      <c r="H27" s="111"/>
      <c r="I27" s="111"/>
      <c r="J27" s="111"/>
      <c r="K27" s="111"/>
      <c r="L27" s="111"/>
      <c r="M27" s="111"/>
      <c r="N27" s="111"/>
      <c r="O27" s="111"/>
      <c r="P27" s="111"/>
      <c r="Q27" s="111"/>
      <c r="R27" s="111"/>
      <c r="S27" s="111"/>
    </row>
    <row r="28" spans="1:19">
      <c r="A28" s="2777" t="s">
        <v>546</v>
      </c>
      <c r="B28" s="2777"/>
      <c r="C28" s="2777"/>
      <c r="D28" s="2777"/>
      <c r="E28" s="2777"/>
      <c r="F28" s="2777"/>
      <c r="G28" s="2777"/>
      <c r="H28" s="2777"/>
      <c r="I28" s="2777"/>
      <c r="J28" s="2777"/>
      <c r="K28" s="2777"/>
      <c r="L28" s="2777"/>
      <c r="M28" s="2777"/>
      <c r="N28" s="2777"/>
      <c r="O28" s="2777"/>
      <c r="P28" s="2777"/>
      <c r="Q28" s="2777"/>
      <c r="R28" s="2777"/>
      <c r="S28" s="2777"/>
    </row>
    <row r="29" spans="1:19">
      <c r="A29" s="2778" t="s">
        <v>547</v>
      </c>
      <c r="B29" s="2778"/>
      <c r="C29" s="2778"/>
      <c r="D29" s="2778"/>
      <c r="E29" s="2778"/>
      <c r="F29" s="2778"/>
      <c r="G29" s="2778"/>
      <c r="H29" s="2778"/>
      <c r="I29" s="2778"/>
      <c r="J29" s="2778"/>
      <c r="K29" s="2778"/>
      <c r="L29" s="2778"/>
      <c r="M29" s="2778"/>
      <c r="N29" s="2778"/>
      <c r="O29" s="2778"/>
      <c r="P29" s="2778"/>
      <c r="Q29" s="2778"/>
      <c r="R29" s="2778"/>
      <c r="S29" s="2778"/>
    </row>
    <row r="30" spans="1:19">
      <c r="A30" s="2777" t="s">
        <v>548</v>
      </c>
      <c r="B30" s="2777"/>
      <c r="C30" s="2777"/>
      <c r="D30" s="2777"/>
      <c r="E30" s="2777"/>
      <c r="F30" s="2777"/>
      <c r="G30" s="2777"/>
      <c r="H30" s="2777"/>
      <c r="I30" s="2777"/>
      <c r="J30" s="2777"/>
      <c r="K30" s="2777"/>
      <c r="L30" s="2777"/>
      <c r="M30" s="2777"/>
      <c r="N30" s="2777"/>
      <c r="O30" s="2777"/>
      <c r="P30" s="2777"/>
      <c r="Q30" s="2777"/>
      <c r="R30" s="2777"/>
      <c r="S30" s="2777"/>
    </row>
    <row r="31" spans="1:19">
      <c r="A31" s="2777" t="s">
        <v>233</v>
      </c>
      <c r="B31" s="2777"/>
      <c r="C31" s="2777"/>
      <c r="D31" s="2777"/>
      <c r="E31" s="2777"/>
      <c r="F31" s="2777"/>
      <c r="G31" s="2777"/>
      <c r="H31" s="2777"/>
      <c r="I31" s="2777"/>
      <c r="J31" s="2777"/>
      <c r="K31" s="2777"/>
      <c r="L31" s="2777"/>
      <c r="M31" s="2777"/>
      <c r="N31" s="2777"/>
      <c r="O31" s="2777"/>
      <c r="P31" s="2777"/>
      <c r="Q31" s="2777"/>
      <c r="R31" s="2777"/>
      <c r="S31" s="2777"/>
    </row>
  </sheetData>
  <mergeCells count="32">
    <mergeCell ref="D3:E3"/>
    <mergeCell ref="F3:I3"/>
    <mergeCell ref="J3:M3"/>
    <mergeCell ref="N3:P3"/>
    <mergeCell ref="D1:P1"/>
    <mergeCell ref="D2:E2"/>
    <mergeCell ref="F2:I2"/>
    <mergeCell ref="J2:M2"/>
    <mergeCell ref="N2:P2"/>
    <mergeCell ref="D4:E4"/>
    <mergeCell ref="F4:I4"/>
    <mergeCell ref="J4:M4"/>
    <mergeCell ref="N4:P4"/>
    <mergeCell ref="D5:E5"/>
    <mergeCell ref="F5:I5"/>
    <mergeCell ref="J5:M5"/>
    <mergeCell ref="N5:P5"/>
    <mergeCell ref="D6:E6"/>
    <mergeCell ref="F6:I6"/>
    <mergeCell ref="J6:M6"/>
    <mergeCell ref="N6:P6"/>
    <mergeCell ref="A13:S13"/>
    <mergeCell ref="P15:R15"/>
    <mergeCell ref="A28:S28"/>
    <mergeCell ref="A29:S29"/>
    <mergeCell ref="A30:S30"/>
    <mergeCell ref="A31:S31"/>
    <mergeCell ref="A14:A16"/>
    <mergeCell ref="B14:G14"/>
    <mergeCell ref="H14:M14"/>
    <mergeCell ref="N14:S14"/>
    <mergeCell ref="J15:L15"/>
  </mergeCells>
  <phoneticPr fontId="61" type="noConversion"/>
  <printOptions horizontalCentered="1" verticalCentered="1"/>
  <pageMargins left="0.70866141732283472" right="0.70866141732283472" top="0.74803149606299213" bottom="0.74803149606299213" header="0.31496062992125984" footer="0.31496062992125984"/>
  <pageSetup paperSize="11" scale="46" orientation="landscape" r:id="rId1"/>
  <headerFooter differentOddEven="1" scaleWithDoc="0">
    <oddHeader>&amp;L&amp;"Times New Roman,標準"&amp;8 107&amp;"標楷體,標準"年犯罪狀況及其分析</oddHeader>
    <evenHeader>&amp;R&amp;"標楷體,標準"&amp;8第一篇　&amp;"Times New Roman,標準"107&amp;"標楷體,標準"年犯罪狀況及近&amp;"Times New Roman,標準"10&amp;"標楷體,標準"年犯罪趨勢分析</even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K34"/>
  <sheetViews>
    <sheetView showGridLines="0" zoomScaleNormal="100" workbookViewId="0">
      <pane xSplit="1" topLeftCell="B1" activePane="topRight" state="frozen"/>
      <selection activeCell="A13" sqref="A13:B13"/>
      <selection pane="topRight" activeCell="A13" sqref="A13:B13"/>
    </sheetView>
  </sheetViews>
  <sheetFormatPr defaultColWidth="8.625" defaultRowHeight="15"/>
  <cols>
    <col min="1" max="1" width="27.25" style="6" bestFit="1" customWidth="1"/>
    <col min="2" max="11" width="9.625" style="6" customWidth="1"/>
    <col min="12" max="16384" width="8.625" style="6"/>
  </cols>
  <sheetData>
    <row r="1" spans="1:11" ht="24.75" customHeight="1">
      <c r="A1" s="2892" t="s">
        <v>437</v>
      </c>
      <c r="B1" s="2892"/>
      <c r="C1" s="2892"/>
      <c r="D1" s="2892"/>
      <c r="E1" s="2892"/>
      <c r="F1" s="2892"/>
      <c r="G1" s="2892"/>
      <c r="H1" s="2892"/>
      <c r="I1" s="2892"/>
      <c r="J1" s="2892"/>
      <c r="K1" s="2892"/>
    </row>
    <row r="2" spans="1:11" ht="16.5">
      <c r="A2" s="415"/>
      <c r="B2" s="359" t="s">
        <v>412</v>
      </c>
      <c r="C2" s="279" t="s">
        <v>403</v>
      </c>
      <c r="D2" s="279" t="s">
        <v>404</v>
      </c>
      <c r="E2" s="279" t="s">
        <v>405</v>
      </c>
      <c r="F2" s="279" t="s">
        <v>406</v>
      </c>
      <c r="G2" s="279" t="s">
        <v>407</v>
      </c>
      <c r="H2" s="279" t="s">
        <v>408</v>
      </c>
      <c r="I2" s="279" t="s">
        <v>409</v>
      </c>
      <c r="J2" s="279" t="s">
        <v>410</v>
      </c>
      <c r="K2" s="358" t="s">
        <v>411</v>
      </c>
    </row>
    <row r="3" spans="1:11" ht="23.1" customHeight="1">
      <c r="A3" s="414" t="s">
        <v>413</v>
      </c>
      <c r="B3" s="416">
        <v>57654</v>
      </c>
      <c r="C3" s="413">
        <v>58046</v>
      </c>
      <c r="D3" s="413">
        <v>58035</v>
      </c>
      <c r="E3" s="413">
        <v>66172</v>
      </c>
      <c r="F3" s="412">
        <v>73098</v>
      </c>
      <c r="G3" s="418">
        <v>71075</v>
      </c>
      <c r="H3" s="408">
        <v>68776</v>
      </c>
      <c r="I3" s="408">
        <v>67148</v>
      </c>
      <c r="J3" s="408">
        <v>64153</v>
      </c>
      <c r="K3" s="419">
        <v>59876</v>
      </c>
    </row>
    <row r="4" spans="1:11" ht="23.1" customHeight="1">
      <c r="A4" s="414" t="s">
        <v>414</v>
      </c>
      <c r="B4" s="420">
        <v>53053</v>
      </c>
      <c r="C4" s="421">
        <v>52604</v>
      </c>
      <c r="D4" s="421">
        <v>52432</v>
      </c>
      <c r="E4" s="421">
        <v>60484</v>
      </c>
      <c r="F4" s="420">
        <v>67772</v>
      </c>
      <c r="G4" s="418">
        <v>65480</v>
      </c>
      <c r="H4" s="408">
        <v>63021</v>
      </c>
      <c r="I4" s="408">
        <v>61060</v>
      </c>
      <c r="J4" s="408">
        <v>57834</v>
      </c>
      <c r="K4" s="409">
        <v>53512</v>
      </c>
    </row>
    <row r="5" spans="1:11" ht="23.1" customHeight="1">
      <c r="A5" s="414" t="s">
        <v>415</v>
      </c>
      <c r="B5" s="420">
        <v>3373</v>
      </c>
      <c r="C5" s="421">
        <v>4196</v>
      </c>
      <c r="D5" s="421">
        <v>4331</v>
      </c>
      <c r="E5" s="421">
        <v>4254</v>
      </c>
      <c r="F5" s="422">
        <v>3820</v>
      </c>
      <c r="G5" s="418">
        <v>3919</v>
      </c>
      <c r="H5" s="408">
        <v>4167</v>
      </c>
      <c r="I5" s="408">
        <v>4558</v>
      </c>
      <c r="J5" s="408">
        <v>4939</v>
      </c>
      <c r="K5" s="409">
        <v>5179</v>
      </c>
    </row>
    <row r="6" spans="1:11" ht="23.1" customHeight="1">
      <c r="A6" s="414" t="s">
        <v>416</v>
      </c>
      <c r="B6" s="420">
        <v>276</v>
      </c>
      <c r="C6" s="421">
        <v>245</v>
      </c>
      <c r="D6" s="421">
        <v>272</v>
      </c>
      <c r="E6" s="421">
        <v>313</v>
      </c>
      <c r="F6" s="422">
        <v>322</v>
      </c>
      <c r="G6" s="418">
        <v>298</v>
      </c>
      <c r="H6" s="408">
        <v>295</v>
      </c>
      <c r="I6" s="408">
        <v>290</v>
      </c>
      <c r="J6" s="408">
        <v>291</v>
      </c>
      <c r="K6" s="409">
        <v>304</v>
      </c>
    </row>
    <row r="7" spans="1:11" ht="23.1" customHeight="1">
      <c r="A7" s="414" t="s">
        <v>417</v>
      </c>
      <c r="B7" s="420">
        <v>277</v>
      </c>
      <c r="C7" s="421">
        <v>289</v>
      </c>
      <c r="D7" s="421">
        <v>291</v>
      </c>
      <c r="E7" s="421">
        <v>294</v>
      </c>
      <c r="F7" s="422">
        <v>248</v>
      </c>
      <c r="G7" s="418">
        <v>267</v>
      </c>
      <c r="H7" s="408">
        <v>325</v>
      </c>
      <c r="I7" s="408">
        <v>325</v>
      </c>
      <c r="J7" s="408">
        <v>304</v>
      </c>
      <c r="K7" s="409">
        <v>297</v>
      </c>
    </row>
    <row r="8" spans="1:11" ht="23.1" customHeight="1">
      <c r="A8" s="414" t="s">
        <v>418</v>
      </c>
      <c r="B8" s="420">
        <v>59</v>
      </c>
      <c r="C8" s="421">
        <v>90</v>
      </c>
      <c r="D8" s="421">
        <v>140</v>
      </c>
      <c r="E8" s="421">
        <v>298</v>
      </c>
      <c r="F8" s="422">
        <v>316</v>
      </c>
      <c r="G8" s="418">
        <v>376</v>
      </c>
      <c r="H8" s="408">
        <v>302</v>
      </c>
      <c r="I8" s="408">
        <v>237</v>
      </c>
      <c r="J8" s="408">
        <v>184</v>
      </c>
      <c r="K8" s="409">
        <v>137</v>
      </c>
    </row>
    <row r="9" spans="1:11" ht="23.1" customHeight="1">
      <c r="A9" s="414" t="s">
        <v>419</v>
      </c>
      <c r="B9" s="420">
        <v>147</v>
      </c>
      <c r="C9" s="423">
        <v>117</v>
      </c>
      <c r="D9" s="423">
        <v>100</v>
      </c>
      <c r="E9" s="423">
        <v>101</v>
      </c>
      <c r="F9" s="420">
        <v>85</v>
      </c>
      <c r="G9" s="424">
        <v>109</v>
      </c>
      <c r="H9" s="408">
        <v>80</v>
      </c>
      <c r="I9" s="408">
        <v>82</v>
      </c>
      <c r="J9" s="408">
        <v>67</v>
      </c>
      <c r="K9" s="409">
        <v>74</v>
      </c>
    </row>
    <row r="10" spans="1:11" ht="23.1" customHeight="1">
      <c r="A10" s="414" t="s">
        <v>420</v>
      </c>
      <c r="B10" s="420">
        <v>197</v>
      </c>
      <c r="C10" s="423">
        <v>201</v>
      </c>
      <c r="D10" s="423">
        <v>141</v>
      </c>
      <c r="E10" s="423">
        <v>88</v>
      </c>
      <c r="F10" s="420">
        <v>110</v>
      </c>
      <c r="G10" s="424">
        <v>99</v>
      </c>
      <c r="H10" s="408">
        <v>90</v>
      </c>
      <c r="I10" s="408">
        <v>109</v>
      </c>
      <c r="J10" s="408">
        <v>79</v>
      </c>
      <c r="K10" s="409">
        <v>54</v>
      </c>
    </row>
    <row r="11" spans="1:11" ht="23.1" customHeight="1">
      <c r="A11" s="414" t="s">
        <v>421</v>
      </c>
      <c r="B11" s="420">
        <v>24</v>
      </c>
      <c r="C11" s="423">
        <v>19</v>
      </c>
      <c r="D11" s="423">
        <v>24</v>
      </c>
      <c r="E11" s="423">
        <v>18</v>
      </c>
      <c r="F11" s="420">
        <v>24</v>
      </c>
      <c r="G11" s="424">
        <v>40</v>
      </c>
      <c r="H11" s="408">
        <v>38</v>
      </c>
      <c r="I11" s="408">
        <v>43</v>
      </c>
      <c r="J11" s="408">
        <v>54</v>
      </c>
      <c r="K11" s="409">
        <v>26</v>
      </c>
    </row>
    <row r="12" spans="1:11" ht="23.1" customHeight="1">
      <c r="A12" s="414" t="s">
        <v>422</v>
      </c>
      <c r="B12" s="418">
        <v>9</v>
      </c>
      <c r="C12" s="408">
        <v>6</v>
      </c>
      <c r="D12" s="408">
        <v>6</v>
      </c>
      <c r="E12" s="408">
        <v>16</v>
      </c>
      <c r="F12" s="408">
        <v>14</v>
      </c>
      <c r="G12" s="424">
        <v>13</v>
      </c>
      <c r="H12" s="408">
        <v>21</v>
      </c>
      <c r="I12" s="408">
        <v>18</v>
      </c>
      <c r="J12" s="408">
        <v>26</v>
      </c>
      <c r="K12" s="409">
        <v>16</v>
      </c>
    </row>
    <row r="13" spans="1:11" ht="33">
      <c r="A13" s="414" t="s">
        <v>423</v>
      </c>
      <c r="B13" s="418">
        <v>6</v>
      </c>
      <c r="C13" s="408">
        <v>11</v>
      </c>
      <c r="D13" s="408">
        <v>4</v>
      </c>
      <c r="E13" s="408">
        <v>11</v>
      </c>
      <c r="F13" s="408">
        <v>6</v>
      </c>
      <c r="G13" s="424">
        <v>10</v>
      </c>
      <c r="H13" s="408">
        <v>7</v>
      </c>
      <c r="I13" s="408">
        <v>14</v>
      </c>
      <c r="J13" s="408">
        <v>14</v>
      </c>
      <c r="K13" s="409">
        <v>13</v>
      </c>
    </row>
    <row r="14" spans="1:11" s="27" customFormat="1" ht="33">
      <c r="A14" s="414" t="s">
        <v>424</v>
      </c>
      <c r="B14" s="425" t="s">
        <v>6</v>
      </c>
      <c r="C14" s="408" t="s">
        <v>6</v>
      </c>
      <c r="D14" s="408">
        <v>5</v>
      </c>
      <c r="E14" s="408">
        <v>8</v>
      </c>
      <c r="F14" s="408">
        <v>9</v>
      </c>
      <c r="G14" s="424">
        <v>11</v>
      </c>
      <c r="H14" s="408">
        <v>8</v>
      </c>
      <c r="I14" s="408">
        <v>5</v>
      </c>
      <c r="J14" s="408">
        <v>7</v>
      </c>
      <c r="K14" s="409">
        <v>8</v>
      </c>
    </row>
    <row r="15" spans="1:11" ht="23.1" customHeight="1">
      <c r="A15" s="414" t="s">
        <v>425</v>
      </c>
      <c r="B15" s="418">
        <v>1</v>
      </c>
      <c r="C15" s="408">
        <v>7</v>
      </c>
      <c r="D15" s="408">
        <v>3</v>
      </c>
      <c r="E15" s="408">
        <v>1</v>
      </c>
      <c r="F15" s="408">
        <v>2</v>
      </c>
      <c r="G15" s="424">
        <v>4</v>
      </c>
      <c r="H15" s="408">
        <v>6</v>
      </c>
      <c r="I15" s="408">
        <v>9</v>
      </c>
      <c r="J15" s="408">
        <v>4</v>
      </c>
      <c r="K15" s="409">
        <v>8</v>
      </c>
    </row>
    <row r="16" spans="1:11" ht="33">
      <c r="A16" s="414" t="s">
        <v>426</v>
      </c>
      <c r="B16" s="418">
        <v>3</v>
      </c>
      <c r="C16" s="408">
        <v>4</v>
      </c>
      <c r="D16" s="408">
        <v>3</v>
      </c>
      <c r="E16" s="408">
        <v>1</v>
      </c>
      <c r="F16" s="408">
        <v>2</v>
      </c>
      <c r="G16" s="424">
        <v>3</v>
      </c>
      <c r="H16" s="408">
        <v>2</v>
      </c>
      <c r="I16" s="408">
        <v>6</v>
      </c>
      <c r="J16" s="408">
        <v>3</v>
      </c>
      <c r="K16" s="409">
        <v>6</v>
      </c>
    </row>
    <row r="17" spans="1:11" ht="23.1" customHeight="1">
      <c r="A17" s="414" t="s">
        <v>427</v>
      </c>
      <c r="B17" s="418">
        <v>2</v>
      </c>
      <c r="C17" s="408" t="s">
        <v>6</v>
      </c>
      <c r="D17" s="408">
        <v>4</v>
      </c>
      <c r="E17" s="408">
        <v>4</v>
      </c>
      <c r="F17" s="408">
        <v>1</v>
      </c>
      <c r="G17" s="424">
        <v>1</v>
      </c>
      <c r="H17" s="408" t="s">
        <v>6</v>
      </c>
      <c r="I17" s="408">
        <v>1</v>
      </c>
      <c r="J17" s="408">
        <v>3</v>
      </c>
      <c r="K17" s="409">
        <v>4</v>
      </c>
    </row>
    <row r="18" spans="1:11" ht="23.1" customHeight="1">
      <c r="A18" s="414" t="s">
        <v>428</v>
      </c>
      <c r="B18" s="418">
        <v>3</v>
      </c>
      <c r="C18" s="408">
        <v>9</v>
      </c>
      <c r="D18" s="408">
        <v>9</v>
      </c>
      <c r="E18" s="408">
        <v>1</v>
      </c>
      <c r="F18" s="408">
        <v>4</v>
      </c>
      <c r="G18" s="424">
        <v>6</v>
      </c>
      <c r="H18" s="408">
        <v>1</v>
      </c>
      <c r="I18" s="408">
        <v>6</v>
      </c>
      <c r="J18" s="408">
        <v>3</v>
      </c>
      <c r="K18" s="409">
        <v>3</v>
      </c>
    </row>
    <row r="19" spans="1:11" ht="23.1" customHeight="1">
      <c r="A19" s="414" t="s">
        <v>429</v>
      </c>
      <c r="B19" s="418">
        <v>2</v>
      </c>
      <c r="C19" s="408">
        <v>6</v>
      </c>
      <c r="D19" s="408">
        <v>3</v>
      </c>
      <c r="E19" s="408">
        <v>2</v>
      </c>
      <c r="F19" s="408">
        <v>2</v>
      </c>
      <c r="G19" s="424">
        <v>7</v>
      </c>
      <c r="H19" s="408">
        <v>9</v>
      </c>
      <c r="I19" s="408">
        <v>7</v>
      </c>
      <c r="J19" s="408">
        <v>5</v>
      </c>
      <c r="K19" s="409">
        <v>3</v>
      </c>
    </row>
    <row r="20" spans="1:11" ht="23.1" customHeight="1">
      <c r="A20" s="414" t="s">
        <v>430</v>
      </c>
      <c r="B20" s="418">
        <v>1</v>
      </c>
      <c r="C20" s="408">
        <v>2</v>
      </c>
      <c r="D20" s="408">
        <v>1</v>
      </c>
      <c r="E20" s="408" t="s">
        <v>6</v>
      </c>
      <c r="F20" s="408">
        <v>1</v>
      </c>
      <c r="G20" s="424">
        <v>2</v>
      </c>
      <c r="H20" s="408" t="s">
        <v>6</v>
      </c>
      <c r="I20" s="408" t="s">
        <v>6</v>
      </c>
      <c r="J20" s="408" t="s">
        <v>6</v>
      </c>
      <c r="K20" s="409">
        <v>2</v>
      </c>
    </row>
    <row r="21" spans="1:11" ht="33">
      <c r="A21" s="414" t="s">
        <v>431</v>
      </c>
      <c r="B21" s="408" t="s">
        <v>6</v>
      </c>
      <c r="C21" s="409">
        <v>3</v>
      </c>
      <c r="D21" s="409">
        <v>2</v>
      </c>
      <c r="E21" s="409" t="s">
        <v>6</v>
      </c>
      <c r="F21" s="409" t="s">
        <v>6</v>
      </c>
      <c r="G21" s="408" t="s">
        <v>6</v>
      </c>
      <c r="H21" s="408">
        <v>1</v>
      </c>
      <c r="I21" s="408">
        <v>2</v>
      </c>
      <c r="J21" s="408" t="s">
        <v>6</v>
      </c>
      <c r="K21" s="409" t="s">
        <v>6</v>
      </c>
    </row>
    <row r="22" spans="1:11" ht="23.1" customHeight="1">
      <c r="A22" s="414" t="s">
        <v>432</v>
      </c>
      <c r="B22" s="408" t="s">
        <v>6</v>
      </c>
      <c r="C22" s="409">
        <v>1</v>
      </c>
      <c r="D22" s="409" t="s">
        <v>6</v>
      </c>
      <c r="E22" s="409" t="s">
        <v>6</v>
      </c>
      <c r="F22" s="408" t="s">
        <v>6</v>
      </c>
      <c r="G22" s="408" t="s">
        <v>6</v>
      </c>
      <c r="H22" s="408" t="s">
        <v>6</v>
      </c>
      <c r="I22" s="408" t="s">
        <v>6</v>
      </c>
      <c r="J22" s="408" t="s">
        <v>6</v>
      </c>
      <c r="K22" s="409" t="s">
        <v>6</v>
      </c>
    </row>
    <row r="23" spans="1:11" ht="23.1" customHeight="1">
      <c r="A23" s="414" t="s">
        <v>433</v>
      </c>
      <c r="B23" s="418">
        <v>1</v>
      </c>
      <c r="C23" s="409" t="s">
        <v>6</v>
      </c>
      <c r="D23" s="409" t="s">
        <v>6</v>
      </c>
      <c r="E23" s="409" t="s">
        <v>6</v>
      </c>
      <c r="F23" s="409" t="s">
        <v>6</v>
      </c>
      <c r="G23" s="418">
        <v>1</v>
      </c>
      <c r="H23" s="408">
        <v>2</v>
      </c>
      <c r="I23" s="408" t="s">
        <v>6</v>
      </c>
      <c r="J23" s="408">
        <v>1</v>
      </c>
      <c r="K23" s="409" t="s">
        <v>6</v>
      </c>
    </row>
    <row r="24" spans="1:11" ht="23.1" customHeight="1">
      <c r="A24" s="417" t="s">
        <v>434</v>
      </c>
      <c r="B24" s="426">
        <v>220</v>
      </c>
      <c r="C24" s="427">
        <v>236</v>
      </c>
      <c r="D24" s="427">
        <v>264</v>
      </c>
      <c r="E24" s="427">
        <v>278</v>
      </c>
      <c r="F24" s="427">
        <v>360</v>
      </c>
      <c r="G24" s="426">
        <v>429</v>
      </c>
      <c r="H24" s="426">
        <v>401</v>
      </c>
      <c r="I24" s="426">
        <v>376</v>
      </c>
      <c r="J24" s="426">
        <v>335</v>
      </c>
      <c r="K24" s="427">
        <v>230</v>
      </c>
    </row>
    <row r="25" spans="1:11">
      <c r="A25" s="428" t="s">
        <v>436</v>
      </c>
    </row>
    <row r="26" spans="1:11" ht="23.1" customHeight="1"/>
    <row r="27" spans="1:11" ht="23.1" customHeight="1"/>
    <row r="28" spans="1:11" ht="23.1" customHeight="1"/>
    <row r="29" spans="1:11" ht="23.1" customHeight="1"/>
    <row r="30" spans="1:11" ht="23.1" customHeight="1"/>
    <row r="31" spans="1:11" ht="23.1" customHeight="1"/>
    <row r="32" spans="1:11" ht="23.1" customHeight="1"/>
    <row r="33" ht="23.1" customHeight="1"/>
    <row r="34" ht="23.1" customHeight="1"/>
  </sheetData>
  <mergeCells count="1">
    <mergeCell ref="A1:K1"/>
  </mergeCells>
  <phoneticPr fontId="6" type="noConversion"/>
  <printOptions horizontalCentered="1" verticalCentered="1"/>
  <pageMargins left="0.70866141732283472" right="0.70866141732283472" top="0.74803149606299213" bottom="0.74803149606299213" header="0.31496062992125984" footer="0.31496062992125984"/>
  <pageSetup paperSize="11" scale="54" orientation="landscape" r:id="rId1"/>
  <headerFooter differentOddEven="1" scaleWithDoc="0">
    <oddHeader>&amp;L&amp;"Times New Roman,標準"&amp;8 107&amp;"標楷體,標準"年犯罪狀況及其分析</oddHeader>
    <evenHeader>&amp;R&amp;"標楷體,標準"&amp;8第一篇　&amp;"Times New Roman,標準"107&amp;"標楷體,標準"年犯罪狀況及近&amp;"Times New Roman,標準"10&amp;"標楷體,標準"年犯罪趨勢分析</evenHead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N24"/>
  <sheetViews>
    <sheetView showGridLines="0" showRuler="0" topLeftCell="A7" zoomScale="120" zoomScaleNormal="120" zoomScalePageLayoutView="125" workbookViewId="0">
      <selection activeCell="B18" sqref="B18:D18"/>
    </sheetView>
  </sheetViews>
  <sheetFormatPr defaultColWidth="9" defaultRowHeight="15.75"/>
  <cols>
    <col min="1" max="1" width="18.125" style="1795" customWidth="1"/>
    <col min="2" max="3" width="9" style="1795"/>
    <col min="4" max="4" width="8.125" style="1795" customWidth="1"/>
    <col min="5" max="13" width="9" style="1795"/>
    <col min="14" max="14" width="9" style="1795" customWidth="1"/>
    <col min="15" max="16384" width="9" style="1795"/>
  </cols>
  <sheetData>
    <row r="1" spans="1:14" ht="22.5" customHeight="1">
      <c r="A1" s="3733" t="s">
        <v>2789</v>
      </c>
      <c r="B1" s="3733"/>
      <c r="C1" s="3733"/>
      <c r="D1" s="3733"/>
      <c r="E1" s="3733"/>
      <c r="F1" s="3733"/>
      <c r="G1" s="3733"/>
      <c r="H1" s="3733"/>
      <c r="I1" s="3733"/>
      <c r="J1" s="3733"/>
      <c r="K1" s="3733"/>
    </row>
    <row r="2" spans="1:14" ht="20.100000000000001" customHeight="1">
      <c r="A2" s="1832"/>
      <c r="B2" s="3722" t="s">
        <v>2790</v>
      </c>
      <c r="C2" s="3734"/>
      <c r="D2" s="3730" t="s">
        <v>2791</v>
      </c>
      <c r="E2" s="3734"/>
      <c r="F2" s="3730" t="s">
        <v>2792</v>
      </c>
      <c r="G2" s="3722"/>
      <c r="H2" s="3803" t="s">
        <v>2793</v>
      </c>
      <c r="I2" s="3799" t="s">
        <v>2794</v>
      </c>
      <c r="J2" s="3803" t="s">
        <v>2795</v>
      </c>
      <c r="K2" s="3799"/>
      <c r="L2" s="1849"/>
      <c r="M2" s="1849"/>
      <c r="N2" s="2030"/>
    </row>
    <row r="3" spans="1:14" s="1960" customFormat="1" ht="20.100000000000001" customHeight="1">
      <c r="A3" s="1833"/>
      <c r="B3" s="1927" t="s">
        <v>2796</v>
      </c>
      <c r="C3" s="1859" t="s">
        <v>2797</v>
      </c>
      <c r="D3" s="1927" t="s">
        <v>2796</v>
      </c>
      <c r="E3" s="1859" t="s">
        <v>2797</v>
      </c>
      <c r="F3" s="1927" t="s">
        <v>2563</v>
      </c>
      <c r="G3" s="1859" t="s">
        <v>2797</v>
      </c>
      <c r="H3" s="1927" t="s">
        <v>2563</v>
      </c>
      <c r="I3" s="1859" t="s">
        <v>2797</v>
      </c>
      <c r="J3" s="1927" t="s">
        <v>2563</v>
      </c>
      <c r="K3" s="1788" t="s">
        <v>2797</v>
      </c>
      <c r="L3" s="2031"/>
      <c r="M3" s="2031"/>
      <c r="N3" s="1892"/>
    </row>
    <row r="4" spans="1:14" ht="20.100000000000001" customHeight="1">
      <c r="A4" s="1849" t="s">
        <v>2375</v>
      </c>
      <c r="B4" s="2032">
        <f>B5+B6</f>
        <v>9289</v>
      </c>
      <c r="C4" s="2033">
        <f>SUM(C7:C11)</f>
        <v>100.00000000000001</v>
      </c>
      <c r="D4" s="2032">
        <f>D5+D6</f>
        <v>10668</v>
      </c>
      <c r="E4" s="2033">
        <f>SUM(E7:E11)</f>
        <v>100</v>
      </c>
      <c r="F4" s="2032">
        <f>F5+F6</f>
        <v>11277</v>
      </c>
      <c r="G4" s="2033">
        <f>SUM(G7:G11)</f>
        <v>100</v>
      </c>
      <c r="H4" s="2032">
        <f>H5+H6</f>
        <v>10261</v>
      </c>
      <c r="I4" s="2034">
        <f>SUM(I7:I11)</f>
        <v>100</v>
      </c>
      <c r="J4" s="2032">
        <f>J5+J6</f>
        <v>9248</v>
      </c>
      <c r="K4" s="2034">
        <f>SUM(K7:K11)</f>
        <v>100</v>
      </c>
      <c r="L4" s="1849"/>
      <c r="M4" s="1849"/>
      <c r="N4" s="2035"/>
    </row>
    <row r="5" spans="1:14" ht="16.5" customHeight="1">
      <c r="A5" s="2036" t="s">
        <v>2798</v>
      </c>
      <c r="B5" s="2032">
        <v>7950</v>
      </c>
      <c r="C5" s="2037">
        <f t="shared" ref="C5:C6" si="0">B5/B$4*100</f>
        <v>85.585100656690699</v>
      </c>
      <c r="D5" s="2032">
        <v>9206</v>
      </c>
      <c r="E5" s="2037">
        <f>D5/D$4*100</f>
        <v>86.2954630671166</v>
      </c>
      <c r="F5" s="2032">
        <v>9772</v>
      </c>
      <c r="G5" s="2037">
        <f>F5/F$4*100</f>
        <v>86.6542520173805</v>
      </c>
      <c r="H5" s="2032">
        <v>8860</v>
      </c>
      <c r="I5" s="2038">
        <f>H5/H$4*100</f>
        <v>86.346360003898255</v>
      </c>
      <c r="J5" s="2032">
        <v>8050</v>
      </c>
      <c r="K5" s="2038">
        <f>J5/J$4*100</f>
        <v>87.04584775086505</v>
      </c>
      <c r="L5" s="1849"/>
      <c r="M5" s="1849"/>
      <c r="N5" s="2030"/>
    </row>
    <row r="6" spans="1:14" ht="17.25" customHeight="1">
      <c r="A6" s="2039" t="s">
        <v>2799</v>
      </c>
      <c r="B6" s="2040">
        <v>1339</v>
      </c>
      <c r="C6" s="2041">
        <f t="shared" si="0"/>
        <v>14.41489934330929</v>
      </c>
      <c r="D6" s="2040">
        <v>1462</v>
      </c>
      <c r="E6" s="2041">
        <f t="shared" ref="E6" si="1">D6/D$4*100</f>
        <v>13.704536932883391</v>
      </c>
      <c r="F6" s="2040">
        <v>1505</v>
      </c>
      <c r="G6" s="2041">
        <f t="shared" ref="G6" si="2">F6/F$4*100</f>
        <v>13.345747982619491</v>
      </c>
      <c r="H6" s="2040">
        <v>1401</v>
      </c>
      <c r="I6" s="2042">
        <f t="shared" ref="I6" si="3">H6/H$4*100</f>
        <v>13.653639996101743</v>
      </c>
      <c r="J6" s="2040">
        <v>1198</v>
      </c>
      <c r="K6" s="2042">
        <f t="shared" ref="K6" si="4">J6/J$4*100</f>
        <v>12.954152249134948</v>
      </c>
      <c r="L6" s="1849"/>
      <c r="M6" s="1849"/>
      <c r="N6" s="2035"/>
    </row>
    <row r="7" spans="1:14" ht="20.100000000000001" customHeight="1">
      <c r="A7" s="1997" t="s">
        <v>2800</v>
      </c>
      <c r="B7" s="2032">
        <v>5103</v>
      </c>
      <c r="C7" s="2037">
        <f>B7/B$4*100</f>
        <v>54.935945742275806</v>
      </c>
      <c r="D7" s="2032">
        <v>5811</v>
      </c>
      <c r="E7" s="2037">
        <f>D7/D$4*100</f>
        <v>54.47131608548932</v>
      </c>
      <c r="F7" s="2032">
        <v>6174</v>
      </c>
      <c r="G7" s="2037">
        <f>F7/F$4*100</f>
        <v>54.748603351955303</v>
      </c>
      <c r="H7" s="2032">
        <v>5504</v>
      </c>
      <c r="I7" s="2038">
        <f>H7/H$4*100</f>
        <v>53.639996101744472</v>
      </c>
      <c r="J7" s="2032">
        <v>4993</v>
      </c>
      <c r="K7" s="2038">
        <f>J7/J$4*100</f>
        <v>53.990051903114193</v>
      </c>
      <c r="L7" s="1849"/>
      <c r="M7" s="1849"/>
      <c r="N7" s="1849"/>
    </row>
    <row r="8" spans="1:14" ht="20.100000000000001" customHeight="1">
      <c r="A8" s="299" t="s">
        <v>2801</v>
      </c>
      <c r="B8" s="2032">
        <v>3196</v>
      </c>
      <c r="C8" s="2037">
        <f>B8/B$4*100</f>
        <v>34.406287006136289</v>
      </c>
      <c r="D8" s="2032">
        <v>3721</v>
      </c>
      <c r="E8" s="2037">
        <f>D8/D$4*100</f>
        <v>34.880014998125233</v>
      </c>
      <c r="F8" s="2032">
        <v>3800</v>
      </c>
      <c r="G8" s="2037">
        <f>F8/F$4*100</f>
        <v>33.696905205285091</v>
      </c>
      <c r="H8" s="2032">
        <v>3477</v>
      </c>
      <c r="I8" s="2038">
        <f>H8/H$4*100</f>
        <v>33.885586200175425</v>
      </c>
      <c r="J8" s="2032">
        <v>3044</v>
      </c>
      <c r="K8" s="2038">
        <f>J8/J$4*100</f>
        <v>32.915224913494811</v>
      </c>
      <c r="L8" s="1849"/>
      <c r="M8" s="1849"/>
      <c r="N8" s="1849"/>
    </row>
    <row r="9" spans="1:14" ht="20.100000000000001" customHeight="1">
      <c r="A9" s="299" t="s">
        <v>2802</v>
      </c>
      <c r="B9" s="2032">
        <v>861</v>
      </c>
      <c r="C9" s="2037">
        <f>B9/B$4*100</f>
        <v>9.2690278824415984</v>
      </c>
      <c r="D9" s="2032">
        <v>946</v>
      </c>
      <c r="E9" s="2037">
        <f>D9/D$4*100</f>
        <v>8.867641544806899</v>
      </c>
      <c r="F9" s="2032">
        <v>1120</v>
      </c>
      <c r="G9" s="2037">
        <f>F9/F$4*100</f>
        <v>9.931719428926133</v>
      </c>
      <c r="H9" s="2032">
        <v>1107</v>
      </c>
      <c r="I9" s="2038">
        <f>H9/H$4*100</f>
        <v>10.788422181073971</v>
      </c>
      <c r="J9" s="2032">
        <v>1090</v>
      </c>
      <c r="K9" s="2038">
        <f>J9/J$4*100</f>
        <v>11.786332179930795</v>
      </c>
      <c r="L9" s="1849"/>
      <c r="M9" s="1849"/>
      <c r="N9" s="1849"/>
    </row>
    <row r="10" spans="1:14" ht="20.100000000000001" customHeight="1">
      <c r="A10" s="299" t="s">
        <v>2803</v>
      </c>
      <c r="B10" s="2032">
        <v>129</v>
      </c>
      <c r="C10" s="2037">
        <f>B10/B$4*100</f>
        <v>1.3887393691463019</v>
      </c>
      <c r="D10" s="2032">
        <v>190</v>
      </c>
      <c r="E10" s="2037">
        <f>D10/D$4*100</f>
        <v>1.7810273715785525</v>
      </c>
      <c r="F10" s="2032">
        <v>183</v>
      </c>
      <c r="G10" s="2037">
        <f>F10/F$4*100</f>
        <v>1.6227720138334665</v>
      </c>
      <c r="H10" s="2032">
        <v>173</v>
      </c>
      <c r="I10" s="2038">
        <f>H10/H$4*100</f>
        <v>1.6859955170061398</v>
      </c>
      <c r="J10" s="2032">
        <v>121</v>
      </c>
      <c r="K10" s="2038">
        <f>J10/J$4*100</f>
        <v>1.3083910034602075</v>
      </c>
    </row>
    <row r="11" spans="1:14" ht="20.100000000000001" customHeight="1" thickBot="1">
      <c r="A11" s="299" t="s">
        <v>2804</v>
      </c>
      <c r="B11" s="2040" t="s">
        <v>2805</v>
      </c>
      <c r="C11" s="2037" t="s">
        <v>2805</v>
      </c>
      <c r="D11" s="2040" t="s">
        <v>2805</v>
      </c>
      <c r="E11" s="2037" t="s">
        <v>2805</v>
      </c>
      <c r="F11" s="2040" t="s">
        <v>2805</v>
      </c>
      <c r="G11" s="2037" t="s">
        <v>2805</v>
      </c>
      <c r="H11" s="2040" t="s">
        <v>2442</v>
      </c>
      <c r="I11" s="2043" t="s">
        <v>2805</v>
      </c>
      <c r="J11" s="2040" t="s">
        <v>2805</v>
      </c>
      <c r="K11" s="2043" t="s">
        <v>2442</v>
      </c>
    </row>
    <row r="12" spans="1:14" ht="20.100000000000001" customHeight="1">
      <c r="A12" s="1974"/>
      <c r="B12" s="3814" t="s">
        <v>2749</v>
      </c>
      <c r="C12" s="3830"/>
      <c r="D12" s="3813" t="s">
        <v>2806</v>
      </c>
      <c r="E12" s="3830"/>
      <c r="F12" s="3813" t="s">
        <v>2807</v>
      </c>
      <c r="G12" s="3814"/>
      <c r="H12" s="3813" t="s">
        <v>2808</v>
      </c>
      <c r="I12" s="3814"/>
      <c r="J12" s="3813" t="s">
        <v>2809</v>
      </c>
      <c r="K12" s="3821"/>
    </row>
    <row r="13" spans="1:14" s="1960" customFormat="1" ht="20.100000000000001" customHeight="1">
      <c r="A13" s="1833"/>
      <c r="B13" s="1927" t="s">
        <v>2652</v>
      </c>
      <c r="C13" s="1859" t="s">
        <v>2797</v>
      </c>
      <c r="D13" s="1927" t="s">
        <v>2563</v>
      </c>
      <c r="E13" s="1859" t="s">
        <v>2797</v>
      </c>
      <c r="F13" s="1927" t="s">
        <v>2563</v>
      </c>
      <c r="G13" s="1859" t="s">
        <v>2373</v>
      </c>
      <c r="H13" s="1927" t="s">
        <v>2563</v>
      </c>
      <c r="I13" s="1859" t="s">
        <v>2373</v>
      </c>
      <c r="J13" s="1927" t="s">
        <v>2796</v>
      </c>
      <c r="K13" s="1788" t="s">
        <v>2797</v>
      </c>
    </row>
    <row r="14" spans="1:14" ht="20.100000000000001" customHeight="1">
      <c r="A14" s="1849" t="s">
        <v>2375</v>
      </c>
      <c r="B14" s="2032">
        <f t="shared" ref="B14:G14" si="5">SUM(B17:B21)</f>
        <v>8423</v>
      </c>
      <c r="C14" s="2033">
        <f t="shared" si="5"/>
        <v>100</v>
      </c>
      <c r="D14" s="2032">
        <f t="shared" si="5"/>
        <v>8046</v>
      </c>
      <c r="E14" s="2033">
        <f t="shared" si="5"/>
        <v>100</v>
      </c>
      <c r="F14" s="2032">
        <f t="shared" si="5"/>
        <v>8329</v>
      </c>
      <c r="G14" s="2033">
        <f t="shared" si="5"/>
        <v>100</v>
      </c>
      <c r="H14" s="2032">
        <f>SUM(H17:H21)</f>
        <v>7836</v>
      </c>
      <c r="I14" s="2034">
        <f>SUM(I17:I21)</f>
        <v>100.00242196027109</v>
      </c>
      <c r="J14" s="2032">
        <f t="shared" ref="J14:K14" si="6">SUM(J17:J21)</f>
        <v>7714</v>
      </c>
      <c r="K14" s="2034">
        <f t="shared" si="6"/>
        <v>99.999999999999986</v>
      </c>
    </row>
    <row r="15" spans="1:14" ht="16.5" customHeight="1">
      <c r="A15" s="2036" t="s">
        <v>2810</v>
      </c>
      <c r="B15" s="2032">
        <v>7287</v>
      </c>
      <c r="C15" s="2037">
        <f>B15/B$14*100</f>
        <v>86.513118841267953</v>
      </c>
      <c r="D15" s="2032">
        <v>6972</v>
      </c>
      <c r="E15" s="2037">
        <f>D15/D$14*100</f>
        <v>86.651752423564503</v>
      </c>
      <c r="F15" s="2032">
        <v>7251</v>
      </c>
      <c r="G15" s="2037">
        <f>F15/F$14*100</f>
        <v>87.05726978028575</v>
      </c>
      <c r="H15" s="2032">
        <v>6810</v>
      </c>
      <c r="I15" s="2038">
        <f>H15/H$14*100</f>
        <v>86.906584992343028</v>
      </c>
      <c r="J15" s="2032">
        <v>6709</v>
      </c>
      <c r="K15" s="2038">
        <f>J15/J$14*100</f>
        <v>86.971739694062748</v>
      </c>
    </row>
    <row r="16" spans="1:14" ht="17.25" customHeight="1">
      <c r="A16" s="2039" t="s">
        <v>2811</v>
      </c>
      <c r="B16" s="2040">
        <v>1136</v>
      </c>
      <c r="C16" s="2041">
        <f t="shared" ref="C16" si="7">B16/B$14*100</f>
        <v>13.486881158732041</v>
      </c>
      <c r="D16" s="2040">
        <v>1074</v>
      </c>
      <c r="E16" s="2041">
        <f t="shared" ref="E16" si="8">D16/D$14*100</f>
        <v>13.348247576435496</v>
      </c>
      <c r="F16" s="2040">
        <v>1078</v>
      </c>
      <c r="G16" s="2041">
        <f t="shared" ref="G16" si="9">F16/F$14*100</f>
        <v>12.942730219714251</v>
      </c>
      <c r="H16" s="2040">
        <v>1026</v>
      </c>
      <c r="I16" s="2042">
        <f t="shared" ref="I16" si="10">H16/H$14*100</f>
        <v>13.093415007656967</v>
      </c>
      <c r="J16" s="2040">
        <v>1005</v>
      </c>
      <c r="K16" s="2042">
        <f t="shared" ref="K16" si="11">J16/J$14*100</f>
        <v>13.028260305937255</v>
      </c>
    </row>
    <row r="17" spans="1:11" ht="20.100000000000001" customHeight="1">
      <c r="A17" s="1997" t="s">
        <v>2812</v>
      </c>
      <c r="B17" s="2032">
        <v>4657</v>
      </c>
      <c r="C17" s="2037">
        <f>B17/B$14*100</f>
        <v>55.289089398076698</v>
      </c>
      <c r="D17" s="2032">
        <v>4494</v>
      </c>
      <c r="E17" s="2037">
        <f>D17/D$14*100</f>
        <v>55.853840417598811</v>
      </c>
      <c r="F17" s="2032">
        <v>4644</v>
      </c>
      <c r="G17" s="2037">
        <f>F17/F$14*100</f>
        <v>55.756993636691078</v>
      </c>
      <c r="H17" s="2032">
        <v>4478</v>
      </c>
      <c r="I17" s="2038">
        <f>H17/H$14*100</f>
        <v>57.146503318019391</v>
      </c>
      <c r="J17" s="2032">
        <v>4355</v>
      </c>
      <c r="K17" s="2038">
        <f>J17/J$14*100</f>
        <v>56.455794659061439</v>
      </c>
    </row>
    <row r="18" spans="1:11" ht="20.100000000000001" customHeight="1">
      <c r="A18" s="299" t="s">
        <v>2813</v>
      </c>
      <c r="B18" s="2032">
        <v>2635</v>
      </c>
      <c r="C18" s="2037">
        <f>B18/B$14*100</f>
        <v>31.283390715896946</v>
      </c>
      <c r="D18" s="2032">
        <v>2470</v>
      </c>
      <c r="E18" s="2037">
        <f>D18/D$14*100</f>
        <v>30.698483718617947</v>
      </c>
      <c r="F18" s="2032">
        <v>2536</v>
      </c>
      <c r="G18" s="2037">
        <f>F18/F$14*100</f>
        <v>30.447832873094011</v>
      </c>
      <c r="H18" s="2032">
        <v>2321</v>
      </c>
      <c r="I18" s="2038">
        <f>H18/H$14*100</f>
        <v>29.619703930576826</v>
      </c>
      <c r="J18" s="2032">
        <v>2306</v>
      </c>
      <c r="K18" s="2038">
        <f>J18/J$14*100</f>
        <v>29.89369976665802</v>
      </c>
    </row>
    <row r="19" spans="1:11" ht="20.100000000000001" customHeight="1">
      <c r="A19" s="299" t="s">
        <v>2802</v>
      </c>
      <c r="B19" s="2032">
        <v>997</v>
      </c>
      <c r="C19" s="2037">
        <f>B19/B$14*100</f>
        <v>11.83663777751395</v>
      </c>
      <c r="D19" s="2032">
        <v>962</v>
      </c>
      <c r="E19" s="2037">
        <f>D19/D$14*100</f>
        <v>11.95625155356699</v>
      </c>
      <c r="F19" s="2032">
        <v>1020</v>
      </c>
      <c r="G19" s="2037">
        <f>F19/F$14*100</f>
        <v>12.246368111417938</v>
      </c>
      <c r="H19" s="2032">
        <v>869</v>
      </c>
      <c r="I19" s="2038">
        <f>H19/H$14*100</f>
        <v>11.089841755997957</v>
      </c>
      <c r="J19" s="2032">
        <v>904</v>
      </c>
      <c r="K19" s="2038">
        <f>J19/J$14*100</f>
        <v>11.718952553798289</v>
      </c>
    </row>
    <row r="20" spans="1:11" ht="20.100000000000001" customHeight="1">
      <c r="A20" s="299" t="s">
        <v>2814</v>
      </c>
      <c r="B20" s="2032">
        <v>134</v>
      </c>
      <c r="C20" s="2037">
        <f>B20/B$14*100</f>
        <v>1.5908821085124063</v>
      </c>
      <c r="D20" s="2032">
        <v>120</v>
      </c>
      <c r="E20" s="2037">
        <f>D20/D$14*100</f>
        <v>1.4914243102162565</v>
      </c>
      <c r="F20" s="2032">
        <v>129</v>
      </c>
      <c r="G20" s="2037">
        <f>F20/F$14*100</f>
        <v>1.5488053787969744</v>
      </c>
      <c r="H20" s="2032">
        <v>156</v>
      </c>
      <c r="I20" s="2038">
        <f>H20/H$14*100</f>
        <v>1.9908116385911179</v>
      </c>
      <c r="J20" s="2032">
        <v>109</v>
      </c>
      <c r="K20" s="2038">
        <f>J20/J$14*100</f>
        <v>1.4130152968628467</v>
      </c>
    </row>
    <row r="21" spans="1:11" ht="20.100000000000001" customHeight="1">
      <c r="A21" s="1944" t="s">
        <v>2815</v>
      </c>
      <c r="B21" s="2040" t="s">
        <v>2816</v>
      </c>
      <c r="C21" s="2041" t="s">
        <v>2430</v>
      </c>
      <c r="D21" s="2040" t="s">
        <v>2817</v>
      </c>
      <c r="E21" s="2041" t="s">
        <v>2818</v>
      </c>
      <c r="F21" s="2040" t="s">
        <v>2816</v>
      </c>
      <c r="G21" s="2041" t="s">
        <v>2442</v>
      </c>
      <c r="H21" s="2040">
        <v>12</v>
      </c>
      <c r="I21" s="2041">
        <f>H21/J$14*100</f>
        <v>0.155561317085818</v>
      </c>
      <c r="J21" s="2032">
        <v>40</v>
      </c>
      <c r="K21" s="2042">
        <f>J21/J$14*100</f>
        <v>0.51853772361939332</v>
      </c>
    </row>
    <row r="22" spans="1:11" s="1785" customFormat="1">
      <c r="A22" s="3815" t="s">
        <v>2673</v>
      </c>
      <c r="B22" s="3816"/>
      <c r="C22" s="3816"/>
      <c r="E22" s="1983"/>
      <c r="F22" s="2044"/>
      <c r="G22" s="2021"/>
      <c r="H22" s="1953"/>
      <c r="I22" s="2021"/>
      <c r="J22" s="2045"/>
      <c r="K22" s="1953"/>
    </row>
    <row r="23" spans="1:11" s="1785" customFormat="1" ht="25.5" customHeight="1">
      <c r="A23" s="3837" t="s">
        <v>2819</v>
      </c>
      <c r="B23" s="3838"/>
      <c r="C23" s="3838"/>
      <c r="D23" s="3838"/>
      <c r="E23" s="3838"/>
      <c r="F23" s="3838"/>
      <c r="G23" s="3838"/>
    </row>
    <row r="24" spans="1:11">
      <c r="A24" s="3839" t="s">
        <v>2820</v>
      </c>
      <c r="B24" s="3839"/>
      <c r="C24" s="3839"/>
      <c r="D24" s="3839"/>
      <c r="E24" s="3839"/>
      <c r="F24" s="3839"/>
      <c r="G24" s="3839"/>
    </row>
  </sheetData>
  <mergeCells count="14">
    <mergeCell ref="A23:G23"/>
    <mergeCell ref="A24:G24"/>
    <mergeCell ref="B12:C12"/>
    <mergeCell ref="D12:E12"/>
    <mergeCell ref="F12:G12"/>
    <mergeCell ref="H12:I12"/>
    <mergeCell ref="J12:K12"/>
    <mergeCell ref="A22:C22"/>
    <mergeCell ref="A1:K1"/>
    <mergeCell ref="B2:C2"/>
    <mergeCell ref="D2:E2"/>
    <mergeCell ref="F2:G2"/>
    <mergeCell ref="H2:I2"/>
    <mergeCell ref="J2:K2"/>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71"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K21"/>
  <sheetViews>
    <sheetView showGridLines="0" showRuler="0" zoomScale="110" zoomScaleNormal="110" zoomScalePageLayoutView="125" workbookViewId="0">
      <selection activeCell="B18" sqref="B18:D18"/>
    </sheetView>
  </sheetViews>
  <sheetFormatPr defaultColWidth="9" defaultRowHeight="15.75"/>
  <cols>
    <col min="1" max="1" width="15.875" style="1795" customWidth="1"/>
    <col min="2" max="3" width="9" style="1795"/>
    <col min="4" max="4" width="8.875" style="1795" customWidth="1"/>
    <col min="5" max="7" width="9" style="1795"/>
    <col min="8" max="8" width="10" style="1795" bestFit="1" customWidth="1"/>
    <col min="9" max="9" width="10.125" style="1795" customWidth="1"/>
    <col min="10" max="16384" width="9" style="1795"/>
  </cols>
  <sheetData>
    <row r="1" spans="1:11" ht="21.75" customHeight="1">
      <c r="A1" s="3733" t="s">
        <v>2821</v>
      </c>
      <c r="B1" s="3733"/>
      <c r="C1" s="3733"/>
      <c r="D1" s="3733"/>
      <c r="E1" s="3733"/>
      <c r="F1" s="3733"/>
      <c r="G1" s="3733"/>
      <c r="H1" s="3733"/>
      <c r="I1" s="3733"/>
      <c r="J1" s="3733"/>
      <c r="K1" s="3733"/>
    </row>
    <row r="2" spans="1:11" ht="19.350000000000001" customHeight="1">
      <c r="A2" s="1832"/>
      <c r="B2" s="3722" t="s">
        <v>2822</v>
      </c>
      <c r="C2" s="3734"/>
      <c r="D2" s="3730" t="s">
        <v>2823</v>
      </c>
      <c r="E2" s="3734"/>
      <c r="F2" s="3730" t="s">
        <v>2824</v>
      </c>
      <c r="G2" s="3722"/>
      <c r="H2" s="3803" t="s">
        <v>2825</v>
      </c>
      <c r="I2" s="3799" t="s">
        <v>2826</v>
      </c>
      <c r="J2" s="3803" t="s">
        <v>2827</v>
      </c>
      <c r="K2" s="3799"/>
    </row>
    <row r="3" spans="1:11" s="1960" customFormat="1" ht="19.350000000000001" customHeight="1">
      <c r="A3" s="1833"/>
      <c r="B3" s="1927" t="s">
        <v>2828</v>
      </c>
      <c r="C3" s="1859" t="s">
        <v>2829</v>
      </c>
      <c r="D3" s="1927" t="s">
        <v>2828</v>
      </c>
      <c r="E3" s="1859" t="s">
        <v>2373</v>
      </c>
      <c r="F3" s="1927" t="s">
        <v>2828</v>
      </c>
      <c r="G3" s="1859" t="s">
        <v>2829</v>
      </c>
      <c r="H3" s="1927" t="s">
        <v>2563</v>
      </c>
      <c r="I3" s="1859" t="s">
        <v>2829</v>
      </c>
      <c r="J3" s="1927" t="s">
        <v>2563</v>
      </c>
      <c r="K3" s="1788" t="s">
        <v>2373</v>
      </c>
    </row>
    <row r="4" spans="1:11" ht="19.350000000000001" customHeight="1">
      <c r="A4" s="1997" t="s">
        <v>2375</v>
      </c>
      <c r="B4" s="1964">
        <v>9414</v>
      </c>
      <c r="C4" s="1963">
        <v>100</v>
      </c>
      <c r="D4" s="1964">
        <v>10793</v>
      </c>
      <c r="E4" s="1963">
        <v>100</v>
      </c>
      <c r="F4" s="1935">
        <v>11383</v>
      </c>
      <c r="G4" s="1971">
        <v>100</v>
      </c>
      <c r="H4" s="1942">
        <v>10374</v>
      </c>
      <c r="I4" s="1941">
        <v>100</v>
      </c>
      <c r="J4" s="1942">
        <v>9359</v>
      </c>
      <c r="K4" s="1941">
        <v>100</v>
      </c>
    </row>
    <row r="5" spans="1:11" ht="19.350000000000001" customHeight="1">
      <c r="A5" s="299" t="s">
        <v>2830</v>
      </c>
      <c r="B5" s="1935">
        <v>8077</v>
      </c>
      <c r="C5" s="1965">
        <v>85.797748034841732</v>
      </c>
      <c r="D5" s="1935">
        <v>9349</v>
      </c>
      <c r="E5" s="1965">
        <v>86.620958028351708</v>
      </c>
      <c r="F5" s="1935">
        <v>9847</v>
      </c>
      <c r="G5" s="1965">
        <v>86.506193446367391</v>
      </c>
      <c r="H5" s="1942">
        <v>8919</v>
      </c>
      <c r="I5" s="1941">
        <v>85.974551764025449</v>
      </c>
      <c r="J5" s="1942">
        <v>8118</v>
      </c>
      <c r="K5" s="1941">
        <v>86.740036328667586</v>
      </c>
    </row>
    <row r="6" spans="1:11" ht="19.350000000000001" customHeight="1">
      <c r="A6" s="299" t="s">
        <v>2831</v>
      </c>
      <c r="B6" s="1935">
        <v>785</v>
      </c>
      <c r="C6" s="1965">
        <v>8.3386445719141715</v>
      </c>
      <c r="D6" s="1935">
        <v>907</v>
      </c>
      <c r="E6" s="1965">
        <v>8.4035949226350404</v>
      </c>
      <c r="F6" s="1935">
        <v>916</v>
      </c>
      <c r="G6" s="1965">
        <v>8.0470877624527795</v>
      </c>
      <c r="H6" s="1942">
        <v>851</v>
      </c>
      <c r="I6" s="1941">
        <v>8.203200308463467</v>
      </c>
      <c r="J6" s="1942">
        <v>793</v>
      </c>
      <c r="K6" s="1941">
        <v>8.4731274708836413</v>
      </c>
    </row>
    <row r="7" spans="1:11" ht="19.350000000000001" customHeight="1">
      <c r="A7" s="299" t="s">
        <v>2832</v>
      </c>
      <c r="B7" s="1935">
        <v>260</v>
      </c>
      <c r="C7" s="1965">
        <v>2.7618440620352667</v>
      </c>
      <c r="D7" s="1935">
        <v>218</v>
      </c>
      <c r="E7" s="1965">
        <v>2.0198276660798666</v>
      </c>
      <c r="F7" s="1935">
        <v>265</v>
      </c>
      <c r="G7" s="1965">
        <v>2.3280330317139595</v>
      </c>
      <c r="H7" s="1942">
        <v>274</v>
      </c>
      <c r="I7" s="1941">
        <v>2.6412184306921151</v>
      </c>
      <c r="J7" s="1942">
        <v>157</v>
      </c>
      <c r="K7" s="1941">
        <v>1.6775296506036972</v>
      </c>
    </row>
    <row r="8" spans="1:11" ht="19.350000000000001" customHeight="1">
      <c r="A8" s="299" t="s">
        <v>2833</v>
      </c>
      <c r="B8" s="1935">
        <v>249</v>
      </c>
      <c r="C8" s="1965">
        <v>2.6449968132568515</v>
      </c>
      <c r="D8" s="1935">
        <v>265</v>
      </c>
      <c r="E8" s="1965">
        <v>2.4552950986750672</v>
      </c>
      <c r="F8" s="1935">
        <v>293</v>
      </c>
      <c r="G8" s="1965">
        <v>2.5740138803478874</v>
      </c>
      <c r="H8" s="1942">
        <v>277</v>
      </c>
      <c r="I8" s="1941">
        <v>2.6701368806631964</v>
      </c>
      <c r="J8" s="1942">
        <v>242</v>
      </c>
      <c r="K8" s="1941">
        <v>2.5857463404209851</v>
      </c>
    </row>
    <row r="9" spans="1:11" ht="19.350000000000001" customHeight="1" thickBot="1">
      <c r="A9" s="299" t="s">
        <v>2834</v>
      </c>
      <c r="B9" s="1935">
        <v>43</v>
      </c>
      <c r="C9" s="1965">
        <v>0.45676651795198636</v>
      </c>
      <c r="D9" s="1935">
        <v>54</v>
      </c>
      <c r="E9" s="1965">
        <v>0.50032428425831554</v>
      </c>
      <c r="F9" s="1935">
        <v>62</v>
      </c>
      <c r="G9" s="1965">
        <v>0.54467187911798298</v>
      </c>
      <c r="H9" s="1942">
        <v>53</v>
      </c>
      <c r="I9" s="1941">
        <v>0.51089261615577408</v>
      </c>
      <c r="J9" s="1942">
        <v>49</v>
      </c>
      <c r="K9" s="1941">
        <v>0.52356020942408377</v>
      </c>
    </row>
    <row r="10" spans="1:11" ht="19.350000000000001" customHeight="1">
      <c r="A10" s="1974"/>
      <c r="B10" s="3814" t="s">
        <v>2662</v>
      </c>
      <c r="C10" s="3830"/>
      <c r="D10" s="3813" t="s">
        <v>2750</v>
      </c>
      <c r="E10" s="3830"/>
      <c r="F10" s="3813" t="s">
        <v>2835</v>
      </c>
      <c r="G10" s="3814"/>
      <c r="H10" s="3813" t="s">
        <v>2836</v>
      </c>
      <c r="I10" s="3814"/>
      <c r="J10" s="3813" t="s">
        <v>2753</v>
      </c>
      <c r="K10" s="3814"/>
    </row>
    <row r="11" spans="1:11" s="1960" customFormat="1" ht="19.350000000000001" customHeight="1">
      <c r="A11" s="1833"/>
      <c r="B11" s="1927" t="s">
        <v>2755</v>
      </c>
      <c r="C11" s="1859" t="s">
        <v>2829</v>
      </c>
      <c r="D11" s="1927" t="s">
        <v>2755</v>
      </c>
      <c r="E11" s="1859" t="s">
        <v>2102</v>
      </c>
      <c r="F11" s="1927" t="s">
        <v>2755</v>
      </c>
      <c r="G11" s="1859" t="s">
        <v>2102</v>
      </c>
      <c r="H11" s="1927" t="s">
        <v>2563</v>
      </c>
      <c r="I11" s="1859" t="s">
        <v>2829</v>
      </c>
      <c r="J11" s="1927" t="s">
        <v>2755</v>
      </c>
      <c r="K11" s="1788" t="s">
        <v>2373</v>
      </c>
    </row>
    <row r="12" spans="1:11" ht="19.350000000000001" customHeight="1">
      <c r="A12" s="1997" t="s">
        <v>2375</v>
      </c>
      <c r="B12" s="1964">
        <v>8568</v>
      </c>
      <c r="C12" s="1963">
        <v>97.785893631590966</v>
      </c>
      <c r="D12" s="1964">
        <v>8132</v>
      </c>
      <c r="E12" s="1963">
        <v>98.0822578699795</v>
      </c>
      <c r="F12" s="1935">
        <v>8448</v>
      </c>
      <c r="G12" s="1971">
        <v>97.845726198749134</v>
      </c>
      <c r="H12" s="1942">
        <v>7944</v>
      </c>
      <c r="I12" s="1941">
        <v>100</v>
      </c>
      <c r="J12" s="1942">
        <v>7829</v>
      </c>
      <c r="K12" s="1941">
        <v>100</v>
      </c>
    </row>
    <row r="13" spans="1:11" ht="19.350000000000001" customHeight="1">
      <c r="A13" s="299" t="s">
        <v>2830</v>
      </c>
      <c r="B13" s="1935">
        <v>7496</v>
      </c>
      <c r="C13" s="1965">
        <v>85.551244008217296</v>
      </c>
      <c r="D13" s="1935">
        <v>7117</v>
      </c>
      <c r="E13" s="1965">
        <v>85.840067543119048</v>
      </c>
      <c r="F13" s="1935">
        <v>7390</v>
      </c>
      <c r="G13" s="1965">
        <v>85.591846189483434</v>
      </c>
      <c r="H13" s="1942">
        <v>6887</v>
      </c>
      <c r="I13" s="1941">
        <v>86.694360523665665</v>
      </c>
      <c r="J13" s="1942">
        <v>6757</v>
      </c>
      <c r="K13" s="1941">
        <v>86.307318942393664</v>
      </c>
    </row>
    <row r="14" spans="1:11" ht="19.350000000000001" customHeight="1">
      <c r="A14" s="299" t="s">
        <v>2837</v>
      </c>
      <c r="B14" s="1935">
        <v>725</v>
      </c>
      <c r="C14" s="1965">
        <v>8.2743665829719237</v>
      </c>
      <c r="D14" s="1935">
        <v>666</v>
      </c>
      <c r="E14" s="1965">
        <v>8.0328066578217339</v>
      </c>
      <c r="F14" s="1935">
        <v>742</v>
      </c>
      <c r="G14" s="1965">
        <v>8.5939309705814217</v>
      </c>
      <c r="H14" s="1942">
        <v>691</v>
      </c>
      <c r="I14" s="1941">
        <v>8.6983887210473316</v>
      </c>
      <c r="J14" s="1942">
        <v>661</v>
      </c>
      <c r="K14" s="1941">
        <v>8.4429684506322644</v>
      </c>
    </row>
    <row r="15" spans="1:11" ht="19.350000000000001" customHeight="1">
      <c r="A15" s="299" t="s">
        <v>2838</v>
      </c>
      <c r="B15" s="1935">
        <v>115</v>
      </c>
      <c r="C15" s="1965">
        <v>1.312485733850719</v>
      </c>
      <c r="D15" s="1935">
        <v>105</v>
      </c>
      <c r="E15" s="1965">
        <v>1.2664334820890122</v>
      </c>
      <c r="F15" s="1935">
        <v>95</v>
      </c>
      <c r="G15" s="1965">
        <v>1.1003011350474867</v>
      </c>
      <c r="H15" s="1942">
        <v>149</v>
      </c>
      <c r="I15" s="1941">
        <v>1.875629405840886</v>
      </c>
      <c r="J15" s="1942">
        <v>220</v>
      </c>
      <c r="K15" s="1941">
        <v>2.8100651424192105</v>
      </c>
    </row>
    <row r="16" spans="1:11" ht="19.350000000000001" customHeight="1">
      <c r="A16" s="299" t="s">
        <v>2839</v>
      </c>
      <c r="B16" s="1935">
        <v>217</v>
      </c>
      <c r="C16" s="1965">
        <v>2.4766035151791828</v>
      </c>
      <c r="D16" s="1935">
        <v>216</v>
      </c>
      <c r="E16" s="1965">
        <v>2.6052345917259681</v>
      </c>
      <c r="F16" s="1935">
        <v>190</v>
      </c>
      <c r="G16" s="1965">
        <v>2.2006022700949734</v>
      </c>
      <c r="H16" s="1942">
        <v>190</v>
      </c>
      <c r="I16" s="1941">
        <v>2.391742195367573</v>
      </c>
      <c r="J16" s="1942">
        <v>163</v>
      </c>
      <c r="K16" s="1941">
        <v>2.0820028100651427</v>
      </c>
    </row>
    <row r="17" spans="1:11" ht="19.350000000000001" customHeight="1">
      <c r="A17" s="1944" t="s">
        <v>2840</v>
      </c>
      <c r="B17" s="1969">
        <v>42</v>
      </c>
      <c r="C17" s="2046">
        <v>0.47934261584113214</v>
      </c>
      <c r="D17" s="1969">
        <v>28</v>
      </c>
      <c r="E17" s="2046">
        <v>0.33771559522373662</v>
      </c>
      <c r="F17" s="1969">
        <v>31</v>
      </c>
      <c r="G17" s="2046">
        <v>0.35904563354181146</v>
      </c>
      <c r="H17" s="1951">
        <v>27</v>
      </c>
      <c r="I17" s="1952">
        <v>0.33987915407854985</v>
      </c>
      <c r="J17" s="1951">
        <v>28</v>
      </c>
      <c r="K17" s="1952">
        <v>0.35764465448971772</v>
      </c>
    </row>
    <row r="18" spans="1:11">
      <c r="A18" s="2047" t="s">
        <v>2673</v>
      </c>
      <c r="B18" s="2048"/>
      <c r="J18" s="2049"/>
      <c r="K18" s="2049"/>
    </row>
    <row r="19" spans="1:11">
      <c r="A19" s="2050" t="s">
        <v>2841</v>
      </c>
      <c r="B19" s="2024"/>
      <c r="C19" s="2024"/>
      <c r="I19" s="2051"/>
      <c r="J19" s="2049"/>
      <c r="K19" s="2051"/>
    </row>
    <row r="20" spans="1:11">
      <c r="A20" s="3840"/>
      <c r="B20" s="3820"/>
      <c r="C20" s="3820"/>
      <c r="D20" s="3820"/>
      <c r="E20" s="3820"/>
      <c r="I20" s="2051"/>
    </row>
    <row r="21" spans="1:11">
      <c r="A21" s="3840"/>
      <c r="B21" s="3820"/>
      <c r="C21" s="3820"/>
      <c r="D21" s="3820"/>
      <c r="E21" s="3820"/>
    </row>
  </sheetData>
  <mergeCells count="13">
    <mergeCell ref="A21:E21"/>
    <mergeCell ref="B10:C10"/>
    <mergeCell ref="D10:E10"/>
    <mergeCell ref="F10:G10"/>
    <mergeCell ref="H10:I10"/>
    <mergeCell ref="J10:K10"/>
    <mergeCell ref="A20:E20"/>
    <mergeCell ref="A1:K1"/>
    <mergeCell ref="B2:C2"/>
    <mergeCell ref="D2:E2"/>
    <mergeCell ref="F2:G2"/>
    <mergeCell ref="H2:I2"/>
    <mergeCell ref="J2:K2"/>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74"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S25"/>
  <sheetViews>
    <sheetView showGridLines="0" showRuler="0" zoomScaleNormal="100" zoomScalePageLayoutView="125" workbookViewId="0">
      <selection activeCell="B18" sqref="B18:D18"/>
    </sheetView>
  </sheetViews>
  <sheetFormatPr defaultColWidth="9" defaultRowHeight="15.75"/>
  <cols>
    <col min="1" max="1" width="15.875" style="1795" customWidth="1"/>
    <col min="2" max="3" width="9" style="1795"/>
    <col min="4" max="4" width="8.875" style="1795" customWidth="1"/>
    <col min="5" max="7" width="9" style="1795"/>
    <col min="8" max="8" width="10" style="1795" bestFit="1" customWidth="1"/>
    <col min="9" max="9" width="10.125" style="1795" customWidth="1"/>
    <col min="10" max="16384" width="9" style="1795"/>
  </cols>
  <sheetData>
    <row r="1" spans="1:19" ht="22.5" customHeight="1">
      <c r="A1" s="3733" t="s">
        <v>2842</v>
      </c>
      <c r="B1" s="3733"/>
      <c r="C1" s="3733"/>
      <c r="D1" s="3733"/>
      <c r="E1" s="3733"/>
      <c r="F1" s="3733"/>
      <c r="G1" s="3733"/>
      <c r="H1" s="3733"/>
      <c r="I1" s="3733"/>
      <c r="J1" s="3733"/>
      <c r="K1" s="3733"/>
      <c r="L1" s="2052"/>
      <c r="M1" s="2052"/>
      <c r="N1" s="2052"/>
      <c r="O1" s="2052"/>
      <c r="P1" s="2052"/>
      <c r="Q1" s="2052"/>
      <c r="R1" s="2052"/>
      <c r="S1" s="2052"/>
    </row>
    <row r="2" spans="1:19" ht="19.350000000000001" customHeight="1">
      <c r="A2" s="1832"/>
      <c r="B2" s="3722" t="s">
        <v>2843</v>
      </c>
      <c r="C2" s="3734"/>
      <c r="D2" s="3730" t="s">
        <v>2844</v>
      </c>
      <c r="E2" s="3734"/>
      <c r="F2" s="3730" t="s">
        <v>2845</v>
      </c>
      <c r="G2" s="3722"/>
      <c r="H2" s="3803" t="s">
        <v>2846</v>
      </c>
      <c r="I2" s="3799" t="s">
        <v>2358</v>
      </c>
      <c r="J2" s="3803" t="s">
        <v>2847</v>
      </c>
      <c r="K2" s="3799"/>
    </row>
    <row r="3" spans="1:19" s="1960" customFormat="1" ht="19.350000000000001" customHeight="1">
      <c r="A3" s="1833"/>
      <c r="B3" s="1927" t="s">
        <v>2848</v>
      </c>
      <c r="C3" s="1859" t="s">
        <v>2371</v>
      </c>
      <c r="D3" s="1927" t="s">
        <v>2848</v>
      </c>
      <c r="E3" s="1859" t="s">
        <v>2371</v>
      </c>
      <c r="F3" s="1927" t="s">
        <v>2848</v>
      </c>
      <c r="G3" s="1859" t="s">
        <v>2371</v>
      </c>
      <c r="H3" s="1927" t="s">
        <v>2848</v>
      </c>
      <c r="I3" s="1859" t="s">
        <v>2371</v>
      </c>
      <c r="J3" s="1927" t="s">
        <v>2848</v>
      </c>
      <c r="K3" s="1788" t="s">
        <v>2371</v>
      </c>
    </row>
    <row r="4" spans="1:19" ht="19.350000000000001" customHeight="1">
      <c r="A4" s="1997" t="s">
        <v>2849</v>
      </c>
      <c r="B4" s="1964">
        <v>9414</v>
      </c>
      <c r="C4" s="1963">
        <v>100</v>
      </c>
      <c r="D4" s="1964">
        <v>10793</v>
      </c>
      <c r="E4" s="1963">
        <v>100</v>
      </c>
      <c r="F4" s="1935">
        <v>11383</v>
      </c>
      <c r="G4" s="1971">
        <v>100</v>
      </c>
      <c r="H4" s="1942">
        <v>10374</v>
      </c>
      <c r="I4" s="1941">
        <v>100</v>
      </c>
      <c r="J4" s="1942">
        <v>9359</v>
      </c>
      <c r="K4" s="1941">
        <v>100</v>
      </c>
    </row>
    <row r="5" spans="1:19" ht="19.350000000000001" customHeight="1">
      <c r="A5" s="299" t="s">
        <v>2850</v>
      </c>
      <c r="B5" s="1935">
        <v>3269</v>
      </c>
      <c r="C5" s="1965">
        <v>34.724877841512644</v>
      </c>
      <c r="D5" s="1935">
        <v>3961</v>
      </c>
      <c r="E5" s="1965">
        <v>36.78474114441417</v>
      </c>
      <c r="F5" s="1935">
        <v>4248</v>
      </c>
      <c r="G5" s="1936">
        <v>37.492491203981807</v>
      </c>
      <c r="H5" s="1942">
        <v>3984</v>
      </c>
      <c r="I5" s="1941">
        <v>38.356679514900819</v>
      </c>
      <c r="J5" s="1942">
        <v>3625</v>
      </c>
      <c r="K5" s="1941">
        <v>38.732770595149049</v>
      </c>
    </row>
    <row r="6" spans="1:19" ht="19.350000000000001" customHeight="1">
      <c r="A6" s="299" t="s">
        <v>2851</v>
      </c>
      <c r="B6" s="1935">
        <v>3993</v>
      </c>
      <c r="C6" s="1965">
        <v>42.415551306564694</v>
      </c>
      <c r="D6" s="1935">
        <v>4443</v>
      </c>
      <c r="E6" s="1965">
        <v>40.971843778383288</v>
      </c>
      <c r="F6" s="1935">
        <v>4711</v>
      </c>
      <c r="G6" s="1936">
        <v>40.976572556423243</v>
      </c>
      <c r="H6" s="1942">
        <v>4182</v>
      </c>
      <c r="I6" s="1941">
        <v>40.133496286546958</v>
      </c>
      <c r="J6" s="1942">
        <v>3665</v>
      </c>
      <c r="K6" s="1941">
        <v>39.160166684474838</v>
      </c>
    </row>
    <row r="7" spans="1:19" ht="19.350000000000001" customHeight="1">
      <c r="A7" s="299" t="s">
        <v>2852</v>
      </c>
      <c r="B7" s="1935">
        <v>698</v>
      </c>
      <c r="C7" s="1965">
        <v>7.4144890588485239</v>
      </c>
      <c r="D7" s="1935">
        <v>766</v>
      </c>
      <c r="E7" s="1965">
        <v>7.0935513169845601</v>
      </c>
      <c r="F7" s="1935">
        <v>795</v>
      </c>
      <c r="G7" s="1936">
        <v>6.9681627048828627</v>
      </c>
      <c r="H7" s="1942">
        <v>715</v>
      </c>
      <c r="I7" s="1941">
        <v>6.8252326783867625</v>
      </c>
      <c r="J7" s="1942">
        <v>633</v>
      </c>
      <c r="K7" s="1941">
        <v>6.7635431135805115</v>
      </c>
    </row>
    <row r="8" spans="1:19" ht="19.350000000000001" customHeight="1">
      <c r="A8" s="299" t="s">
        <v>2853</v>
      </c>
      <c r="B8" s="1935">
        <v>595</v>
      </c>
      <c r="C8" s="1965">
        <v>6.320373911196091</v>
      </c>
      <c r="D8" s="1935">
        <v>666</v>
      </c>
      <c r="E8" s="1965">
        <v>6.130790190735695</v>
      </c>
      <c r="F8" s="1935">
        <v>642</v>
      </c>
      <c r="G8" s="1936">
        <v>5.6208701621899939</v>
      </c>
      <c r="H8" s="1942">
        <v>567</v>
      </c>
      <c r="I8" s="1941">
        <v>5.4338629312776154</v>
      </c>
      <c r="J8" s="1942">
        <v>547</v>
      </c>
      <c r="K8" s="1941">
        <v>5.844641521530078</v>
      </c>
    </row>
    <row r="9" spans="1:19" ht="19.350000000000001" customHeight="1">
      <c r="A9" s="299" t="s">
        <v>2854</v>
      </c>
      <c r="B9" s="1935">
        <v>277</v>
      </c>
      <c r="C9" s="1965">
        <v>2.9424261737837263</v>
      </c>
      <c r="D9" s="1935">
        <v>297</v>
      </c>
      <c r="E9" s="1965">
        <v>2.8337874659400542</v>
      </c>
      <c r="F9" s="1935">
        <v>277</v>
      </c>
      <c r="G9" s="1936">
        <v>2.4714665751308673</v>
      </c>
      <c r="H9" s="1942">
        <v>262</v>
      </c>
      <c r="I9" s="1941">
        <v>2.6041177023596882</v>
      </c>
      <c r="J9" s="1942">
        <v>236</v>
      </c>
      <c r="K9" s="1941">
        <v>2.5216369270221177</v>
      </c>
    </row>
    <row r="10" spans="1:19" ht="19.350000000000001" customHeight="1">
      <c r="A10" s="299" t="s">
        <v>2855</v>
      </c>
      <c r="B10" s="1935">
        <v>78</v>
      </c>
      <c r="C10" s="1965">
        <v>0.82855321861057996</v>
      </c>
      <c r="D10" s="1935">
        <v>103</v>
      </c>
      <c r="E10" s="1965">
        <v>0.97184377838328784</v>
      </c>
      <c r="F10" s="1935">
        <v>94</v>
      </c>
      <c r="G10" s="1936">
        <v>0.83240367287393813</v>
      </c>
      <c r="H10" s="1942">
        <v>79</v>
      </c>
      <c r="I10" s="1941">
        <v>0.76149290213406029</v>
      </c>
      <c r="J10" s="1942">
        <v>72</v>
      </c>
      <c r="K10" s="1941">
        <v>0.76931296078640876</v>
      </c>
    </row>
    <row r="11" spans="1:19" ht="19.350000000000001" customHeight="1" thickBot="1">
      <c r="A11" s="299" t="s">
        <v>2856</v>
      </c>
      <c r="B11" s="1935">
        <v>504</v>
      </c>
      <c r="C11" s="1965">
        <v>5.353728489483748</v>
      </c>
      <c r="D11" s="1935">
        <v>557</v>
      </c>
      <c r="E11" s="1965">
        <v>5.2134423251589466</v>
      </c>
      <c r="F11" s="1935">
        <v>616</v>
      </c>
      <c r="G11" s="1936">
        <v>5.6380331245172917</v>
      </c>
      <c r="H11" s="1942">
        <v>585</v>
      </c>
      <c r="I11" s="1941">
        <v>5.8851179843940962</v>
      </c>
      <c r="J11" s="1942">
        <v>581</v>
      </c>
      <c r="K11" s="1941">
        <v>6.2079281974569929</v>
      </c>
    </row>
    <row r="12" spans="1:19" ht="19.350000000000001" customHeight="1">
      <c r="A12" s="1974"/>
      <c r="B12" s="3814" t="s">
        <v>2662</v>
      </c>
      <c r="C12" s="3830"/>
      <c r="D12" s="3813" t="s">
        <v>2750</v>
      </c>
      <c r="E12" s="3830"/>
      <c r="F12" s="3813" t="s">
        <v>2751</v>
      </c>
      <c r="G12" s="3814"/>
      <c r="H12" s="3813" t="s">
        <v>2808</v>
      </c>
      <c r="I12" s="3814"/>
      <c r="J12" s="3813" t="s">
        <v>2753</v>
      </c>
      <c r="K12" s="3814"/>
    </row>
    <row r="13" spans="1:19" s="1960" customFormat="1" ht="19.350000000000001" customHeight="1">
      <c r="A13" s="1833"/>
      <c r="B13" s="1927" t="s">
        <v>2848</v>
      </c>
      <c r="C13" s="1859" t="s">
        <v>2371</v>
      </c>
      <c r="D13" s="1927" t="s">
        <v>2652</v>
      </c>
      <c r="E13" s="1859" t="s">
        <v>2102</v>
      </c>
      <c r="F13" s="1927" t="s">
        <v>2848</v>
      </c>
      <c r="G13" s="1859" t="s">
        <v>2373</v>
      </c>
      <c r="H13" s="1927" t="s">
        <v>2563</v>
      </c>
      <c r="I13" s="1859" t="s">
        <v>2102</v>
      </c>
      <c r="J13" s="1927" t="s">
        <v>2563</v>
      </c>
      <c r="K13" s="1788" t="s">
        <v>2371</v>
      </c>
    </row>
    <row r="14" spans="1:19" ht="19.350000000000001" customHeight="1">
      <c r="A14" s="1997" t="s">
        <v>2849</v>
      </c>
      <c r="B14" s="1964">
        <v>8568</v>
      </c>
      <c r="C14" s="1963">
        <v>100</v>
      </c>
      <c r="D14" s="1964">
        <v>8132</v>
      </c>
      <c r="E14" s="1963">
        <v>100</v>
      </c>
      <c r="F14" s="1935">
        <v>8448</v>
      </c>
      <c r="G14" s="1971">
        <v>100</v>
      </c>
      <c r="H14" s="1942">
        <v>7944</v>
      </c>
      <c r="I14" s="1941">
        <v>100</v>
      </c>
      <c r="J14" s="1942">
        <v>7829</v>
      </c>
      <c r="K14" s="1941">
        <v>100</v>
      </c>
    </row>
    <row r="15" spans="1:19" ht="19.350000000000001" customHeight="1">
      <c r="A15" s="299" t="s">
        <v>2857</v>
      </c>
      <c r="B15" s="1935">
        <v>3386</v>
      </c>
      <c r="C15" s="1965">
        <v>39.39739785437115</v>
      </c>
      <c r="D15" s="1935">
        <v>3191</v>
      </c>
      <c r="E15" s="1965">
        <v>39.307683029791342</v>
      </c>
      <c r="F15" s="1935">
        <v>3547</v>
      </c>
      <c r="G15" s="1936">
        <v>41.811443131804495</v>
      </c>
      <c r="H15" s="1942">
        <v>3282</v>
      </c>
      <c r="I15" s="1941">
        <v>41.314199395770387</v>
      </c>
      <c r="J15" s="1942">
        <v>3136</v>
      </c>
      <c r="K15" s="1941">
        <v>40.056201302848379</v>
      </c>
    </row>
    <row r="16" spans="1:19" ht="19.350000000000001" customHeight="1">
      <c r="A16" s="299" t="s">
        <v>2858</v>
      </c>
      <c r="B16" s="1935">
        <v>3279</v>
      </c>
      <c r="C16" s="1965">
        <v>38.199041314768316</v>
      </c>
      <c r="D16" s="1935">
        <v>3150</v>
      </c>
      <c r="E16" s="1965">
        <v>38.692558195633822</v>
      </c>
      <c r="F16" s="1935">
        <v>3072</v>
      </c>
      <c r="G16" s="1936">
        <v>36.275191104933981</v>
      </c>
      <c r="H16" s="1942">
        <v>2863</v>
      </c>
      <c r="I16" s="1941">
        <v>36.039778449144002</v>
      </c>
      <c r="J16" s="1942">
        <v>2945</v>
      </c>
      <c r="K16" s="1941">
        <v>37.616553838293527</v>
      </c>
    </row>
    <row r="17" spans="1:11" ht="19.350000000000001" customHeight="1">
      <c r="A17" s="299" t="s">
        <v>2852</v>
      </c>
      <c r="B17" s="1935">
        <v>537</v>
      </c>
      <c r="C17" s="1965">
        <v>6.2314540059347179</v>
      </c>
      <c r="D17" s="1935">
        <v>542</v>
      </c>
      <c r="E17" s="1965">
        <v>6.5854541068628629</v>
      </c>
      <c r="F17" s="1935">
        <v>552</v>
      </c>
      <c r="G17" s="1936">
        <v>6.5207319898077358</v>
      </c>
      <c r="H17" s="1942">
        <v>521</v>
      </c>
      <c r="I17" s="1941">
        <v>6.5584088620342404</v>
      </c>
      <c r="J17" s="1942">
        <v>478</v>
      </c>
      <c r="K17" s="1941">
        <v>6.1055051730744667</v>
      </c>
    </row>
    <row r="18" spans="1:11" ht="19.350000000000001" customHeight="1">
      <c r="A18" s="299" t="s">
        <v>2853</v>
      </c>
      <c r="B18" s="1935">
        <v>485</v>
      </c>
      <c r="C18" s="1965">
        <v>5.6722209541200641</v>
      </c>
      <c r="D18" s="1935">
        <v>459</v>
      </c>
      <c r="E18" s="1965">
        <v>5.632613677481606</v>
      </c>
      <c r="F18" s="1935">
        <v>458</v>
      </c>
      <c r="G18" s="1936">
        <v>5.3972666203381978</v>
      </c>
      <c r="H18" s="1942">
        <v>515</v>
      </c>
      <c r="I18" s="1941">
        <v>6.4828801611278948</v>
      </c>
      <c r="J18" s="1942">
        <v>457</v>
      </c>
      <c r="K18" s="1941">
        <v>5.8372716822071782</v>
      </c>
    </row>
    <row r="19" spans="1:11" ht="19.350000000000001" customHeight="1">
      <c r="A19" s="299" t="s">
        <v>2854</v>
      </c>
      <c r="B19" s="1935">
        <v>208</v>
      </c>
      <c r="C19" s="1965">
        <v>2.4880164346039719</v>
      </c>
      <c r="D19" s="1935">
        <v>173</v>
      </c>
      <c r="E19" s="1965">
        <v>2.1348450126643348</v>
      </c>
      <c r="F19" s="1935">
        <v>178</v>
      </c>
      <c r="G19" s="1936">
        <v>2.1658559184618951</v>
      </c>
      <c r="H19" s="1942">
        <v>175</v>
      </c>
      <c r="I19" s="1941">
        <v>2.202920443101712</v>
      </c>
      <c r="J19" s="1942">
        <v>158</v>
      </c>
      <c r="K19" s="1941">
        <v>2.0181376931919783</v>
      </c>
    </row>
    <row r="20" spans="1:11" ht="19.350000000000001" customHeight="1">
      <c r="A20" s="299" t="s">
        <v>2855</v>
      </c>
      <c r="B20" s="1935">
        <v>86</v>
      </c>
      <c r="C20" s="1965">
        <v>1.0043369093814198</v>
      </c>
      <c r="D20" s="1935">
        <v>74</v>
      </c>
      <c r="E20" s="1965">
        <v>0.90459534434929445</v>
      </c>
      <c r="F20" s="1935">
        <v>53</v>
      </c>
      <c r="G20" s="1936">
        <v>0.67176279823951823</v>
      </c>
      <c r="H20" s="1942">
        <v>35</v>
      </c>
      <c r="I20" s="1941">
        <v>0.44058408862034243</v>
      </c>
      <c r="J20" s="1942">
        <v>69</v>
      </c>
      <c r="K20" s="1941">
        <v>0.88133861284966153</v>
      </c>
    </row>
    <row r="21" spans="1:11" ht="19.350000000000001" customHeight="1">
      <c r="A21" s="1944" t="s">
        <v>2856</v>
      </c>
      <c r="B21" s="1969">
        <v>587</v>
      </c>
      <c r="C21" s="2046">
        <v>7.007532526820361</v>
      </c>
      <c r="D21" s="1969">
        <v>543</v>
      </c>
      <c r="E21" s="2046">
        <v>6.7422506332167416</v>
      </c>
      <c r="F21" s="1969">
        <v>588</v>
      </c>
      <c r="G21" s="1946">
        <v>7.1577484364141766</v>
      </c>
      <c r="H21" s="1951">
        <v>553</v>
      </c>
      <c r="I21" s="1952">
        <v>6.9612286002014097</v>
      </c>
      <c r="J21" s="1951">
        <v>586</v>
      </c>
      <c r="K21" s="1952">
        <v>7.4849916975348068</v>
      </c>
    </row>
    <row r="22" spans="1:11">
      <c r="A22" s="2047" t="s">
        <v>2859</v>
      </c>
      <c r="B22" s="2048"/>
      <c r="J22" s="2049"/>
      <c r="K22" s="2049"/>
    </row>
    <row r="23" spans="1:11">
      <c r="A23" s="2047" t="s">
        <v>2860</v>
      </c>
      <c r="B23" s="2024"/>
      <c r="C23" s="2024"/>
      <c r="I23" s="2051"/>
      <c r="J23" s="2049"/>
      <c r="K23" s="2051"/>
    </row>
    <row r="24" spans="1:11">
      <c r="A24" s="3840"/>
      <c r="B24" s="3820"/>
      <c r="C24" s="3820"/>
      <c r="D24" s="3820"/>
      <c r="E24" s="3820"/>
      <c r="I24" s="2051"/>
    </row>
    <row r="25" spans="1:11">
      <c r="A25" s="3840"/>
      <c r="B25" s="3820"/>
      <c r="C25" s="3820"/>
      <c r="D25" s="3820"/>
      <c r="E25" s="3820"/>
    </row>
  </sheetData>
  <mergeCells count="13">
    <mergeCell ref="A25:E25"/>
    <mergeCell ref="B12:C12"/>
    <mergeCell ref="D12:E12"/>
    <mergeCell ref="F12:G12"/>
    <mergeCell ref="H12:I12"/>
    <mergeCell ref="J12:K12"/>
    <mergeCell ref="A24:E24"/>
    <mergeCell ref="A1:K1"/>
    <mergeCell ref="B2:C2"/>
    <mergeCell ref="D2:E2"/>
    <mergeCell ref="F2:G2"/>
    <mergeCell ref="H2:I2"/>
    <mergeCell ref="J2:K2"/>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63"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U31"/>
  <sheetViews>
    <sheetView showGridLines="0" showRuler="0" topLeftCell="A22" zoomScaleNormal="100" zoomScalePageLayoutView="125" workbookViewId="0">
      <selection activeCell="B18" sqref="B18:D18"/>
    </sheetView>
  </sheetViews>
  <sheetFormatPr defaultColWidth="9" defaultRowHeight="20.100000000000001" customHeight="1"/>
  <cols>
    <col min="1" max="1" width="22.125" style="1785" customWidth="1"/>
    <col min="2" max="21" width="7.625" style="1785" customWidth="1"/>
    <col min="22" max="16384" width="9" style="1785"/>
  </cols>
  <sheetData>
    <row r="1" spans="1:21" ht="21.75" customHeight="1">
      <c r="A1" s="3733" t="s">
        <v>2861</v>
      </c>
      <c r="B1" s="3733"/>
      <c r="C1" s="3733"/>
      <c r="D1" s="3733"/>
      <c r="E1" s="3733"/>
      <c r="F1" s="3733"/>
      <c r="G1" s="3733"/>
      <c r="H1" s="3733"/>
      <c r="I1" s="3733"/>
      <c r="J1" s="3733"/>
      <c r="K1" s="3733"/>
      <c r="L1" s="3733"/>
      <c r="M1" s="3733"/>
      <c r="N1" s="3733"/>
      <c r="O1" s="3733"/>
      <c r="P1" s="3733"/>
      <c r="Q1" s="3733"/>
      <c r="R1" s="3733"/>
      <c r="S1" s="3733"/>
      <c r="T1" s="3733"/>
      <c r="U1" s="3733"/>
    </row>
    <row r="2" spans="1:21" ht="15.75" customHeight="1">
      <c r="A2" s="1832"/>
      <c r="B2" s="3722" t="s">
        <v>2862</v>
      </c>
      <c r="C2" s="3734"/>
      <c r="D2" s="3730" t="s">
        <v>2863</v>
      </c>
      <c r="E2" s="3734"/>
      <c r="F2" s="3730" t="s">
        <v>2864</v>
      </c>
      <c r="G2" s="3734"/>
      <c r="H2" s="3730" t="s">
        <v>2865</v>
      </c>
      <c r="I2" s="3734"/>
      <c r="J2" s="3730" t="s">
        <v>2866</v>
      </c>
      <c r="K2" s="3734"/>
      <c r="L2" s="3730" t="s">
        <v>2867</v>
      </c>
      <c r="M2" s="3734"/>
      <c r="N2" s="3730" t="s">
        <v>2868</v>
      </c>
      <c r="O2" s="3734"/>
      <c r="P2" s="3730" t="s">
        <v>2869</v>
      </c>
      <c r="Q2" s="3734"/>
      <c r="R2" s="3722" t="s">
        <v>2870</v>
      </c>
      <c r="S2" s="3722"/>
      <c r="T2" s="3730" t="s">
        <v>2786</v>
      </c>
      <c r="U2" s="3722"/>
    </row>
    <row r="3" spans="1:21" ht="20.100000000000001" customHeight="1">
      <c r="A3" s="1833"/>
      <c r="B3" s="1927" t="s">
        <v>2649</v>
      </c>
      <c r="C3" s="1859" t="s">
        <v>2651</v>
      </c>
      <c r="D3" s="1859" t="s">
        <v>2649</v>
      </c>
      <c r="E3" s="1859" t="s">
        <v>2651</v>
      </c>
      <c r="F3" s="1859" t="s">
        <v>2563</v>
      </c>
      <c r="G3" s="1859" t="s">
        <v>2373</v>
      </c>
      <c r="H3" s="1859" t="s">
        <v>2649</v>
      </c>
      <c r="I3" s="1859" t="s">
        <v>2373</v>
      </c>
      <c r="J3" s="1859" t="s">
        <v>2649</v>
      </c>
      <c r="K3" s="1859" t="s">
        <v>2651</v>
      </c>
      <c r="L3" s="1859" t="s">
        <v>2563</v>
      </c>
      <c r="M3" s="1859" t="s">
        <v>2651</v>
      </c>
      <c r="N3" s="1859" t="s">
        <v>2563</v>
      </c>
      <c r="O3" s="1859" t="s">
        <v>2651</v>
      </c>
      <c r="P3" s="1859" t="s">
        <v>2563</v>
      </c>
      <c r="Q3" s="1859" t="s">
        <v>2651</v>
      </c>
      <c r="R3" s="1859" t="s">
        <v>2649</v>
      </c>
      <c r="S3" s="1859" t="s">
        <v>2373</v>
      </c>
      <c r="T3" s="1859" t="s">
        <v>2649</v>
      </c>
      <c r="U3" s="1788" t="s">
        <v>2651</v>
      </c>
    </row>
    <row r="4" spans="1:21" ht="20.100000000000001" customHeight="1">
      <c r="A4" s="1975" t="s">
        <v>2375</v>
      </c>
      <c r="B4" s="1935">
        <f>SUM(B5:B6)</f>
        <v>302</v>
      </c>
      <c r="C4" s="1936">
        <f t="shared" ref="C4:C14" si="0">B4/B$4*100</f>
        <v>100</v>
      </c>
      <c r="D4" s="1935">
        <f>SUM(D5:D6)</f>
        <v>362</v>
      </c>
      <c r="E4" s="1936">
        <f t="shared" ref="E4:E14" si="1">D4/D$4*100</f>
        <v>100</v>
      </c>
      <c r="F4" s="1935">
        <v>378</v>
      </c>
      <c r="G4" s="1936">
        <f t="shared" ref="G4:G6" si="2">F4/F$4*100</f>
        <v>100</v>
      </c>
      <c r="H4" s="1935">
        <v>388</v>
      </c>
      <c r="I4" s="1936">
        <f>H4/H$4*100</f>
        <v>100</v>
      </c>
      <c r="J4" s="1935">
        <v>409</v>
      </c>
      <c r="K4" s="1936">
        <f t="shared" ref="K4:K26" si="3">J4/J$4*100</f>
        <v>100</v>
      </c>
      <c r="L4" s="1935">
        <v>279</v>
      </c>
      <c r="M4" s="1936">
        <v>100</v>
      </c>
      <c r="N4" s="1935">
        <f>SUM(N6,N5)</f>
        <v>261</v>
      </c>
      <c r="O4" s="1936">
        <f>N4/N$4*100</f>
        <v>100</v>
      </c>
      <c r="P4" s="1935">
        <f>SUM(P6,P5)</f>
        <v>293</v>
      </c>
      <c r="Q4" s="1936">
        <f>P4/P$4*100</f>
        <v>100</v>
      </c>
      <c r="R4" s="1935">
        <f>SUM(R6,R5)</f>
        <v>325</v>
      </c>
      <c r="S4" s="1936">
        <f>R4/R$4*100</f>
        <v>100</v>
      </c>
      <c r="T4" s="1935">
        <f>SUM(T6,T5)</f>
        <v>236</v>
      </c>
      <c r="U4" s="1965">
        <f>T4/T$4*100</f>
        <v>100</v>
      </c>
    </row>
    <row r="5" spans="1:21" ht="20.100000000000001" customHeight="1">
      <c r="A5" s="1966" t="s">
        <v>2871</v>
      </c>
      <c r="B5" s="1935">
        <v>277</v>
      </c>
      <c r="C5" s="1936">
        <f t="shared" si="0"/>
        <v>91.721854304635769</v>
      </c>
      <c r="D5" s="1935">
        <v>330</v>
      </c>
      <c r="E5" s="1936">
        <f t="shared" si="1"/>
        <v>91.160220994475139</v>
      </c>
      <c r="F5" s="1935">
        <v>347</v>
      </c>
      <c r="G5" s="1936">
        <f t="shared" si="2"/>
        <v>91.798941798941797</v>
      </c>
      <c r="H5" s="1935">
        <v>348</v>
      </c>
      <c r="I5" s="1936">
        <f t="shared" ref="I5:I27" si="4">H5/H$4*100</f>
        <v>89.690721649484544</v>
      </c>
      <c r="J5" s="1935">
        <v>376</v>
      </c>
      <c r="K5" s="1936">
        <f t="shared" si="3"/>
        <v>91.931540342298291</v>
      </c>
      <c r="L5" s="1935">
        <v>261</v>
      </c>
      <c r="M5" s="1936">
        <v>93.55</v>
      </c>
      <c r="N5" s="1935">
        <v>244</v>
      </c>
      <c r="O5" s="1936">
        <f t="shared" ref="O5:O14" si="5">N5/N$4*100</f>
        <v>93.486590038314176</v>
      </c>
      <c r="P5" s="1935">
        <v>270</v>
      </c>
      <c r="Q5" s="1936">
        <f t="shared" ref="Q5:Q17" si="6">P5/P$4*100</f>
        <v>92.150170648464169</v>
      </c>
      <c r="R5" s="1935">
        <v>300</v>
      </c>
      <c r="S5" s="1936">
        <f t="shared" ref="S5:S18" si="7">R5/R$4*100</f>
        <v>92.307692307692307</v>
      </c>
      <c r="T5" s="1935">
        <v>210</v>
      </c>
      <c r="U5" s="1965">
        <f t="shared" ref="U5:U20" si="8">T5/T$4*100</f>
        <v>88.983050847457619</v>
      </c>
    </row>
    <row r="6" spans="1:21" ht="20.100000000000001" customHeight="1">
      <c r="A6" s="1968" t="s">
        <v>2872</v>
      </c>
      <c r="B6" s="1935">
        <v>25</v>
      </c>
      <c r="C6" s="1936">
        <f t="shared" si="0"/>
        <v>8.2781456953642394</v>
      </c>
      <c r="D6" s="1935">
        <v>32</v>
      </c>
      <c r="E6" s="1936">
        <f t="shared" si="1"/>
        <v>8.8397790055248606</v>
      </c>
      <c r="F6" s="1935">
        <v>31</v>
      </c>
      <c r="G6" s="1936">
        <f t="shared" si="2"/>
        <v>8.2010582010582009</v>
      </c>
      <c r="H6" s="1935">
        <v>40</v>
      </c>
      <c r="I6" s="1936">
        <f t="shared" si="4"/>
        <v>10.309278350515463</v>
      </c>
      <c r="J6" s="1935">
        <v>33</v>
      </c>
      <c r="K6" s="1936">
        <f t="shared" si="3"/>
        <v>8.0684596577017107</v>
      </c>
      <c r="L6" s="1935">
        <v>18</v>
      </c>
      <c r="M6" s="1936">
        <v>6.45</v>
      </c>
      <c r="N6" s="1935">
        <v>17</v>
      </c>
      <c r="O6" s="1936">
        <f t="shared" si="5"/>
        <v>6.5134099616858236</v>
      </c>
      <c r="P6" s="1935">
        <v>23</v>
      </c>
      <c r="Q6" s="1936">
        <f t="shared" si="6"/>
        <v>7.8498293515358366</v>
      </c>
      <c r="R6" s="1935">
        <v>25</v>
      </c>
      <c r="S6" s="1936">
        <f t="shared" si="7"/>
        <v>7.6923076923076925</v>
      </c>
      <c r="T6" s="1935">
        <v>26</v>
      </c>
      <c r="U6" s="1965">
        <f t="shared" si="8"/>
        <v>11.016949152542372</v>
      </c>
    </row>
    <row r="7" spans="1:21" s="2054" customFormat="1" ht="24.95" customHeight="1">
      <c r="A7" s="299" t="s">
        <v>2873</v>
      </c>
      <c r="B7" s="1928">
        <v>109</v>
      </c>
      <c r="C7" s="1929">
        <f t="shared" si="0"/>
        <v>36.092715231788084</v>
      </c>
      <c r="D7" s="1928">
        <v>178</v>
      </c>
      <c r="E7" s="1929">
        <f t="shared" si="1"/>
        <v>49.171270718232044</v>
      </c>
      <c r="F7" s="1928">
        <v>221</v>
      </c>
      <c r="G7" s="1929">
        <f>F7/F$4*100</f>
        <v>58.465608465608469</v>
      </c>
      <c r="H7" s="1928">
        <v>220</v>
      </c>
      <c r="I7" s="1929">
        <f t="shared" si="4"/>
        <v>56.701030927835049</v>
      </c>
      <c r="J7" s="1928">
        <v>225</v>
      </c>
      <c r="K7" s="1929">
        <f t="shared" si="3"/>
        <v>55.012224938875306</v>
      </c>
      <c r="L7" s="1928">
        <v>129</v>
      </c>
      <c r="M7" s="1929">
        <f>L7/L$4*100</f>
        <v>46.236559139784944</v>
      </c>
      <c r="N7" s="1928">
        <v>152</v>
      </c>
      <c r="O7" s="1929">
        <f t="shared" si="5"/>
        <v>58.237547892720308</v>
      </c>
      <c r="P7" s="1928">
        <v>139</v>
      </c>
      <c r="Q7" s="1929">
        <f t="shared" si="6"/>
        <v>47.44027303754266</v>
      </c>
      <c r="R7" s="1928">
        <v>182</v>
      </c>
      <c r="S7" s="1929">
        <f t="shared" si="7"/>
        <v>56.000000000000007</v>
      </c>
      <c r="T7" s="1928">
        <v>148</v>
      </c>
      <c r="U7" s="2053">
        <f t="shared" si="8"/>
        <v>62.711864406779661</v>
      </c>
    </row>
    <row r="8" spans="1:21" ht="24.95" customHeight="1">
      <c r="A8" s="299" t="s">
        <v>2874</v>
      </c>
      <c r="B8" s="1935">
        <v>49</v>
      </c>
      <c r="C8" s="1936">
        <f t="shared" si="0"/>
        <v>16.225165562913908</v>
      </c>
      <c r="D8" s="1935">
        <v>70</v>
      </c>
      <c r="E8" s="1936">
        <f t="shared" si="1"/>
        <v>19.337016574585636</v>
      </c>
      <c r="F8" s="1935">
        <v>64</v>
      </c>
      <c r="G8" s="1936">
        <f>F8/F$4*100</f>
        <v>16.93121693121693</v>
      </c>
      <c r="H8" s="1935">
        <v>50</v>
      </c>
      <c r="I8" s="1936">
        <f t="shared" si="4"/>
        <v>12.886597938144329</v>
      </c>
      <c r="J8" s="1935">
        <v>68</v>
      </c>
      <c r="K8" s="1936">
        <f t="shared" si="3"/>
        <v>16.625916870415647</v>
      </c>
      <c r="L8" s="1935">
        <v>45</v>
      </c>
      <c r="M8" s="1936">
        <f>L8/L$4*100</f>
        <v>16.129032258064516</v>
      </c>
      <c r="N8" s="1935">
        <v>38</v>
      </c>
      <c r="O8" s="1936">
        <f t="shared" si="5"/>
        <v>14.559386973180077</v>
      </c>
      <c r="P8" s="1935">
        <v>43</v>
      </c>
      <c r="Q8" s="1936">
        <f t="shared" si="6"/>
        <v>14.675767918088736</v>
      </c>
      <c r="R8" s="1935">
        <v>37</v>
      </c>
      <c r="S8" s="1936">
        <f t="shared" si="7"/>
        <v>11.384615384615385</v>
      </c>
      <c r="T8" s="1935">
        <v>25</v>
      </c>
      <c r="U8" s="1965">
        <f t="shared" si="8"/>
        <v>10.59322033898305</v>
      </c>
    </row>
    <row r="9" spans="1:21" ht="24.95" customHeight="1">
      <c r="A9" s="299" t="s">
        <v>2875</v>
      </c>
      <c r="B9" s="1935">
        <v>34</v>
      </c>
      <c r="C9" s="1936">
        <f t="shared" si="0"/>
        <v>11.258278145695364</v>
      </c>
      <c r="D9" s="1935">
        <v>20</v>
      </c>
      <c r="E9" s="1936">
        <f t="shared" si="1"/>
        <v>5.5248618784530388</v>
      </c>
      <c r="F9" s="1935">
        <v>21</v>
      </c>
      <c r="G9" s="1936">
        <f>F9/F$4*100</f>
        <v>5.5555555555555554</v>
      </c>
      <c r="H9" s="1935">
        <v>22</v>
      </c>
      <c r="I9" s="1936">
        <f t="shared" si="4"/>
        <v>5.6701030927835054</v>
      </c>
      <c r="J9" s="1935">
        <v>23</v>
      </c>
      <c r="K9" s="1936">
        <f t="shared" si="3"/>
        <v>5.6234718826405867</v>
      </c>
      <c r="L9" s="1935">
        <v>37</v>
      </c>
      <c r="M9" s="1936">
        <f t="shared" ref="M9:M22" si="9">L9/L$4*100</f>
        <v>13.261648745519713</v>
      </c>
      <c r="N9" s="1935">
        <v>14</v>
      </c>
      <c r="O9" s="1936">
        <f t="shared" si="5"/>
        <v>5.3639846743295019</v>
      </c>
      <c r="P9" s="1935">
        <v>15</v>
      </c>
      <c r="Q9" s="1936">
        <f t="shared" si="6"/>
        <v>5.1194539249146755</v>
      </c>
      <c r="R9" s="1935">
        <v>18</v>
      </c>
      <c r="S9" s="1936">
        <f t="shared" si="7"/>
        <v>5.5384615384615383</v>
      </c>
      <c r="T9" s="1935">
        <v>13</v>
      </c>
      <c r="U9" s="1965">
        <f t="shared" si="8"/>
        <v>5.508474576271186</v>
      </c>
    </row>
    <row r="10" spans="1:21" ht="24.95" customHeight="1">
      <c r="A10" s="299" t="s">
        <v>2876</v>
      </c>
      <c r="B10" s="1935">
        <v>1</v>
      </c>
      <c r="C10" s="1936">
        <f t="shared" si="0"/>
        <v>0.33112582781456956</v>
      </c>
      <c r="D10" s="1935">
        <v>3</v>
      </c>
      <c r="E10" s="1936">
        <f t="shared" si="1"/>
        <v>0.82872928176795579</v>
      </c>
      <c r="F10" s="1935" t="s">
        <v>1</v>
      </c>
      <c r="G10" s="1936" t="s">
        <v>2877</v>
      </c>
      <c r="H10" s="1935">
        <v>5</v>
      </c>
      <c r="I10" s="1936">
        <f t="shared" si="4"/>
        <v>1.2886597938144329</v>
      </c>
      <c r="J10" s="1935">
        <v>2</v>
      </c>
      <c r="K10" s="1936">
        <f t="shared" si="3"/>
        <v>0.48899755501222492</v>
      </c>
      <c r="L10" s="1935">
        <v>8</v>
      </c>
      <c r="M10" s="1936">
        <f t="shared" si="9"/>
        <v>2.8673835125448028</v>
      </c>
      <c r="N10" s="1935">
        <v>13</v>
      </c>
      <c r="O10" s="1936">
        <f t="shared" si="5"/>
        <v>4.980842911877394</v>
      </c>
      <c r="P10" s="1935">
        <v>27</v>
      </c>
      <c r="Q10" s="1936">
        <f t="shared" si="6"/>
        <v>9.2150170648464158</v>
      </c>
      <c r="R10" s="1935">
        <v>28</v>
      </c>
      <c r="S10" s="1936">
        <f t="shared" si="7"/>
        <v>8.615384615384615</v>
      </c>
      <c r="T10" s="1935">
        <v>11</v>
      </c>
      <c r="U10" s="1965">
        <f t="shared" si="8"/>
        <v>4.6610169491525424</v>
      </c>
    </row>
    <row r="11" spans="1:21" ht="24.95" customHeight="1">
      <c r="A11" s="299" t="s">
        <v>2878</v>
      </c>
      <c r="B11" s="1942">
        <v>5</v>
      </c>
      <c r="C11" s="1936">
        <f t="shared" si="0"/>
        <v>1.6556291390728477</v>
      </c>
      <c r="D11" s="1942">
        <v>3</v>
      </c>
      <c r="E11" s="1936">
        <f t="shared" si="1"/>
        <v>0.82872928176795579</v>
      </c>
      <c r="F11" s="1942">
        <v>3</v>
      </c>
      <c r="G11" s="1936">
        <f>F11/F$4*100</f>
        <v>0.79365079365079361</v>
      </c>
      <c r="H11" s="1942">
        <v>3</v>
      </c>
      <c r="I11" s="1936">
        <f t="shared" si="4"/>
        <v>0.77319587628865982</v>
      </c>
      <c r="J11" s="1942">
        <v>3</v>
      </c>
      <c r="K11" s="1936">
        <f t="shared" si="3"/>
        <v>0.73349633251833746</v>
      </c>
      <c r="L11" s="1942">
        <v>2</v>
      </c>
      <c r="M11" s="1936">
        <f t="shared" si="9"/>
        <v>0.71684587813620071</v>
      </c>
      <c r="N11" s="1942">
        <v>3</v>
      </c>
      <c r="O11" s="1936">
        <f t="shared" si="5"/>
        <v>1.1494252873563218</v>
      </c>
      <c r="P11" s="1942">
        <v>7</v>
      </c>
      <c r="Q11" s="1936">
        <f t="shared" si="6"/>
        <v>2.3890784982935154</v>
      </c>
      <c r="R11" s="1942">
        <v>8</v>
      </c>
      <c r="S11" s="1936">
        <f t="shared" si="7"/>
        <v>2.4615384615384617</v>
      </c>
      <c r="T11" s="1942">
        <v>7</v>
      </c>
      <c r="U11" s="1965">
        <f t="shared" si="8"/>
        <v>2.9661016949152543</v>
      </c>
    </row>
    <row r="12" spans="1:21" ht="24.95" customHeight="1">
      <c r="A12" s="299" t="s">
        <v>2577</v>
      </c>
      <c r="B12" s="1935">
        <v>22</v>
      </c>
      <c r="C12" s="1936">
        <f t="shared" si="0"/>
        <v>7.2847682119205297</v>
      </c>
      <c r="D12" s="1935">
        <v>12</v>
      </c>
      <c r="E12" s="1936">
        <f t="shared" si="1"/>
        <v>3.3149171270718232</v>
      </c>
      <c r="F12" s="1935">
        <v>17</v>
      </c>
      <c r="G12" s="1936">
        <f>F12/F$4*100</f>
        <v>4.4973544973544968</v>
      </c>
      <c r="H12" s="1935">
        <v>23</v>
      </c>
      <c r="I12" s="1936">
        <f t="shared" si="4"/>
        <v>5.9278350515463911</v>
      </c>
      <c r="J12" s="1935">
        <v>19</v>
      </c>
      <c r="K12" s="1936">
        <f t="shared" si="3"/>
        <v>4.6454767726161368</v>
      </c>
      <c r="L12" s="1935">
        <v>12</v>
      </c>
      <c r="M12" s="1936">
        <f t="shared" si="9"/>
        <v>4.3010752688172049</v>
      </c>
      <c r="N12" s="1935">
        <v>12</v>
      </c>
      <c r="O12" s="1936">
        <f t="shared" si="5"/>
        <v>4.5977011494252871</v>
      </c>
      <c r="P12" s="1935">
        <v>21</v>
      </c>
      <c r="Q12" s="1936">
        <f t="shared" si="6"/>
        <v>7.1672354948805461</v>
      </c>
      <c r="R12" s="1935">
        <v>13</v>
      </c>
      <c r="S12" s="1936">
        <f t="shared" si="7"/>
        <v>4</v>
      </c>
      <c r="T12" s="1935">
        <v>6</v>
      </c>
      <c r="U12" s="1965">
        <f t="shared" si="8"/>
        <v>2.5423728813559325</v>
      </c>
    </row>
    <row r="13" spans="1:21" ht="24.95" customHeight="1">
      <c r="A13" s="300" t="s">
        <v>2879</v>
      </c>
      <c r="B13" s="1935">
        <v>71</v>
      </c>
      <c r="C13" s="1936">
        <f t="shared" si="0"/>
        <v>23.509933774834437</v>
      </c>
      <c r="D13" s="1935">
        <v>58</v>
      </c>
      <c r="E13" s="1936">
        <f t="shared" si="1"/>
        <v>16.022099447513813</v>
      </c>
      <c r="F13" s="1935">
        <v>36</v>
      </c>
      <c r="G13" s="1936">
        <f>F13/F$4*100</f>
        <v>9.5238095238095237</v>
      </c>
      <c r="H13" s="1935">
        <v>47</v>
      </c>
      <c r="I13" s="1936">
        <f t="shared" si="4"/>
        <v>12.11340206185567</v>
      </c>
      <c r="J13" s="1935">
        <v>47</v>
      </c>
      <c r="K13" s="1936">
        <f t="shared" si="3"/>
        <v>11.491442542787286</v>
      </c>
      <c r="L13" s="1935">
        <v>36</v>
      </c>
      <c r="M13" s="1936">
        <f t="shared" si="9"/>
        <v>12.903225806451612</v>
      </c>
      <c r="N13" s="1935">
        <v>16</v>
      </c>
      <c r="O13" s="1936">
        <f t="shared" si="5"/>
        <v>6.1302681992337158</v>
      </c>
      <c r="P13" s="1935">
        <v>30</v>
      </c>
      <c r="Q13" s="1936">
        <f t="shared" si="6"/>
        <v>10.238907849829351</v>
      </c>
      <c r="R13" s="1935">
        <v>18</v>
      </c>
      <c r="S13" s="1936">
        <f t="shared" si="7"/>
        <v>5.5384615384615383</v>
      </c>
      <c r="T13" s="1935">
        <v>5</v>
      </c>
      <c r="U13" s="1965">
        <f t="shared" si="8"/>
        <v>2.1186440677966099</v>
      </c>
    </row>
    <row r="14" spans="1:21" ht="24.95" customHeight="1">
      <c r="A14" s="299" t="s">
        <v>2880</v>
      </c>
      <c r="B14" s="1935">
        <v>3</v>
      </c>
      <c r="C14" s="1936">
        <f t="shared" si="0"/>
        <v>0.99337748344370869</v>
      </c>
      <c r="D14" s="1935">
        <v>5</v>
      </c>
      <c r="E14" s="1936">
        <f t="shared" si="1"/>
        <v>1.3812154696132597</v>
      </c>
      <c r="F14" s="1935">
        <v>5</v>
      </c>
      <c r="G14" s="1936">
        <f>F14/F$4*100</f>
        <v>1.3227513227513228</v>
      </c>
      <c r="H14" s="1935">
        <v>4</v>
      </c>
      <c r="I14" s="1936">
        <f t="shared" si="4"/>
        <v>1.0309278350515463</v>
      </c>
      <c r="J14" s="1935">
        <v>2</v>
      </c>
      <c r="K14" s="1936">
        <f t="shared" si="3"/>
        <v>0.48899755501222492</v>
      </c>
      <c r="L14" s="1935">
        <v>2</v>
      </c>
      <c r="M14" s="1936">
        <f t="shared" si="9"/>
        <v>0.71684587813620071</v>
      </c>
      <c r="N14" s="1935">
        <v>3</v>
      </c>
      <c r="O14" s="1936">
        <f t="shared" si="5"/>
        <v>1.1494252873563218</v>
      </c>
      <c r="P14" s="1935">
        <v>1</v>
      </c>
      <c r="Q14" s="1936">
        <f t="shared" si="6"/>
        <v>0.34129692832764508</v>
      </c>
      <c r="R14" s="1935">
        <v>7</v>
      </c>
      <c r="S14" s="1936">
        <f t="shared" si="7"/>
        <v>2.1538461538461537</v>
      </c>
      <c r="T14" s="1935">
        <v>5</v>
      </c>
      <c r="U14" s="1965">
        <f t="shared" si="8"/>
        <v>2.1186440677966099</v>
      </c>
    </row>
    <row r="15" spans="1:21" ht="24.95" customHeight="1">
      <c r="A15" s="299" t="s">
        <v>2881</v>
      </c>
      <c r="B15" s="1935" t="s">
        <v>1</v>
      </c>
      <c r="C15" s="1936" t="s">
        <v>2817</v>
      </c>
      <c r="D15" s="1935" t="s">
        <v>1</v>
      </c>
      <c r="E15" s="1936" t="s">
        <v>2817</v>
      </c>
      <c r="F15" s="1935" t="s">
        <v>1</v>
      </c>
      <c r="G15" s="1936" t="s">
        <v>2817</v>
      </c>
      <c r="H15" s="1935" t="s">
        <v>1</v>
      </c>
      <c r="I15" s="1936" t="s">
        <v>2817</v>
      </c>
      <c r="J15" s="1935">
        <v>2</v>
      </c>
      <c r="K15" s="1936">
        <f t="shared" si="3"/>
        <v>0.48899755501222492</v>
      </c>
      <c r="L15" s="1935">
        <v>1</v>
      </c>
      <c r="M15" s="1936">
        <f t="shared" si="9"/>
        <v>0.35842293906810035</v>
      </c>
      <c r="N15" s="1935" t="s">
        <v>1</v>
      </c>
      <c r="O15" s="1936" t="s">
        <v>2817</v>
      </c>
      <c r="P15" s="1935">
        <v>1</v>
      </c>
      <c r="Q15" s="1936">
        <f t="shared" si="6"/>
        <v>0.34129692832764508</v>
      </c>
      <c r="R15" s="1935">
        <v>7</v>
      </c>
      <c r="S15" s="1936">
        <f t="shared" si="7"/>
        <v>2.1538461538461537</v>
      </c>
      <c r="T15" s="1935">
        <v>5</v>
      </c>
      <c r="U15" s="1965">
        <f t="shared" si="8"/>
        <v>2.1186440677966099</v>
      </c>
    </row>
    <row r="16" spans="1:21" ht="24.95" customHeight="1">
      <c r="A16" s="299" t="s">
        <v>2882</v>
      </c>
      <c r="B16" s="1935">
        <v>1</v>
      </c>
      <c r="C16" s="1936">
        <f>B16/B$4*100</f>
        <v>0.33112582781456956</v>
      </c>
      <c r="D16" s="1935">
        <v>2</v>
      </c>
      <c r="E16" s="1936">
        <f>D16/D$4*100</f>
        <v>0.55248618784530379</v>
      </c>
      <c r="F16" s="1935">
        <v>2</v>
      </c>
      <c r="G16" s="1936">
        <f>F16/F$4*100</f>
        <v>0.52910052910052907</v>
      </c>
      <c r="H16" s="1935">
        <v>4</v>
      </c>
      <c r="I16" s="1936">
        <f t="shared" si="4"/>
        <v>1.0309278350515463</v>
      </c>
      <c r="J16" s="1935">
        <v>1</v>
      </c>
      <c r="K16" s="1936">
        <f t="shared" si="3"/>
        <v>0.24449877750611246</v>
      </c>
      <c r="L16" s="1935">
        <v>3</v>
      </c>
      <c r="M16" s="1936">
        <f t="shared" si="9"/>
        <v>1.0752688172043012</v>
      </c>
      <c r="N16" s="1935">
        <v>1</v>
      </c>
      <c r="O16" s="1936">
        <f>N16/N$4*100</f>
        <v>0.38314176245210724</v>
      </c>
      <c r="P16" s="1935">
        <v>1</v>
      </c>
      <c r="Q16" s="1936">
        <f t="shared" si="6"/>
        <v>0.34129692832764508</v>
      </c>
      <c r="R16" s="1935">
        <v>3</v>
      </c>
      <c r="S16" s="1936">
        <f t="shared" si="7"/>
        <v>0.92307692307692313</v>
      </c>
      <c r="T16" s="1935">
        <v>3</v>
      </c>
      <c r="U16" s="1965">
        <f t="shared" si="8"/>
        <v>1.2711864406779663</v>
      </c>
    </row>
    <row r="17" spans="1:21" ht="24.95" customHeight="1">
      <c r="A17" s="299" t="s">
        <v>2883</v>
      </c>
      <c r="B17" s="1935">
        <v>2</v>
      </c>
      <c r="C17" s="1936">
        <f>B17/B$4*100</f>
        <v>0.66225165562913912</v>
      </c>
      <c r="D17" s="1935">
        <v>2</v>
      </c>
      <c r="E17" s="1936">
        <f>D17/D$4*100</f>
        <v>0.55248618784530379</v>
      </c>
      <c r="F17" s="1935">
        <v>1</v>
      </c>
      <c r="G17" s="1936">
        <f>F17/F$4*100</f>
        <v>0.26455026455026454</v>
      </c>
      <c r="H17" s="1935">
        <v>2</v>
      </c>
      <c r="I17" s="1936">
        <f t="shared" si="4"/>
        <v>0.51546391752577314</v>
      </c>
      <c r="J17" s="1935">
        <v>1</v>
      </c>
      <c r="K17" s="1936">
        <f t="shared" si="3"/>
        <v>0.24449877750611246</v>
      </c>
      <c r="L17" s="1935">
        <v>1</v>
      </c>
      <c r="M17" s="1936">
        <f t="shared" si="9"/>
        <v>0.35842293906810035</v>
      </c>
      <c r="N17" s="1935">
        <v>5</v>
      </c>
      <c r="O17" s="1936">
        <f>N17/N$4*100</f>
        <v>1.9157088122605364</v>
      </c>
      <c r="P17" s="1935">
        <v>1</v>
      </c>
      <c r="Q17" s="1936">
        <f t="shared" si="6"/>
        <v>0.34129692832764508</v>
      </c>
      <c r="R17" s="1935">
        <v>1</v>
      </c>
      <c r="S17" s="1936">
        <f t="shared" si="7"/>
        <v>0.30769230769230771</v>
      </c>
      <c r="T17" s="1935">
        <v>3</v>
      </c>
      <c r="U17" s="1965">
        <f t="shared" si="8"/>
        <v>1.2711864406779663</v>
      </c>
    </row>
    <row r="18" spans="1:21" ht="24.95" customHeight="1">
      <c r="A18" s="299" t="s">
        <v>2884</v>
      </c>
      <c r="B18" s="1935" t="s">
        <v>1</v>
      </c>
      <c r="C18" s="1936" t="s">
        <v>2442</v>
      </c>
      <c r="D18" s="1935" t="s">
        <v>1</v>
      </c>
      <c r="E18" s="1936" t="s">
        <v>2442</v>
      </c>
      <c r="F18" s="1935" t="s">
        <v>1</v>
      </c>
      <c r="G18" s="1936" t="s">
        <v>2817</v>
      </c>
      <c r="H18" s="1935" t="s">
        <v>1</v>
      </c>
      <c r="I18" s="1936" t="s">
        <v>2817</v>
      </c>
      <c r="J18" s="1935" t="s">
        <v>1</v>
      </c>
      <c r="K18" s="1936" t="s">
        <v>2442</v>
      </c>
      <c r="L18" s="1935" t="s">
        <v>1</v>
      </c>
      <c r="M18" s="1936" t="s">
        <v>2442</v>
      </c>
      <c r="N18" s="1935" t="s">
        <v>1</v>
      </c>
      <c r="O18" s="1936" t="s">
        <v>2442</v>
      </c>
      <c r="P18" s="1935" t="s">
        <v>1</v>
      </c>
      <c r="Q18" s="1936" t="s">
        <v>2817</v>
      </c>
      <c r="R18" s="1935">
        <v>1</v>
      </c>
      <c r="S18" s="1936">
        <f t="shared" si="7"/>
        <v>0.30769230769230771</v>
      </c>
      <c r="T18" s="1935">
        <v>3</v>
      </c>
      <c r="U18" s="1965">
        <f t="shared" si="8"/>
        <v>1.2711864406779663</v>
      </c>
    </row>
    <row r="19" spans="1:21" ht="24.95" customHeight="1">
      <c r="A19" s="299" t="s">
        <v>2584</v>
      </c>
      <c r="B19" s="1935" t="s">
        <v>2442</v>
      </c>
      <c r="C19" s="1936" t="s">
        <v>2442</v>
      </c>
      <c r="D19" s="1935">
        <v>1</v>
      </c>
      <c r="E19" s="1936">
        <f t="shared" ref="E19:E27" si="10">D19/D$4*100</f>
        <v>0.27624309392265189</v>
      </c>
      <c r="F19" s="1935">
        <v>1</v>
      </c>
      <c r="G19" s="1936">
        <f t="shared" ref="G19:G28" si="11">F19/F$4*100</f>
        <v>0.26455026455026454</v>
      </c>
      <c r="H19" s="1935" t="s">
        <v>2817</v>
      </c>
      <c r="I19" s="1936" t="s">
        <v>2442</v>
      </c>
      <c r="J19" s="1935">
        <v>1</v>
      </c>
      <c r="K19" s="1936">
        <f t="shared" si="3"/>
        <v>0.24449877750611246</v>
      </c>
      <c r="L19" s="1935" t="s">
        <v>2430</v>
      </c>
      <c r="M19" s="1936" t="s">
        <v>2430</v>
      </c>
      <c r="N19" s="1935" t="s">
        <v>2442</v>
      </c>
      <c r="O19" s="1936" t="s">
        <v>2442</v>
      </c>
      <c r="P19" s="1935" t="s">
        <v>2442</v>
      </c>
      <c r="Q19" s="1936" t="s">
        <v>2442</v>
      </c>
      <c r="R19" s="1935" t="s">
        <v>2442</v>
      </c>
      <c r="S19" s="1936" t="s">
        <v>2442</v>
      </c>
      <c r="T19" s="1935">
        <v>1</v>
      </c>
      <c r="U19" s="1965">
        <f t="shared" si="8"/>
        <v>0.42372881355932202</v>
      </c>
    </row>
    <row r="20" spans="1:21" ht="24.95" customHeight="1">
      <c r="A20" s="299" t="s">
        <v>2885</v>
      </c>
      <c r="B20" s="1935" t="s">
        <v>2442</v>
      </c>
      <c r="C20" s="1936" t="s">
        <v>2442</v>
      </c>
      <c r="D20" s="1935" t="s">
        <v>2442</v>
      </c>
      <c r="E20" s="1936" t="s">
        <v>2442</v>
      </c>
      <c r="F20" s="1935" t="s">
        <v>2442</v>
      </c>
      <c r="G20" s="1936" t="s">
        <v>2442</v>
      </c>
      <c r="H20" s="1935">
        <v>1</v>
      </c>
      <c r="I20" s="1936">
        <f t="shared" si="4"/>
        <v>0.25773195876288657</v>
      </c>
      <c r="J20" s="1935">
        <v>5</v>
      </c>
      <c r="K20" s="1936">
        <f t="shared" si="3"/>
        <v>1.2224938875305624</v>
      </c>
      <c r="L20" s="1935">
        <v>1</v>
      </c>
      <c r="M20" s="1936">
        <f t="shared" si="9"/>
        <v>0.35842293906810035</v>
      </c>
      <c r="N20" s="1935" t="s">
        <v>2442</v>
      </c>
      <c r="O20" s="1936" t="s">
        <v>2442</v>
      </c>
      <c r="P20" s="1935">
        <v>1</v>
      </c>
      <c r="Q20" s="1936">
        <f>P20/P$4*100</f>
        <v>0.34129692832764508</v>
      </c>
      <c r="R20" s="1935" t="s">
        <v>2442</v>
      </c>
      <c r="S20" s="1936" t="s">
        <v>2442</v>
      </c>
      <c r="T20" s="1935">
        <v>1</v>
      </c>
      <c r="U20" s="1965">
        <f t="shared" si="8"/>
        <v>0.42372881355932202</v>
      </c>
    </row>
    <row r="21" spans="1:21" ht="24.95" customHeight="1">
      <c r="A21" s="299" t="s">
        <v>2886</v>
      </c>
      <c r="B21" s="1935">
        <v>4</v>
      </c>
      <c r="C21" s="1936">
        <f>B21/B$4*100</f>
        <v>1.3245033112582782</v>
      </c>
      <c r="D21" s="1935">
        <v>3</v>
      </c>
      <c r="E21" s="1936">
        <f t="shared" si="10"/>
        <v>0.82872928176795579</v>
      </c>
      <c r="F21" s="1935">
        <v>5</v>
      </c>
      <c r="G21" s="1936">
        <f t="shared" si="11"/>
        <v>1.3227513227513228</v>
      </c>
      <c r="H21" s="1935">
        <v>1</v>
      </c>
      <c r="I21" s="1936">
        <f t="shared" si="4"/>
        <v>0.25773195876288657</v>
      </c>
      <c r="J21" s="1935">
        <v>4</v>
      </c>
      <c r="K21" s="1936">
        <f t="shared" si="3"/>
        <v>0.97799511002444983</v>
      </c>
      <c r="L21" s="1935">
        <v>1</v>
      </c>
      <c r="M21" s="1936">
        <f t="shared" si="9"/>
        <v>0.35842293906810035</v>
      </c>
      <c r="N21" s="1935">
        <v>2</v>
      </c>
      <c r="O21" s="1936">
        <f>N21/N$4*100</f>
        <v>0.76628352490421447</v>
      </c>
      <c r="P21" s="1935">
        <v>6</v>
      </c>
      <c r="Q21" s="1936">
        <f>P21/P$4*100</f>
        <v>2.0477815699658701</v>
      </c>
      <c r="R21" s="1935">
        <v>1</v>
      </c>
      <c r="S21" s="1936">
        <f>R21/R$4*100</f>
        <v>0.30769230769230771</v>
      </c>
      <c r="T21" s="1935" t="s">
        <v>2817</v>
      </c>
      <c r="U21" s="1965" t="s">
        <v>2442</v>
      </c>
    </row>
    <row r="22" spans="1:21" ht="24.95" customHeight="1">
      <c r="A22" s="299" t="s">
        <v>2887</v>
      </c>
      <c r="B22" s="1935" t="s">
        <v>2442</v>
      </c>
      <c r="C22" s="1936" t="s">
        <v>2430</v>
      </c>
      <c r="D22" s="1935">
        <v>2</v>
      </c>
      <c r="E22" s="1936">
        <f t="shared" si="10"/>
        <v>0.55248618784530379</v>
      </c>
      <c r="F22" s="1935" t="s">
        <v>2888</v>
      </c>
      <c r="G22" s="1936" t="s">
        <v>2442</v>
      </c>
      <c r="H22" s="1935">
        <v>1</v>
      </c>
      <c r="I22" s="1936">
        <f t="shared" si="4"/>
        <v>0.25773195876288657</v>
      </c>
      <c r="J22" s="1935">
        <v>1</v>
      </c>
      <c r="K22" s="1936">
        <f t="shared" si="3"/>
        <v>0.24449877750611246</v>
      </c>
      <c r="L22" s="1935">
        <v>1</v>
      </c>
      <c r="M22" s="1936">
        <f t="shared" si="9"/>
        <v>0.35842293906810035</v>
      </c>
      <c r="N22" s="1935" t="s">
        <v>2442</v>
      </c>
      <c r="O22" s="1936" t="s">
        <v>2888</v>
      </c>
      <c r="P22" s="1935" t="s">
        <v>2442</v>
      </c>
      <c r="Q22" s="1936" t="s">
        <v>2442</v>
      </c>
      <c r="R22" s="1935" t="s">
        <v>2442</v>
      </c>
      <c r="S22" s="1936" t="s">
        <v>2442</v>
      </c>
      <c r="T22" s="1935" t="s">
        <v>2442</v>
      </c>
      <c r="U22" s="1965" t="s">
        <v>2442</v>
      </c>
    </row>
    <row r="23" spans="1:21" ht="24.95" customHeight="1">
      <c r="A23" s="300" t="s">
        <v>2590</v>
      </c>
      <c r="B23" s="1935" t="s">
        <v>2442</v>
      </c>
      <c r="C23" s="1936" t="s">
        <v>2442</v>
      </c>
      <c r="D23" s="1935">
        <v>2</v>
      </c>
      <c r="E23" s="1936">
        <f t="shared" si="10"/>
        <v>0.55248618784530379</v>
      </c>
      <c r="F23" s="1935" t="s">
        <v>2442</v>
      </c>
      <c r="G23" s="1936" t="s">
        <v>2442</v>
      </c>
      <c r="H23" s="1935" t="s">
        <v>2442</v>
      </c>
      <c r="I23" s="1936" t="s">
        <v>2442</v>
      </c>
      <c r="J23" s="1935">
        <v>2</v>
      </c>
      <c r="K23" s="1936">
        <f t="shared" si="3"/>
        <v>0.48899755501222492</v>
      </c>
      <c r="L23" s="1935" t="s">
        <v>2442</v>
      </c>
      <c r="M23" s="1936" t="s">
        <v>2442</v>
      </c>
      <c r="N23" s="1935" t="s">
        <v>2442</v>
      </c>
      <c r="O23" s="1936" t="s">
        <v>2442</v>
      </c>
      <c r="P23" s="1935" t="s">
        <v>2442</v>
      </c>
      <c r="Q23" s="1936" t="s">
        <v>2442</v>
      </c>
      <c r="R23" s="1935" t="s">
        <v>2442</v>
      </c>
      <c r="S23" s="1936" t="s">
        <v>2442</v>
      </c>
      <c r="T23" s="1935" t="s">
        <v>2442</v>
      </c>
      <c r="U23" s="1965" t="s">
        <v>2442</v>
      </c>
    </row>
    <row r="24" spans="1:21" ht="24.95" customHeight="1">
      <c r="A24" s="299" t="s">
        <v>2889</v>
      </c>
      <c r="B24" s="1935">
        <v>1</v>
      </c>
      <c r="C24" s="1936">
        <f t="shared" ref="C24" si="12">B24/B$4*100</f>
        <v>0.33112582781456956</v>
      </c>
      <c r="D24" s="1935" t="s">
        <v>2430</v>
      </c>
      <c r="E24" s="1936" t="s">
        <v>2442</v>
      </c>
      <c r="F24" s="1935">
        <v>1</v>
      </c>
      <c r="G24" s="1936">
        <f t="shared" si="11"/>
        <v>0.26455026455026454</v>
      </c>
      <c r="H24" s="1935">
        <v>1</v>
      </c>
      <c r="I24" s="1936">
        <f t="shared" si="4"/>
        <v>0.25773195876288657</v>
      </c>
      <c r="J24" s="1935">
        <v>1</v>
      </c>
      <c r="K24" s="1936">
        <f t="shared" si="3"/>
        <v>0.24449877750611246</v>
      </c>
      <c r="L24" s="1935" t="s">
        <v>2442</v>
      </c>
      <c r="M24" s="1936" t="s">
        <v>2442</v>
      </c>
      <c r="N24" s="1935">
        <v>2</v>
      </c>
      <c r="O24" s="1936">
        <f>N24/N$4*100</f>
        <v>0.76628352490421447</v>
      </c>
      <c r="P24" s="1935" t="s">
        <v>2888</v>
      </c>
      <c r="Q24" s="1936" t="s">
        <v>2888</v>
      </c>
      <c r="R24" s="1935" t="s">
        <v>2888</v>
      </c>
      <c r="S24" s="1936" t="s">
        <v>2888</v>
      </c>
      <c r="T24" s="1935" t="s">
        <v>2888</v>
      </c>
      <c r="U24" s="1965" t="s">
        <v>2888</v>
      </c>
    </row>
    <row r="25" spans="1:21" ht="24.95" customHeight="1">
      <c r="A25" s="299" t="s">
        <v>2890</v>
      </c>
      <c r="B25" s="1935" t="s">
        <v>2888</v>
      </c>
      <c r="C25" s="1936" t="s">
        <v>2888</v>
      </c>
      <c r="D25" s="1935" t="s">
        <v>2888</v>
      </c>
      <c r="E25" s="1936" t="s">
        <v>2888</v>
      </c>
      <c r="F25" s="1935" t="s">
        <v>2888</v>
      </c>
      <c r="G25" s="1936" t="s">
        <v>2888</v>
      </c>
      <c r="H25" s="1935" t="s">
        <v>2888</v>
      </c>
      <c r="I25" s="1936" t="s">
        <v>2888</v>
      </c>
      <c r="J25" s="1935">
        <v>1</v>
      </c>
      <c r="K25" s="1936">
        <f t="shared" si="3"/>
        <v>0.24449877750611246</v>
      </c>
      <c r="L25" s="1935" t="s">
        <v>2888</v>
      </c>
      <c r="M25" s="1936" t="s">
        <v>2888</v>
      </c>
      <c r="N25" s="1935" t="s">
        <v>2888</v>
      </c>
      <c r="O25" s="1936" t="s">
        <v>2888</v>
      </c>
      <c r="P25" s="1935" t="s">
        <v>2888</v>
      </c>
      <c r="Q25" s="1936" t="s">
        <v>2888</v>
      </c>
      <c r="R25" s="1935" t="s">
        <v>2817</v>
      </c>
      <c r="S25" s="1936" t="s">
        <v>2888</v>
      </c>
      <c r="T25" s="1935" t="s">
        <v>2888</v>
      </c>
      <c r="U25" s="1965" t="s">
        <v>2888</v>
      </c>
    </row>
    <row r="26" spans="1:21" ht="24.95" customHeight="1">
      <c r="A26" s="299" t="s">
        <v>2580</v>
      </c>
      <c r="B26" s="1935" t="s">
        <v>2888</v>
      </c>
      <c r="C26" s="1936" t="s">
        <v>2888</v>
      </c>
      <c r="D26" s="1935" t="s">
        <v>2888</v>
      </c>
      <c r="E26" s="1936" t="s">
        <v>2888</v>
      </c>
      <c r="F26" s="1935" t="s">
        <v>2888</v>
      </c>
      <c r="G26" s="1936" t="s">
        <v>2888</v>
      </c>
      <c r="H26" s="1935">
        <v>2</v>
      </c>
      <c r="I26" s="1936">
        <f t="shared" si="4"/>
        <v>0.51546391752577314</v>
      </c>
      <c r="J26" s="1935">
        <v>1</v>
      </c>
      <c r="K26" s="1936">
        <f t="shared" si="3"/>
        <v>0.24449877750611246</v>
      </c>
      <c r="L26" s="1935" t="s">
        <v>2888</v>
      </c>
      <c r="M26" s="1936" t="s">
        <v>2888</v>
      </c>
      <c r="N26" s="1935" t="s">
        <v>2888</v>
      </c>
      <c r="O26" s="1936" t="s">
        <v>2817</v>
      </c>
      <c r="P26" s="1935" t="s">
        <v>2888</v>
      </c>
      <c r="Q26" s="1936" t="s">
        <v>2888</v>
      </c>
      <c r="R26" s="1935" t="s">
        <v>2888</v>
      </c>
      <c r="S26" s="1936" t="s">
        <v>2888</v>
      </c>
      <c r="T26" s="1935" t="s">
        <v>2888</v>
      </c>
      <c r="U26" s="1965" t="s">
        <v>2888</v>
      </c>
    </row>
    <row r="27" spans="1:21" ht="24.95" customHeight="1">
      <c r="A27" s="299" t="s">
        <v>2891</v>
      </c>
      <c r="B27" s="1935" t="s">
        <v>2888</v>
      </c>
      <c r="C27" s="1936" t="s">
        <v>2888</v>
      </c>
      <c r="D27" s="1935">
        <v>1</v>
      </c>
      <c r="E27" s="1936">
        <f t="shared" si="10"/>
        <v>0.27624309392265189</v>
      </c>
      <c r="F27" s="1935" t="s">
        <v>2888</v>
      </c>
      <c r="G27" s="1936" t="s">
        <v>2888</v>
      </c>
      <c r="H27" s="1935">
        <v>1</v>
      </c>
      <c r="I27" s="1936">
        <f t="shared" si="4"/>
        <v>0.25773195876288657</v>
      </c>
      <c r="J27" s="1935" t="s">
        <v>2888</v>
      </c>
      <c r="K27" s="1936" t="s">
        <v>2888</v>
      </c>
      <c r="L27" s="1935" t="s">
        <v>2888</v>
      </c>
      <c r="M27" s="1936" t="s">
        <v>2888</v>
      </c>
      <c r="N27" s="1935" t="s">
        <v>2888</v>
      </c>
      <c r="O27" s="1936" t="s">
        <v>2888</v>
      </c>
      <c r="P27" s="1935" t="s">
        <v>2888</v>
      </c>
      <c r="Q27" s="1936" t="s">
        <v>2888</v>
      </c>
      <c r="R27" s="1935" t="s">
        <v>2888</v>
      </c>
      <c r="S27" s="1936" t="s">
        <v>2888</v>
      </c>
      <c r="T27" s="1935" t="s">
        <v>2888</v>
      </c>
      <c r="U27" s="1965" t="s">
        <v>2888</v>
      </c>
    </row>
    <row r="28" spans="1:21" ht="24.95" customHeight="1">
      <c r="A28" s="299" t="s">
        <v>2892</v>
      </c>
      <c r="B28" s="1935" t="s">
        <v>2888</v>
      </c>
      <c r="C28" s="1936" t="s">
        <v>2888</v>
      </c>
      <c r="D28" s="1935" t="s">
        <v>2888</v>
      </c>
      <c r="E28" s="1936" t="s">
        <v>2888</v>
      </c>
      <c r="F28" s="1935">
        <v>1</v>
      </c>
      <c r="G28" s="1936">
        <f t="shared" si="11"/>
        <v>0.26455026455026454</v>
      </c>
      <c r="H28" s="1935" t="s">
        <v>2888</v>
      </c>
      <c r="I28" s="1936" t="s">
        <v>2888</v>
      </c>
      <c r="J28" s="1935" t="s">
        <v>2888</v>
      </c>
      <c r="K28" s="1936" t="s">
        <v>2888</v>
      </c>
      <c r="L28" s="1935" t="s">
        <v>2888</v>
      </c>
      <c r="M28" s="1936" t="s">
        <v>2888</v>
      </c>
      <c r="N28" s="1935" t="s">
        <v>2888</v>
      </c>
      <c r="O28" s="1936" t="s">
        <v>2888</v>
      </c>
      <c r="P28" s="1935" t="s">
        <v>2888</v>
      </c>
      <c r="Q28" s="1936" t="s">
        <v>2888</v>
      </c>
      <c r="R28" s="1935" t="s">
        <v>2888</v>
      </c>
      <c r="S28" s="1936" t="s">
        <v>2888</v>
      </c>
      <c r="T28" s="1935" t="s">
        <v>2888</v>
      </c>
      <c r="U28" s="1965" t="s">
        <v>2888</v>
      </c>
    </row>
    <row r="29" spans="1:21" ht="24.95" customHeight="1">
      <c r="A29" s="299" t="s">
        <v>2639</v>
      </c>
      <c r="B29" s="1935" t="s">
        <v>1</v>
      </c>
      <c r="C29" s="1936" t="s">
        <v>2888</v>
      </c>
      <c r="D29" s="1935" t="s">
        <v>1</v>
      </c>
      <c r="E29" s="1936" t="s">
        <v>2888</v>
      </c>
      <c r="F29" s="1935" t="s">
        <v>1</v>
      </c>
      <c r="G29" s="1936" t="s">
        <v>2888</v>
      </c>
      <c r="H29" s="1935" t="s">
        <v>1</v>
      </c>
      <c r="I29" s="1936" t="s">
        <v>2888</v>
      </c>
      <c r="J29" s="1935" t="s">
        <v>1</v>
      </c>
      <c r="K29" s="1936" t="s">
        <v>2888</v>
      </c>
      <c r="L29" s="1935" t="s">
        <v>1</v>
      </c>
      <c r="M29" s="1936" t="s">
        <v>2888</v>
      </c>
      <c r="N29" s="1935" t="s">
        <v>2888</v>
      </c>
      <c r="O29" s="1936" t="s">
        <v>2888</v>
      </c>
      <c r="P29" s="1935" t="s">
        <v>2888</v>
      </c>
      <c r="Q29" s="1936" t="s">
        <v>2888</v>
      </c>
      <c r="R29" s="1935">
        <v>1</v>
      </c>
      <c r="S29" s="1936">
        <f>R29/R$4*100</f>
        <v>0.30769230769230771</v>
      </c>
      <c r="T29" s="1935" t="s">
        <v>2817</v>
      </c>
      <c r="U29" s="1965" t="s">
        <v>2817</v>
      </c>
    </row>
    <row r="30" spans="1:21" ht="24.95" customHeight="1">
      <c r="A30" s="1944" t="s">
        <v>2418</v>
      </c>
      <c r="B30" s="1969" t="s">
        <v>2817</v>
      </c>
      <c r="C30" s="1946" t="s">
        <v>2817</v>
      </c>
      <c r="D30" s="1969" t="s">
        <v>2817</v>
      </c>
      <c r="E30" s="1946" t="s">
        <v>2817</v>
      </c>
      <c r="F30" s="1969" t="s">
        <v>2817</v>
      </c>
      <c r="G30" s="1946" t="s">
        <v>2817</v>
      </c>
      <c r="H30" s="1969">
        <v>1</v>
      </c>
      <c r="I30" s="1946">
        <f t="shared" ref="I30" si="13">H30/H$4*100</f>
        <v>0.25773195876288657</v>
      </c>
      <c r="J30" s="1969" t="s">
        <v>2817</v>
      </c>
      <c r="K30" s="1946" t="s">
        <v>2817</v>
      </c>
      <c r="L30" s="1969" t="s">
        <v>2817</v>
      </c>
      <c r="M30" s="1946" t="s">
        <v>2817</v>
      </c>
      <c r="N30" s="1969" t="s">
        <v>2817</v>
      </c>
      <c r="O30" s="1946" t="s">
        <v>2817</v>
      </c>
      <c r="P30" s="1969" t="s">
        <v>2817</v>
      </c>
      <c r="Q30" s="1946" t="s">
        <v>2817</v>
      </c>
      <c r="R30" s="1969" t="s">
        <v>2817</v>
      </c>
      <c r="S30" s="1946" t="s">
        <v>2817</v>
      </c>
      <c r="T30" s="1969" t="s">
        <v>2817</v>
      </c>
      <c r="U30" s="2046" t="s">
        <v>2817</v>
      </c>
    </row>
    <row r="31" spans="1:21" s="1602" customFormat="1" ht="29.25" customHeight="1">
      <c r="A31" s="3841" t="s">
        <v>2893</v>
      </c>
      <c r="B31" s="3841"/>
      <c r="C31" s="3841"/>
      <c r="D31" s="3841"/>
      <c r="E31" s="3841"/>
      <c r="F31" s="3841"/>
      <c r="G31" s="3841"/>
      <c r="H31" s="2055"/>
      <c r="I31" s="2055"/>
      <c r="J31" s="2055"/>
      <c r="K31" s="2055"/>
      <c r="L31" s="2055"/>
      <c r="M31" s="2055"/>
      <c r="N31" s="2055"/>
      <c r="O31" s="2055"/>
      <c r="P31" s="2055"/>
      <c r="Q31" s="2055"/>
      <c r="R31" s="2055"/>
      <c r="S31" s="2055"/>
      <c r="T31" s="2055"/>
      <c r="U31" s="2055"/>
    </row>
  </sheetData>
  <mergeCells count="12">
    <mergeCell ref="T2:U2"/>
    <mergeCell ref="A31:G31"/>
    <mergeCell ref="A1:U1"/>
    <mergeCell ref="B2:C2"/>
    <mergeCell ref="D2:E2"/>
    <mergeCell ref="F2:G2"/>
    <mergeCell ref="H2:I2"/>
    <mergeCell ref="J2:K2"/>
    <mergeCell ref="L2:M2"/>
    <mergeCell ref="N2:O2"/>
    <mergeCell ref="P2:Q2"/>
    <mergeCell ref="R2:S2"/>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59"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M18"/>
  <sheetViews>
    <sheetView showGridLines="0" showRuler="0" zoomScaleNormal="100" zoomScalePageLayoutView="125" workbookViewId="0">
      <selection activeCell="B18" sqref="B18:D18"/>
    </sheetView>
  </sheetViews>
  <sheetFormatPr defaultColWidth="9" defaultRowHeight="20.100000000000001" customHeight="1"/>
  <cols>
    <col min="1" max="1" width="19" style="1795" customWidth="1"/>
    <col min="2" max="11" width="9" style="1795" customWidth="1"/>
    <col min="12" max="16384" width="9" style="1795"/>
  </cols>
  <sheetData>
    <row r="1" spans="1:13" ht="23.25" customHeight="1">
      <c r="A1" s="3764" t="s">
        <v>2894</v>
      </c>
      <c r="B1" s="3764"/>
      <c r="C1" s="3764"/>
      <c r="D1" s="3764"/>
      <c r="E1" s="3764"/>
      <c r="F1" s="3764"/>
      <c r="G1" s="3764"/>
      <c r="H1" s="3764"/>
      <c r="I1" s="3764"/>
      <c r="J1" s="3764"/>
      <c r="K1" s="3764"/>
    </row>
    <row r="2" spans="1:13" ht="20.100000000000001" customHeight="1">
      <c r="A2" s="1892"/>
      <c r="B2" s="3722" t="s">
        <v>2843</v>
      </c>
      <c r="C2" s="3734"/>
      <c r="D2" s="3730" t="s">
        <v>2844</v>
      </c>
      <c r="E2" s="3734"/>
      <c r="F2" s="3803" t="s">
        <v>2845</v>
      </c>
      <c r="G2" s="3804"/>
      <c r="H2" s="3806" t="s">
        <v>2846</v>
      </c>
      <c r="I2" s="3821"/>
      <c r="J2" s="3806" t="s">
        <v>2847</v>
      </c>
      <c r="K2" s="3821"/>
      <c r="L2" s="1849"/>
    </row>
    <row r="3" spans="1:13" s="1960" customFormat="1" ht="20.100000000000001" customHeight="1">
      <c r="A3" s="1833"/>
      <c r="B3" s="1927" t="s">
        <v>2848</v>
      </c>
      <c r="C3" s="1859" t="s">
        <v>2371</v>
      </c>
      <c r="D3" s="1927" t="s">
        <v>2848</v>
      </c>
      <c r="E3" s="1859" t="s">
        <v>2371</v>
      </c>
      <c r="F3" s="1927" t="s">
        <v>2848</v>
      </c>
      <c r="G3" s="1859" t="s">
        <v>2373</v>
      </c>
      <c r="H3" s="1927" t="s">
        <v>2848</v>
      </c>
      <c r="I3" s="1859" t="s">
        <v>2373</v>
      </c>
      <c r="J3" s="1927" t="s">
        <v>2848</v>
      </c>
      <c r="K3" s="1788" t="s">
        <v>2371</v>
      </c>
    </row>
    <row r="4" spans="1:13" ht="20.100000000000001" customHeight="1">
      <c r="A4" s="299" t="s">
        <v>2895</v>
      </c>
      <c r="B4" s="1938">
        <v>302</v>
      </c>
      <c r="C4" s="1971">
        <v>100</v>
      </c>
      <c r="D4" s="1938">
        <v>362</v>
      </c>
      <c r="E4" s="1936">
        <v>100</v>
      </c>
      <c r="F4" s="1938">
        <v>378</v>
      </c>
      <c r="G4" s="1965">
        <v>100</v>
      </c>
      <c r="H4" s="1935">
        <v>388</v>
      </c>
      <c r="I4" s="1965">
        <v>100</v>
      </c>
      <c r="J4" s="1942">
        <v>409</v>
      </c>
      <c r="K4" s="1941">
        <v>100</v>
      </c>
    </row>
    <row r="5" spans="1:13" ht="20.100000000000001" customHeight="1">
      <c r="A5" s="299" t="s">
        <v>2896</v>
      </c>
      <c r="B5" s="1938">
        <v>22</v>
      </c>
      <c r="C5" s="1936">
        <v>7.2847682119205297</v>
      </c>
      <c r="D5" s="1938">
        <v>38</v>
      </c>
      <c r="E5" s="1936">
        <v>10.497237569060774</v>
      </c>
      <c r="F5" s="1938">
        <v>40</v>
      </c>
      <c r="G5" s="1965">
        <v>10.582010582010582</v>
      </c>
      <c r="H5" s="1935">
        <v>29</v>
      </c>
      <c r="I5" s="1965">
        <v>7.4742268041237114</v>
      </c>
      <c r="J5" s="1942">
        <v>39</v>
      </c>
      <c r="K5" s="1941">
        <v>9.5354523227383865</v>
      </c>
    </row>
    <row r="6" spans="1:13" ht="20.100000000000001" customHeight="1">
      <c r="A6" s="299" t="s">
        <v>2670</v>
      </c>
      <c r="B6" s="1938">
        <v>43</v>
      </c>
      <c r="C6" s="1936">
        <v>14.23841059602649</v>
      </c>
      <c r="D6" s="1938">
        <v>79</v>
      </c>
      <c r="E6" s="1936">
        <v>21.823204419889503</v>
      </c>
      <c r="F6" s="1938">
        <v>63</v>
      </c>
      <c r="G6" s="1965">
        <v>16.666666666666664</v>
      </c>
      <c r="H6" s="1935">
        <v>58</v>
      </c>
      <c r="I6" s="1965">
        <v>14.948453608247423</v>
      </c>
      <c r="J6" s="1942">
        <v>62</v>
      </c>
      <c r="K6" s="1941">
        <v>15.158924205378973</v>
      </c>
    </row>
    <row r="7" spans="1:13" ht="20.100000000000001" customHeight="1">
      <c r="A7" s="299" t="s">
        <v>2897</v>
      </c>
      <c r="B7" s="1938">
        <v>83</v>
      </c>
      <c r="C7" s="1936">
        <v>27.483443708609272</v>
      </c>
      <c r="D7" s="1938">
        <v>89</v>
      </c>
      <c r="E7" s="1936">
        <v>24.585635359116022</v>
      </c>
      <c r="F7" s="1938">
        <v>104</v>
      </c>
      <c r="G7" s="1965">
        <v>27.513227513227513</v>
      </c>
      <c r="H7" s="1935">
        <v>102</v>
      </c>
      <c r="I7" s="1965">
        <v>26.288659793814436</v>
      </c>
      <c r="J7" s="1942">
        <v>120</v>
      </c>
      <c r="K7" s="1941">
        <v>29.339853300733498</v>
      </c>
    </row>
    <row r="8" spans="1:13" ht="20.100000000000001" customHeight="1" thickBot="1">
      <c r="A8" s="299" t="s">
        <v>2898</v>
      </c>
      <c r="B8" s="1938">
        <v>154</v>
      </c>
      <c r="C8" s="1936">
        <v>50.993377483443716</v>
      </c>
      <c r="D8" s="1938">
        <v>156</v>
      </c>
      <c r="E8" s="1936">
        <v>43.093922651933703</v>
      </c>
      <c r="F8" s="1938">
        <v>171</v>
      </c>
      <c r="G8" s="1965">
        <v>45.238095238095241</v>
      </c>
      <c r="H8" s="1935">
        <v>199</v>
      </c>
      <c r="I8" s="1965">
        <v>51.288659793814432</v>
      </c>
      <c r="J8" s="1942">
        <v>188</v>
      </c>
      <c r="K8" s="1941">
        <v>45.965770171149146</v>
      </c>
    </row>
    <row r="9" spans="1:13" ht="20.100000000000001" customHeight="1">
      <c r="A9" s="1974"/>
      <c r="B9" s="3814" t="s">
        <v>2749</v>
      </c>
      <c r="C9" s="3830"/>
      <c r="D9" s="3813" t="s">
        <v>2899</v>
      </c>
      <c r="E9" s="3830"/>
      <c r="F9" s="3813" t="s">
        <v>2900</v>
      </c>
      <c r="G9" s="3830"/>
      <c r="H9" s="3813" t="s">
        <v>2901</v>
      </c>
      <c r="I9" s="3814"/>
      <c r="J9" s="3813" t="s">
        <v>2902</v>
      </c>
      <c r="K9" s="3814"/>
    </row>
    <row r="10" spans="1:13" s="1960" customFormat="1" ht="20.100000000000001" customHeight="1">
      <c r="A10" s="2056"/>
      <c r="B10" s="1927" t="s">
        <v>2848</v>
      </c>
      <c r="C10" s="1859" t="s">
        <v>2371</v>
      </c>
      <c r="D10" s="1927" t="s">
        <v>2848</v>
      </c>
      <c r="E10" s="1859" t="s">
        <v>2373</v>
      </c>
      <c r="F10" s="1927" t="s">
        <v>2848</v>
      </c>
      <c r="G10" s="1859" t="s">
        <v>2373</v>
      </c>
      <c r="H10" s="1927" t="s">
        <v>2563</v>
      </c>
      <c r="I10" s="1859" t="s">
        <v>2373</v>
      </c>
      <c r="J10" s="1927" t="s">
        <v>2563</v>
      </c>
      <c r="K10" s="1788" t="s">
        <v>2371</v>
      </c>
    </row>
    <row r="11" spans="1:13" ht="20.100000000000001" customHeight="1">
      <c r="A11" s="299" t="s">
        <v>2895</v>
      </c>
      <c r="B11" s="1938">
        <v>279</v>
      </c>
      <c r="C11" s="1971">
        <v>100</v>
      </c>
      <c r="D11" s="1938">
        <v>261</v>
      </c>
      <c r="E11" s="1936">
        <v>100</v>
      </c>
      <c r="F11" s="1938">
        <v>293</v>
      </c>
      <c r="G11" s="1965">
        <v>100</v>
      </c>
      <c r="H11" s="1935">
        <v>325</v>
      </c>
      <c r="I11" s="1965">
        <v>100</v>
      </c>
      <c r="J11" s="1942">
        <v>236</v>
      </c>
      <c r="K11" s="1941">
        <v>100</v>
      </c>
    </row>
    <row r="12" spans="1:13" ht="20.100000000000001" customHeight="1">
      <c r="A12" s="299" t="s">
        <v>2903</v>
      </c>
      <c r="B12" s="1938">
        <v>24</v>
      </c>
      <c r="C12" s="1936">
        <v>8.6</v>
      </c>
      <c r="D12" s="1938">
        <v>14</v>
      </c>
      <c r="E12" s="1936">
        <v>5.3639846743295019</v>
      </c>
      <c r="F12" s="1938">
        <v>13</v>
      </c>
      <c r="G12" s="1965">
        <v>4.4368600682593859</v>
      </c>
      <c r="H12" s="1935">
        <v>19</v>
      </c>
      <c r="I12" s="1965">
        <v>5.8461538461538458</v>
      </c>
      <c r="J12" s="1942">
        <v>21</v>
      </c>
      <c r="K12" s="1941">
        <v>8.898305084745763</v>
      </c>
      <c r="L12" s="2049"/>
    </row>
    <row r="13" spans="1:13" ht="20.100000000000001" customHeight="1">
      <c r="A13" s="299" t="s">
        <v>2670</v>
      </c>
      <c r="B13" s="1938">
        <v>35</v>
      </c>
      <c r="C13" s="1936">
        <v>12.54</v>
      </c>
      <c r="D13" s="1938">
        <v>25</v>
      </c>
      <c r="E13" s="1936">
        <v>9.5785440613026829</v>
      </c>
      <c r="F13" s="1938">
        <v>37</v>
      </c>
      <c r="G13" s="1965">
        <v>12.627986348122866</v>
      </c>
      <c r="H13" s="1935">
        <v>54</v>
      </c>
      <c r="I13" s="1965">
        <v>16.615384615384617</v>
      </c>
      <c r="J13" s="1942">
        <v>31</v>
      </c>
      <c r="K13" s="1941">
        <v>13.135593220338984</v>
      </c>
    </row>
    <row r="14" spans="1:13" ht="20.100000000000001" customHeight="1">
      <c r="A14" s="299" t="s">
        <v>2904</v>
      </c>
      <c r="B14" s="1938">
        <v>68</v>
      </c>
      <c r="C14" s="1936">
        <v>24.37</v>
      </c>
      <c r="D14" s="1938">
        <v>63</v>
      </c>
      <c r="E14" s="1936">
        <v>24.137931034482758</v>
      </c>
      <c r="F14" s="1938">
        <v>85</v>
      </c>
      <c r="G14" s="1965">
        <v>29.010238907849828</v>
      </c>
      <c r="H14" s="1935">
        <v>95</v>
      </c>
      <c r="I14" s="1965">
        <v>29.230769230769234</v>
      </c>
      <c r="J14" s="1942">
        <v>65</v>
      </c>
      <c r="K14" s="1941">
        <v>27.542372881355931</v>
      </c>
    </row>
    <row r="15" spans="1:13" ht="20.100000000000001" customHeight="1">
      <c r="A15" s="299" t="s">
        <v>2905</v>
      </c>
      <c r="B15" s="1969">
        <v>152</v>
      </c>
      <c r="C15" s="1946">
        <v>54.48</v>
      </c>
      <c r="D15" s="1945">
        <v>159</v>
      </c>
      <c r="E15" s="1946">
        <v>60.919540229885058</v>
      </c>
      <c r="F15" s="1945">
        <v>158</v>
      </c>
      <c r="G15" s="2046">
        <v>53.924914675767923</v>
      </c>
      <c r="H15" s="1969">
        <v>157</v>
      </c>
      <c r="I15" s="2046">
        <v>48.307692307692307</v>
      </c>
      <c r="J15" s="1951">
        <v>119</v>
      </c>
      <c r="K15" s="1952">
        <v>50.423728813559322</v>
      </c>
    </row>
    <row r="16" spans="1:13" s="1785" customFormat="1" ht="15.75">
      <c r="A16" s="2057" t="s">
        <v>2906</v>
      </c>
      <c r="B16" s="1829"/>
      <c r="H16" s="1953"/>
      <c r="I16" s="2021"/>
      <c r="K16" s="2021"/>
      <c r="M16" s="1953"/>
    </row>
    <row r="17" spans="1:6" ht="15.75">
      <c r="A17" s="3759" t="s">
        <v>2907</v>
      </c>
      <c r="B17" s="3759"/>
      <c r="C17" s="3759"/>
      <c r="D17" s="3759"/>
      <c r="E17" s="3759"/>
      <c r="F17" s="3759"/>
    </row>
    <row r="18" spans="1:6" ht="20.100000000000001" customHeight="1">
      <c r="C18" s="2058"/>
    </row>
  </sheetData>
  <mergeCells count="12">
    <mergeCell ref="A17:F17"/>
    <mergeCell ref="A1:K1"/>
    <mergeCell ref="B2:C2"/>
    <mergeCell ref="D2:E2"/>
    <mergeCell ref="F2:G2"/>
    <mergeCell ref="H2:I2"/>
    <mergeCell ref="J2:K2"/>
    <mergeCell ref="B9:C9"/>
    <mergeCell ref="D9:E9"/>
    <mergeCell ref="F9:G9"/>
    <mergeCell ref="H9:I9"/>
    <mergeCell ref="J9:K9"/>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79"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X22"/>
  <sheetViews>
    <sheetView showGridLines="0" showRuler="0" zoomScaleNormal="100" zoomScalePageLayoutView="125" workbookViewId="0">
      <selection activeCell="B18" sqref="B18:D18"/>
    </sheetView>
  </sheetViews>
  <sheetFormatPr defaultColWidth="9" defaultRowHeight="15.75"/>
  <cols>
    <col min="1" max="1" width="22.75" style="1901" bestFit="1" customWidth="1"/>
    <col min="2" max="3" width="9" style="1901" customWidth="1"/>
    <col min="4" max="5" width="9.375" style="1901" customWidth="1"/>
    <col min="6" max="9" width="9.125" style="1901" customWidth="1"/>
    <col min="10" max="11" width="9.375" style="1901" customWidth="1"/>
    <col min="12" max="16384" width="9" style="1901"/>
  </cols>
  <sheetData>
    <row r="1" spans="1:24" ht="20.25">
      <c r="A1" s="3796" t="s">
        <v>2908</v>
      </c>
      <c r="B1" s="3796"/>
      <c r="C1" s="3796"/>
      <c r="D1" s="3796"/>
      <c r="E1" s="3796"/>
      <c r="F1" s="3796"/>
      <c r="G1" s="3796"/>
      <c r="H1" s="3796"/>
      <c r="I1" s="3796"/>
      <c r="J1" s="3796"/>
      <c r="K1" s="3796"/>
      <c r="L1" s="2059"/>
    </row>
    <row r="2" spans="1:24" s="2061" customFormat="1" ht="19.350000000000001" customHeight="1">
      <c r="A2" s="3797"/>
      <c r="B2" s="3799" t="s">
        <v>2909</v>
      </c>
      <c r="C2" s="3804"/>
      <c r="D2" s="3827" t="s">
        <v>2910</v>
      </c>
      <c r="E2" s="3828"/>
      <c r="F2" s="3827" t="s">
        <v>2911</v>
      </c>
      <c r="G2" s="3828"/>
      <c r="H2" s="3827" t="s">
        <v>2912</v>
      </c>
      <c r="I2" s="3828"/>
      <c r="J2" s="3827" t="s">
        <v>2913</v>
      </c>
      <c r="K2" s="3829"/>
      <c r="L2" s="2060"/>
    </row>
    <row r="3" spans="1:24" s="2061" customFormat="1" ht="19.350000000000001" customHeight="1">
      <c r="A3" s="3821"/>
      <c r="B3" s="1927" t="s">
        <v>2914</v>
      </c>
      <c r="C3" s="1859" t="s">
        <v>2915</v>
      </c>
      <c r="D3" s="1927" t="s">
        <v>2914</v>
      </c>
      <c r="E3" s="1788" t="s">
        <v>2915</v>
      </c>
      <c r="F3" s="1859" t="s">
        <v>2914</v>
      </c>
      <c r="G3" s="1859" t="s">
        <v>2915</v>
      </c>
      <c r="H3" s="1927" t="s">
        <v>2563</v>
      </c>
      <c r="I3" s="1859" t="s">
        <v>2373</v>
      </c>
      <c r="J3" s="1927" t="s">
        <v>2914</v>
      </c>
      <c r="K3" s="1788" t="s">
        <v>2915</v>
      </c>
      <c r="L3" s="2060"/>
    </row>
    <row r="4" spans="1:24" ht="19.350000000000001" customHeight="1">
      <c r="A4" s="2062" t="s">
        <v>2375</v>
      </c>
      <c r="B4" s="1984">
        <f>SUM(B5,B6)</f>
        <v>236</v>
      </c>
      <c r="C4" s="1985">
        <f>B4/B$4*100</f>
        <v>100</v>
      </c>
      <c r="D4" s="1984">
        <f>SUM(D5,D6)</f>
        <v>21</v>
      </c>
      <c r="E4" s="1985">
        <f>D4/D$4*100</f>
        <v>100</v>
      </c>
      <c r="F4" s="1984">
        <f>SUM(F5,F6)</f>
        <v>31</v>
      </c>
      <c r="G4" s="1985">
        <f>F4/F$4*100</f>
        <v>100</v>
      </c>
      <c r="H4" s="1984">
        <f>SUM(H5,H6)</f>
        <v>65</v>
      </c>
      <c r="I4" s="1985">
        <f>H4/H$4*100</f>
        <v>100</v>
      </c>
      <c r="J4" s="1984">
        <f>SUM(J5,J6)</f>
        <v>119</v>
      </c>
      <c r="K4" s="1987">
        <f>J4/J$4*100</f>
        <v>100</v>
      </c>
      <c r="L4" s="2063"/>
    </row>
    <row r="5" spans="1:24" ht="19.350000000000001" customHeight="1">
      <c r="A5" s="2064" t="s">
        <v>2916</v>
      </c>
      <c r="B5" s="1942">
        <v>210</v>
      </c>
      <c r="C5" s="1989">
        <f t="shared" ref="C5:E20" si="0">B5/B$4*100</f>
        <v>88.983050847457619</v>
      </c>
      <c r="D5" s="1942">
        <v>20</v>
      </c>
      <c r="E5" s="1989">
        <f t="shared" si="0"/>
        <v>95.238095238095227</v>
      </c>
      <c r="F5" s="1942">
        <v>28</v>
      </c>
      <c r="G5" s="1989">
        <f t="shared" ref="G5:G16" si="1">F5/F$4*100</f>
        <v>90.322580645161281</v>
      </c>
      <c r="H5" s="1942">
        <v>56</v>
      </c>
      <c r="I5" s="1989">
        <f t="shared" ref="I5:I17" si="2">H5/H$4*100</f>
        <v>86.15384615384616</v>
      </c>
      <c r="J5" s="1942">
        <v>106</v>
      </c>
      <c r="K5" s="1991">
        <f t="shared" ref="K5:K19" si="3">J5/J$4*100</f>
        <v>89.075630252100851</v>
      </c>
      <c r="L5" s="2063"/>
    </row>
    <row r="6" spans="1:24" ht="19.350000000000001" customHeight="1">
      <c r="A6" s="2065" t="s">
        <v>2799</v>
      </c>
      <c r="B6" s="1942">
        <v>26</v>
      </c>
      <c r="C6" s="1989">
        <f t="shared" si="0"/>
        <v>11.016949152542372</v>
      </c>
      <c r="D6" s="1942">
        <v>1</v>
      </c>
      <c r="E6" s="1989">
        <f t="shared" si="0"/>
        <v>4.7619047619047619</v>
      </c>
      <c r="F6" s="1942">
        <v>3</v>
      </c>
      <c r="G6" s="1989">
        <f t="shared" si="1"/>
        <v>9.67741935483871</v>
      </c>
      <c r="H6" s="1942">
        <v>9</v>
      </c>
      <c r="I6" s="1989">
        <f t="shared" si="2"/>
        <v>13.846153846153847</v>
      </c>
      <c r="J6" s="1942">
        <v>13</v>
      </c>
      <c r="K6" s="1991">
        <f t="shared" si="3"/>
        <v>10.92436974789916</v>
      </c>
      <c r="L6" s="2063"/>
    </row>
    <row r="7" spans="1:24" ht="19.350000000000001" customHeight="1">
      <c r="A7" s="299" t="s">
        <v>2917</v>
      </c>
      <c r="B7" s="1984">
        <v>148</v>
      </c>
      <c r="C7" s="1985">
        <f t="shared" si="0"/>
        <v>62.711864406779661</v>
      </c>
      <c r="D7" s="1984">
        <v>8</v>
      </c>
      <c r="E7" s="1985">
        <f t="shared" si="0"/>
        <v>38.095238095238095</v>
      </c>
      <c r="F7" s="1984">
        <v>18</v>
      </c>
      <c r="G7" s="1985">
        <f t="shared" si="1"/>
        <v>58.064516129032263</v>
      </c>
      <c r="H7" s="1984">
        <v>48</v>
      </c>
      <c r="I7" s="1985">
        <f t="shared" si="2"/>
        <v>73.846153846153854</v>
      </c>
      <c r="J7" s="1984">
        <v>74</v>
      </c>
      <c r="K7" s="1987">
        <f t="shared" si="3"/>
        <v>62.184873949579831</v>
      </c>
      <c r="L7" s="2066"/>
      <c r="O7" s="2063"/>
    </row>
    <row r="8" spans="1:24" ht="19.350000000000001" customHeight="1">
      <c r="A8" s="299" t="s">
        <v>2918</v>
      </c>
      <c r="B8" s="1942">
        <v>25</v>
      </c>
      <c r="C8" s="1989">
        <f t="shared" si="0"/>
        <v>10.59322033898305</v>
      </c>
      <c r="D8" s="1990">
        <v>10</v>
      </c>
      <c r="E8" s="1991">
        <f t="shared" si="0"/>
        <v>47.619047619047613</v>
      </c>
      <c r="F8" s="1942">
        <v>7</v>
      </c>
      <c r="G8" s="1989">
        <f t="shared" si="1"/>
        <v>22.58064516129032</v>
      </c>
      <c r="H8" s="1939">
        <v>2</v>
      </c>
      <c r="I8" s="1989">
        <f t="shared" si="2"/>
        <v>3.0769230769230771</v>
      </c>
      <c r="J8" s="1939">
        <v>6</v>
      </c>
      <c r="K8" s="1991">
        <f t="shared" si="3"/>
        <v>5.0420168067226889</v>
      </c>
      <c r="L8" s="2063"/>
      <c r="O8" s="2063"/>
    </row>
    <row r="9" spans="1:24" ht="19.350000000000001" customHeight="1">
      <c r="A9" s="299" t="s">
        <v>2919</v>
      </c>
      <c r="B9" s="1942">
        <v>13</v>
      </c>
      <c r="C9" s="1989">
        <f t="shared" si="0"/>
        <v>5.508474576271186</v>
      </c>
      <c r="D9" s="1990">
        <v>1</v>
      </c>
      <c r="E9" s="1991">
        <f t="shared" si="0"/>
        <v>4.7619047619047619</v>
      </c>
      <c r="F9" s="1942">
        <v>3</v>
      </c>
      <c r="G9" s="1989">
        <f t="shared" si="1"/>
        <v>9.67741935483871</v>
      </c>
      <c r="H9" s="1939">
        <v>3</v>
      </c>
      <c r="I9" s="1989">
        <f t="shared" si="2"/>
        <v>4.6153846153846159</v>
      </c>
      <c r="J9" s="1939">
        <v>6</v>
      </c>
      <c r="K9" s="1991">
        <f t="shared" si="3"/>
        <v>5.0420168067226889</v>
      </c>
      <c r="L9" s="2063"/>
      <c r="O9" s="2063"/>
    </row>
    <row r="10" spans="1:24" ht="19.350000000000001" customHeight="1">
      <c r="A10" s="299" t="s">
        <v>2920</v>
      </c>
      <c r="B10" s="1942">
        <v>11</v>
      </c>
      <c r="C10" s="1989">
        <f t="shared" si="0"/>
        <v>4.6610169491525424</v>
      </c>
      <c r="D10" s="1990" t="s">
        <v>5</v>
      </c>
      <c r="E10" s="1991" t="s">
        <v>5</v>
      </c>
      <c r="F10" s="1942" t="s">
        <v>2430</v>
      </c>
      <c r="G10" s="1989" t="s">
        <v>2430</v>
      </c>
      <c r="H10" s="1939">
        <v>2</v>
      </c>
      <c r="I10" s="1989">
        <f t="shared" si="2"/>
        <v>3.0769230769230771</v>
      </c>
      <c r="J10" s="1939">
        <v>9</v>
      </c>
      <c r="K10" s="1991">
        <f t="shared" si="3"/>
        <v>7.5630252100840334</v>
      </c>
      <c r="L10" s="2063"/>
      <c r="O10" s="2063"/>
    </row>
    <row r="11" spans="1:24" ht="19.350000000000001" customHeight="1">
      <c r="A11" s="299" t="s">
        <v>2921</v>
      </c>
      <c r="B11" s="1942">
        <v>7</v>
      </c>
      <c r="C11" s="1989">
        <f t="shared" si="0"/>
        <v>2.9661016949152543</v>
      </c>
      <c r="D11" s="1990" t="s">
        <v>5</v>
      </c>
      <c r="E11" s="1991" t="s">
        <v>1898</v>
      </c>
      <c r="F11" s="1942">
        <v>1</v>
      </c>
      <c r="G11" s="1989">
        <f t="shared" si="1"/>
        <v>3.225806451612903</v>
      </c>
      <c r="H11" s="1939">
        <v>2</v>
      </c>
      <c r="I11" s="1989">
        <f t="shared" si="2"/>
        <v>3.0769230769230771</v>
      </c>
      <c r="J11" s="1939">
        <v>4</v>
      </c>
      <c r="K11" s="1991">
        <f t="shared" si="3"/>
        <v>3.3613445378151261</v>
      </c>
      <c r="L11" s="2063"/>
      <c r="O11" s="2063"/>
    </row>
    <row r="12" spans="1:24" ht="19.350000000000001" customHeight="1">
      <c r="A12" s="299" t="s">
        <v>2922</v>
      </c>
      <c r="B12" s="1942">
        <v>6</v>
      </c>
      <c r="C12" s="1989">
        <f t="shared" si="0"/>
        <v>2.5423728813559325</v>
      </c>
      <c r="D12" s="1990">
        <v>1</v>
      </c>
      <c r="E12" s="1991">
        <f t="shared" si="0"/>
        <v>4.7619047619047619</v>
      </c>
      <c r="F12" s="1942" t="s">
        <v>2430</v>
      </c>
      <c r="G12" s="1989" t="s">
        <v>2442</v>
      </c>
      <c r="H12" s="1939" t="s">
        <v>2430</v>
      </c>
      <c r="I12" s="1989" t="s">
        <v>2442</v>
      </c>
      <c r="J12" s="1939">
        <v>5</v>
      </c>
      <c r="K12" s="1991">
        <f t="shared" si="3"/>
        <v>4.2016806722689077</v>
      </c>
      <c r="L12" s="2063"/>
      <c r="N12" s="3842"/>
      <c r="O12" s="3842"/>
      <c r="P12" s="3842"/>
      <c r="Q12" s="3842"/>
      <c r="R12" s="3842"/>
      <c r="S12" s="3842"/>
      <c r="T12" s="3842"/>
      <c r="U12" s="3842"/>
      <c r="V12" s="3842"/>
      <c r="W12" s="3842"/>
      <c r="X12" s="3842"/>
    </row>
    <row r="13" spans="1:24" ht="19.350000000000001" customHeight="1">
      <c r="A13" s="299" t="s">
        <v>2923</v>
      </c>
      <c r="B13" s="1942">
        <v>5</v>
      </c>
      <c r="C13" s="1989">
        <f t="shared" si="0"/>
        <v>2.1186440677966099</v>
      </c>
      <c r="D13" s="1990" t="s">
        <v>5</v>
      </c>
      <c r="E13" s="1991" t="s">
        <v>5</v>
      </c>
      <c r="F13" s="1942">
        <v>1</v>
      </c>
      <c r="G13" s="1989">
        <f t="shared" si="1"/>
        <v>3.225806451612903</v>
      </c>
      <c r="H13" s="1939">
        <v>1</v>
      </c>
      <c r="I13" s="1989">
        <f t="shared" si="2"/>
        <v>1.5384615384615385</v>
      </c>
      <c r="J13" s="1939">
        <v>3</v>
      </c>
      <c r="K13" s="1991">
        <f t="shared" si="3"/>
        <v>2.5210084033613445</v>
      </c>
      <c r="L13" s="2063"/>
      <c r="O13" s="2063"/>
    </row>
    <row r="14" spans="1:24" ht="19.350000000000001" customHeight="1">
      <c r="A14" s="299" t="s">
        <v>2924</v>
      </c>
      <c r="B14" s="1942">
        <v>5</v>
      </c>
      <c r="C14" s="1989">
        <f t="shared" si="0"/>
        <v>2.1186440677966099</v>
      </c>
      <c r="D14" s="1990" t="s">
        <v>5</v>
      </c>
      <c r="E14" s="1991" t="s">
        <v>1898</v>
      </c>
      <c r="F14" s="1942" t="s">
        <v>2442</v>
      </c>
      <c r="G14" s="1989" t="s">
        <v>2442</v>
      </c>
      <c r="H14" s="1939">
        <v>1</v>
      </c>
      <c r="I14" s="1989">
        <f t="shared" si="2"/>
        <v>1.5384615384615385</v>
      </c>
      <c r="J14" s="1939">
        <v>4</v>
      </c>
      <c r="K14" s="1991">
        <f t="shared" si="3"/>
        <v>3.3613445378151261</v>
      </c>
      <c r="L14" s="2063"/>
      <c r="O14" s="2063"/>
    </row>
    <row r="15" spans="1:24" ht="19.350000000000001" customHeight="1">
      <c r="A15" s="299" t="s">
        <v>2925</v>
      </c>
      <c r="B15" s="1942">
        <v>5</v>
      </c>
      <c r="C15" s="1989">
        <f t="shared" si="0"/>
        <v>2.1186440677966099</v>
      </c>
      <c r="D15" s="1990">
        <v>1</v>
      </c>
      <c r="E15" s="1991">
        <f t="shared" si="0"/>
        <v>4.7619047619047619</v>
      </c>
      <c r="F15" s="1942" t="s">
        <v>2442</v>
      </c>
      <c r="G15" s="1989" t="s">
        <v>2442</v>
      </c>
      <c r="H15" s="1939">
        <v>3</v>
      </c>
      <c r="I15" s="1989">
        <f t="shared" si="2"/>
        <v>4.6153846153846159</v>
      </c>
      <c r="J15" s="1939">
        <v>1</v>
      </c>
      <c r="K15" s="1991">
        <f t="shared" si="3"/>
        <v>0.84033613445378152</v>
      </c>
      <c r="L15" s="2063"/>
      <c r="O15" s="2063"/>
    </row>
    <row r="16" spans="1:24" ht="19.350000000000001" customHeight="1">
      <c r="A16" s="299" t="s">
        <v>2926</v>
      </c>
      <c r="B16" s="1942">
        <v>3</v>
      </c>
      <c r="C16" s="1989">
        <f t="shared" si="0"/>
        <v>1.2711864406779663</v>
      </c>
      <c r="D16" s="1990" t="s">
        <v>5</v>
      </c>
      <c r="E16" s="1991" t="s">
        <v>1898</v>
      </c>
      <c r="F16" s="1942">
        <v>1</v>
      </c>
      <c r="G16" s="1989">
        <f t="shared" si="1"/>
        <v>3.225806451612903</v>
      </c>
      <c r="H16" s="1939">
        <v>1</v>
      </c>
      <c r="I16" s="1989">
        <f t="shared" si="2"/>
        <v>1.5384615384615385</v>
      </c>
      <c r="J16" s="1939">
        <v>2</v>
      </c>
      <c r="K16" s="1991">
        <f t="shared" si="3"/>
        <v>1.680672268907563</v>
      </c>
      <c r="L16" s="2063"/>
      <c r="O16" s="2063"/>
    </row>
    <row r="17" spans="1:15" ht="19.350000000000001" customHeight="1">
      <c r="A17" s="299" t="s">
        <v>2927</v>
      </c>
      <c r="B17" s="1942">
        <v>3</v>
      </c>
      <c r="C17" s="1989">
        <f t="shared" si="0"/>
        <v>1.2711864406779663</v>
      </c>
      <c r="D17" s="1990" t="s">
        <v>1898</v>
      </c>
      <c r="E17" s="1991" t="s">
        <v>1898</v>
      </c>
      <c r="F17" s="1942" t="s">
        <v>2442</v>
      </c>
      <c r="G17" s="1989" t="s">
        <v>2442</v>
      </c>
      <c r="H17" s="1939">
        <v>1</v>
      </c>
      <c r="I17" s="1989">
        <f t="shared" si="2"/>
        <v>1.5384615384615385</v>
      </c>
      <c r="J17" s="1939">
        <v>2</v>
      </c>
      <c r="K17" s="1991">
        <f t="shared" si="3"/>
        <v>1.680672268907563</v>
      </c>
      <c r="L17" s="2063"/>
      <c r="O17" s="2063"/>
    </row>
    <row r="18" spans="1:15" ht="17.25" customHeight="1">
      <c r="A18" s="299" t="s">
        <v>2928</v>
      </c>
      <c r="B18" s="1942">
        <v>3</v>
      </c>
      <c r="C18" s="1989">
        <f t="shared" si="0"/>
        <v>1.2711864406779663</v>
      </c>
      <c r="D18" s="1990" t="s">
        <v>1898</v>
      </c>
      <c r="E18" s="1991" t="s">
        <v>5</v>
      </c>
      <c r="F18" s="1942" t="s">
        <v>1898</v>
      </c>
      <c r="G18" s="1989" t="s">
        <v>1898</v>
      </c>
      <c r="H18" s="1939" t="s">
        <v>1</v>
      </c>
      <c r="I18" s="1989" t="s">
        <v>2442</v>
      </c>
      <c r="J18" s="1939">
        <v>2</v>
      </c>
      <c r="K18" s="1991">
        <f t="shared" si="3"/>
        <v>1.680672268907563</v>
      </c>
      <c r="L18" s="2063"/>
      <c r="O18" s="2063"/>
    </row>
    <row r="19" spans="1:15" ht="17.25" customHeight="1">
      <c r="A19" s="299" t="s">
        <v>2885</v>
      </c>
      <c r="B19" s="1942">
        <v>1</v>
      </c>
      <c r="C19" s="1989">
        <f t="shared" si="0"/>
        <v>0.42372881355932202</v>
      </c>
      <c r="D19" s="1990" t="s">
        <v>1898</v>
      </c>
      <c r="E19" s="1991" t="s">
        <v>1898</v>
      </c>
      <c r="F19" s="1942" t="s">
        <v>1898</v>
      </c>
      <c r="G19" s="1989" t="s">
        <v>1898</v>
      </c>
      <c r="H19" s="1939" t="s">
        <v>1</v>
      </c>
      <c r="I19" s="1989" t="s">
        <v>2442</v>
      </c>
      <c r="J19" s="1939">
        <v>1</v>
      </c>
      <c r="K19" s="1991">
        <f t="shared" si="3"/>
        <v>0.84033613445378152</v>
      </c>
      <c r="L19" s="2067"/>
      <c r="O19" s="2063"/>
    </row>
    <row r="20" spans="1:15" ht="17.25" customHeight="1">
      <c r="A20" s="1944" t="s">
        <v>2413</v>
      </c>
      <c r="B20" s="1951">
        <v>1</v>
      </c>
      <c r="C20" s="1993">
        <f t="shared" si="0"/>
        <v>0.42372881355932202</v>
      </c>
      <c r="D20" s="1994" t="s">
        <v>1898</v>
      </c>
      <c r="E20" s="1995" t="s">
        <v>1898</v>
      </c>
      <c r="F20" s="1951" t="s">
        <v>1898</v>
      </c>
      <c r="G20" s="1993" t="s">
        <v>1898</v>
      </c>
      <c r="H20" s="1948">
        <v>1</v>
      </c>
      <c r="I20" s="1993">
        <f t="shared" ref="I20" si="4">H20/H$4*100</f>
        <v>1.5384615384615385</v>
      </c>
      <c r="J20" s="1948" t="s">
        <v>2430</v>
      </c>
      <c r="K20" s="1995" t="s">
        <v>2430</v>
      </c>
      <c r="L20" s="2063"/>
      <c r="O20" s="2063"/>
    </row>
    <row r="21" spans="1:15">
      <c r="A21" s="3842" t="s">
        <v>2906</v>
      </c>
      <c r="B21" s="3842"/>
      <c r="C21" s="3843"/>
      <c r="D21" s="3842"/>
      <c r="E21" s="3842"/>
      <c r="F21" s="3842"/>
      <c r="G21" s="3842"/>
      <c r="H21" s="3842"/>
      <c r="I21" s="3842"/>
      <c r="J21" s="3842"/>
      <c r="K21" s="3842"/>
      <c r="L21" s="2068"/>
      <c r="M21" s="2068"/>
      <c r="N21" s="2068"/>
      <c r="O21" s="2069"/>
    </row>
    <row r="22" spans="1:15">
      <c r="A22" s="3759" t="s">
        <v>2929</v>
      </c>
      <c r="B22" s="3759"/>
      <c r="C22" s="3759"/>
      <c r="D22" s="3759"/>
      <c r="E22" s="3759"/>
      <c r="F22" s="3759"/>
    </row>
  </sheetData>
  <mergeCells count="10">
    <mergeCell ref="N12:X12"/>
    <mergeCell ref="A21:K21"/>
    <mergeCell ref="A22:F22"/>
    <mergeCell ref="A1:K1"/>
    <mergeCell ref="A2:A3"/>
    <mergeCell ref="B2:C2"/>
    <mergeCell ref="D2:E2"/>
    <mergeCell ref="F2:G2"/>
    <mergeCell ref="H2:I2"/>
    <mergeCell ref="J2:K2"/>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75"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W26"/>
  <sheetViews>
    <sheetView showGridLines="0" showRuler="0" zoomScaleNormal="100" zoomScalePageLayoutView="125" workbookViewId="0">
      <selection activeCell="B18" sqref="B18:D18"/>
    </sheetView>
  </sheetViews>
  <sheetFormatPr defaultColWidth="9" defaultRowHeight="20.100000000000001" customHeight="1"/>
  <cols>
    <col min="1" max="1" width="26.875" style="1901" customWidth="1"/>
    <col min="2" max="11" width="8.625" style="1901" customWidth="1"/>
    <col min="12" max="16384" width="9" style="1901"/>
  </cols>
  <sheetData>
    <row r="1" spans="1:23" ht="21.75" customHeight="1">
      <c r="A1" s="3796" t="s">
        <v>2930</v>
      </c>
      <c r="B1" s="3796"/>
      <c r="C1" s="3796"/>
      <c r="D1" s="3796"/>
      <c r="E1" s="3796"/>
      <c r="F1" s="3796"/>
      <c r="G1" s="3796"/>
      <c r="H1" s="3796"/>
      <c r="I1" s="3796"/>
      <c r="J1" s="3796"/>
      <c r="K1" s="3796"/>
      <c r="L1" s="2070"/>
      <c r="M1" s="2070"/>
      <c r="N1" s="2070"/>
      <c r="O1" s="2070"/>
      <c r="P1" s="2070"/>
      <c r="Q1" s="2070"/>
      <c r="R1" s="2070"/>
      <c r="S1" s="2070"/>
      <c r="T1" s="2070"/>
      <c r="U1" s="2070"/>
      <c r="V1" s="2070"/>
      <c r="W1" s="2070"/>
    </row>
    <row r="2" spans="1:23" ht="20.100000000000001" customHeight="1">
      <c r="A2" s="2071"/>
      <c r="B2" s="3722" t="s">
        <v>2822</v>
      </c>
      <c r="C2" s="3734"/>
      <c r="D2" s="3730" t="s">
        <v>2823</v>
      </c>
      <c r="E2" s="3734"/>
      <c r="F2" s="3803" t="s">
        <v>2824</v>
      </c>
      <c r="G2" s="3804"/>
      <c r="H2" s="3803" t="s">
        <v>2825</v>
      </c>
      <c r="I2" s="3799"/>
      <c r="J2" s="3803" t="s">
        <v>2827</v>
      </c>
      <c r="K2" s="3799"/>
      <c r="L2" s="2063"/>
    </row>
    <row r="3" spans="1:23" ht="20.100000000000001" customHeight="1">
      <c r="A3" s="2056"/>
      <c r="B3" s="1927" t="s">
        <v>2828</v>
      </c>
      <c r="C3" s="1859" t="s">
        <v>2829</v>
      </c>
      <c r="D3" s="1927" t="s">
        <v>2828</v>
      </c>
      <c r="E3" s="1859" t="s">
        <v>2829</v>
      </c>
      <c r="F3" s="1927" t="s">
        <v>2563</v>
      </c>
      <c r="G3" s="1859" t="s">
        <v>2829</v>
      </c>
      <c r="H3" s="1927" t="s">
        <v>2563</v>
      </c>
      <c r="I3" s="1859" t="s">
        <v>2829</v>
      </c>
      <c r="J3" s="1927" t="s">
        <v>2563</v>
      </c>
      <c r="K3" s="1788" t="s">
        <v>2829</v>
      </c>
    </row>
    <row r="4" spans="1:23" ht="20.100000000000001" customHeight="1">
      <c r="A4" s="1997" t="s">
        <v>2375</v>
      </c>
      <c r="B4" s="1839">
        <v>302</v>
      </c>
      <c r="C4" s="2072">
        <f>B4/B$4*100</f>
        <v>100</v>
      </c>
      <c r="D4" s="1839">
        <v>362</v>
      </c>
      <c r="E4" s="2072">
        <f>D4/D$4*100</f>
        <v>100</v>
      </c>
      <c r="F4" s="1839">
        <v>378</v>
      </c>
      <c r="G4" s="2072">
        <f t="shared" ref="G4" si="0">F4/F$4*100</f>
        <v>100</v>
      </c>
      <c r="H4" s="1839">
        <v>388</v>
      </c>
      <c r="I4" s="2014">
        <f t="shared" ref="I4" si="1">H4/H$4*100</f>
        <v>100</v>
      </c>
      <c r="J4" s="1839">
        <v>409</v>
      </c>
      <c r="K4" s="2014">
        <f>J4/J$4*100</f>
        <v>100</v>
      </c>
    </row>
    <row r="5" spans="1:23" ht="20.100000000000001" customHeight="1">
      <c r="A5" s="299" t="s">
        <v>2931</v>
      </c>
      <c r="B5" s="1942" t="s">
        <v>1</v>
      </c>
      <c r="C5" s="1939" t="s">
        <v>2932</v>
      </c>
      <c r="D5" s="1942" t="s">
        <v>1</v>
      </c>
      <c r="E5" s="1939" t="s">
        <v>2932</v>
      </c>
      <c r="F5" s="1942" t="s">
        <v>1</v>
      </c>
      <c r="G5" s="1939" t="s">
        <v>2932</v>
      </c>
      <c r="H5" s="1942" t="s">
        <v>1</v>
      </c>
      <c r="I5" s="1939" t="s">
        <v>2932</v>
      </c>
      <c r="J5" s="1942" t="s">
        <v>1</v>
      </c>
      <c r="K5" s="1938" t="s">
        <v>2932</v>
      </c>
    </row>
    <row r="6" spans="1:23" ht="20.100000000000001" customHeight="1">
      <c r="A6" s="299" t="s">
        <v>2933</v>
      </c>
      <c r="B6" s="1942" t="s">
        <v>1</v>
      </c>
      <c r="C6" s="1939" t="s">
        <v>1898</v>
      </c>
      <c r="D6" s="1942" t="s">
        <v>1</v>
      </c>
      <c r="E6" s="1939" t="s">
        <v>2932</v>
      </c>
      <c r="F6" s="1844">
        <v>1</v>
      </c>
      <c r="G6" s="2009">
        <f t="shared" ref="G6:G12" si="2">F6/F$4*100</f>
        <v>0.26455026455026454</v>
      </c>
      <c r="H6" s="1942" t="s">
        <v>1</v>
      </c>
      <c r="I6" s="1939" t="s">
        <v>2932</v>
      </c>
      <c r="J6" s="1844">
        <v>2</v>
      </c>
      <c r="K6" s="2073">
        <f t="shared" ref="K6:K11" si="3">J6/J$4*100</f>
        <v>0.48899755501222492</v>
      </c>
    </row>
    <row r="7" spans="1:23" ht="20.100000000000001" customHeight="1">
      <c r="A7" s="299" t="s">
        <v>2756</v>
      </c>
      <c r="B7" s="1942" t="s">
        <v>1</v>
      </c>
      <c r="C7" s="1939" t="s">
        <v>2932</v>
      </c>
      <c r="D7" s="1844">
        <v>2</v>
      </c>
      <c r="E7" s="2009">
        <f>D7/D4*100</f>
        <v>0.55248618784530379</v>
      </c>
      <c r="F7" s="1844">
        <v>1</v>
      </c>
      <c r="G7" s="2009">
        <f t="shared" si="2"/>
        <v>0.26455026455026454</v>
      </c>
      <c r="H7" s="1844">
        <v>1</v>
      </c>
      <c r="I7" s="2009">
        <f t="shared" ref="I7:I12" si="4">H7/H$4*100</f>
        <v>0.25773195876288657</v>
      </c>
      <c r="J7" s="1942" t="s">
        <v>1</v>
      </c>
      <c r="K7" s="1938" t="s">
        <v>2932</v>
      </c>
    </row>
    <row r="8" spans="1:23" ht="20.100000000000001" customHeight="1">
      <c r="A8" s="299" t="s">
        <v>2934</v>
      </c>
      <c r="B8" s="1844">
        <v>68</v>
      </c>
      <c r="C8" s="2009">
        <f>B8/B$4*100</f>
        <v>22.516556291390728</v>
      </c>
      <c r="D8" s="1844">
        <v>67</v>
      </c>
      <c r="E8" s="2009">
        <f>D8/D4*100</f>
        <v>18.50828729281768</v>
      </c>
      <c r="F8" s="1844">
        <v>67</v>
      </c>
      <c r="G8" s="2009">
        <f t="shared" si="2"/>
        <v>17.724867724867725</v>
      </c>
      <c r="H8" s="1844">
        <v>76</v>
      </c>
      <c r="I8" s="2009">
        <f t="shared" si="4"/>
        <v>19.587628865979383</v>
      </c>
      <c r="J8" s="1844">
        <v>63</v>
      </c>
      <c r="K8" s="2073">
        <f t="shared" si="3"/>
        <v>15.403422982885084</v>
      </c>
    </row>
    <row r="9" spans="1:23" ht="20.100000000000001" customHeight="1">
      <c r="A9" s="299" t="s">
        <v>2935</v>
      </c>
      <c r="B9" s="1844">
        <f>31+41</f>
        <v>72</v>
      </c>
      <c r="C9" s="2009">
        <f>B9/B4*100</f>
        <v>23.841059602649008</v>
      </c>
      <c r="D9" s="1844">
        <v>96</v>
      </c>
      <c r="E9" s="2009">
        <f>D9/D4*100</f>
        <v>26.519337016574585</v>
      </c>
      <c r="F9" s="1844">
        <v>94</v>
      </c>
      <c r="G9" s="2009">
        <f t="shared" si="2"/>
        <v>24.867724867724867</v>
      </c>
      <c r="H9" s="1844">
        <v>80</v>
      </c>
      <c r="I9" s="2009">
        <f t="shared" si="4"/>
        <v>20.618556701030926</v>
      </c>
      <c r="J9" s="1844">
        <v>95</v>
      </c>
      <c r="K9" s="2073">
        <f t="shared" si="3"/>
        <v>23.227383863080682</v>
      </c>
    </row>
    <row r="10" spans="1:23" ht="20.100000000000001" customHeight="1">
      <c r="A10" s="299" t="s">
        <v>2936</v>
      </c>
      <c r="B10" s="1844">
        <v>9</v>
      </c>
      <c r="C10" s="2009">
        <f>B10/B4*100</f>
        <v>2.9801324503311259</v>
      </c>
      <c r="D10" s="1844">
        <v>6</v>
      </c>
      <c r="E10" s="2009">
        <f>D10/D4*100</f>
        <v>1.6574585635359116</v>
      </c>
      <c r="F10" s="1844">
        <v>2</v>
      </c>
      <c r="G10" s="2009">
        <f t="shared" si="2"/>
        <v>0.52910052910052907</v>
      </c>
      <c r="H10" s="1844">
        <v>5</v>
      </c>
      <c r="I10" s="2009">
        <f t="shared" si="4"/>
        <v>1.2886597938144329</v>
      </c>
      <c r="J10" s="1844">
        <v>7</v>
      </c>
      <c r="K10" s="2073">
        <f t="shared" si="3"/>
        <v>1.7114914425427872</v>
      </c>
    </row>
    <row r="11" spans="1:23" ht="20.100000000000001" customHeight="1">
      <c r="A11" s="299" t="s">
        <v>2937</v>
      </c>
      <c r="B11" s="1844">
        <f>72+79</f>
        <v>151</v>
      </c>
      <c r="C11" s="2009">
        <f>B11/B4*100</f>
        <v>50</v>
      </c>
      <c r="D11" s="1844">
        <v>189</v>
      </c>
      <c r="E11" s="2009">
        <f>D11/D4*100</f>
        <v>52.209944751381222</v>
      </c>
      <c r="F11" s="1844">
        <v>211</v>
      </c>
      <c r="G11" s="2009">
        <f t="shared" si="2"/>
        <v>55.820105820105823</v>
      </c>
      <c r="H11" s="1844">
        <v>224</v>
      </c>
      <c r="I11" s="2009">
        <f t="shared" si="4"/>
        <v>57.731958762886592</v>
      </c>
      <c r="J11" s="1844">
        <v>242</v>
      </c>
      <c r="K11" s="2073">
        <f t="shared" si="3"/>
        <v>59.168704156479215</v>
      </c>
    </row>
    <row r="12" spans="1:23" ht="17.25" thickBot="1">
      <c r="A12" s="299" t="s">
        <v>2938</v>
      </c>
      <c r="B12" s="1844">
        <v>2</v>
      </c>
      <c r="C12" s="2009">
        <f>B12/B4*100</f>
        <v>0.66225165562913912</v>
      </c>
      <c r="D12" s="1844">
        <v>2</v>
      </c>
      <c r="E12" s="2009">
        <f>D12/D4*100</f>
        <v>0.55248618784530379</v>
      </c>
      <c r="F12" s="1844">
        <v>2</v>
      </c>
      <c r="G12" s="2009">
        <f t="shared" si="2"/>
        <v>0.52910052910052907</v>
      </c>
      <c r="H12" s="1844">
        <v>2</v>
      </c>
      <c r="I12" s="2009">
        <f t="shared" si="4"/>
        <v>0.51546391752577314</v>
      </c>
      <c r="J12" s="1951" t="s">
        <v>1</v>
      </c>
      <c r="K12" s="1948" t="s">
        <v>1</v>
      </c>
    </row>
    <row r="13" spans="1:23" ht="20.100000000000001" customHeight="1">
      <c r="A13" s="2074"/>
      <c r="B13" s="3814" t="s">
        <v>2939</v>
      </c>
      <c r="C13" s="3830"/>
      <c r="D13" s="3813" t="s">
        <v>2940</v>
      </c>
      <c r="E13" s="3830"/>
      <c r="F13" s="3813" t="s">
        <v>2941</v>
      </c>
      <c r="G13" s="3830"/>
      <c r="H13" s="3813" t="s">
        <v>2942</v>
      </c>
      <c r="I13" s="3814"/>
      <c r="J13" s="3813" t="s">
        <v>2943</v>
      </c>
      <c r="K13" s="3814"/>
    </row>
    <row r="14" spans="1:23" ht="20.100000000000001" customHeight="1">
      <c r="A14" s="2075"/>
      <c r="B14" s="1927" t="s">
        <v>2944</v>
      </c>
      <c r="C14" s="1859" t="s">
        <v>2945</v>
      </c>
      <c r="D14" s="1927" t="s">
        <v>2944</v>
      </c>
      <c r="E14" s="1859" t="s">
        <v>2373</v>
      </c>
      <c r="F14" s="1927" t="s">
        <v>2563</v>
      </c>
      <c r="G14" s="1859" t="s">
        <v>2373</v>
      </c>
      <c r="H14" s="1927" t="s">
        <v>2563</v>
      </c>
      <c r="I14" s="1859" t="s">
        <v>2373</v>
      </c>
      <c r="J14" s="1927" t="s">
        <v>2563</v>
      </c>
      <c r="K14" s="1788" t="s">
        <v>2373</v>
      </c>
    </row>
    <row r="15" spans="1:23" ht="20.100000000000001" customHeight="1">
      <c r="A15" s="1997" t="s">
        <v>2375</v>
      </c>
      <c r="B15" s="1839">
        <v>279</v>
      </c>
      <c r="C15" s="2072">
        <v>100</v>
      </c>
      <c r="D15" s="1839">
        <v>261</v>
      </c>
      <c r="E15" s="2072">
        <v>100</v>
      </c>
      <c r="F15" s="1839">
        <v>293</v>
      </c>
      <c r="G15" s="2072">
        <v>100</v>
      </c>
      <c r="H15" s="1839">
        <v>325</v>
      </c>
      <c r="I15" s="2014">
        <v>100</v>
      </c>
      <c r="J15" s="1839">
        <v>236</v>
      </c>
      <c r="K15" s="2014">
        <v>100</v>
      </c>
    </row>
    <row r="16" spans="1:23" ht="20.100000000000001" customHeight="1">
      <c r="A16" s="299" t="s">
        <v>2738</v>
      </c>
      <c r="B16" s="1942" t="s">
        <v>1</v>
      </c>
      <c r="C16" s="1939" t="s">
        <v>1</v>
      </c>
      <c r="D16" s="1935" t="s">
        <v>1</v>
      </c>
      <c r="E16" s="2008" t="s">
        <v>1</v>
      </c>
      <c r="F16" s="1942" t="s">
        <v>1</v>
      </c>
      <c r="G16" s="1939" t="s">
        <v>1</v>
      </c>
      <c r="H16" s="1942" t="s">
        <v>1</v>
      </c>
      <c r="I16" s="1939" t="s">
        <v>1898</v>
      </c>
      <c r="J16" s="1942" t="s">
        <v>1</v>
      </c>
      <c r="K16" s="1939" t="s">
        <v>1898</v>
      </c>
    </row>
    <row r="17" spans="1:11" ht="20.100000000000001" customHeight="1">
      <c r="A17" s="299" t="s">
        <v>2946</v>
      </c>
      <c r="B17" s="1844">
        <v>1</v>
      </c>
      <c r="C17" s="2009">
        <v>0.35842293906810035</v>
      </c>
      <c r="D17" s="2016">
        <v>1</v>
      </c>
      <c r="E17" s="2072">
        <v>0.38314176245210724</v>
      </c>
      <c r="F17" s="1942" t="s">
        <v>1</v>
      </c>
      <c r="G17" s="1939" t="s">
        <v>1</v>
      </c>
      <c r="H17" s="1844">
        <v>1</v>
      </c>
      <c r="I17" s="2009">
        <f>H17/H$15*100</f>
        <v>0.30769230769230771</v>
      </c>
      <c r="J17" s="1942" t="s">
        <v>2947</v>
      </c>
      <c r="K17" s="1939" t="s">
        <v>1898</v>
      </c>
    </row>
    <row r="18" spans="1:11" ht="20.100000000000001" customHeight="1">
      <c r="A18" s="299" t="s">
        <v>2741</v>
      </c>
      <c r="B18" s="1942" t="s">
        <v>1</v>
      </c>
      <c r="C18" s="1939" t="s">
        <v>1</v>
      </c>
      <c r="D18" s="1935" t="s">
        <v>1</v>
      </c>
      <c r="E18" s="2008" t="s">
        <v>1</v>
      </c>
      <c r="F18" s="1942" t="s">
        <v>1</v>
      </c>
      <c r="G18" s="1939" t="s">
        <v>1</v>
      </c>
      <c r="H18" s="1942" t="s">
        <v>1</v>
      </c>
      <c r="I18" s="1939" t="s">
        <v>1898</v>
      </c>
      <c r="J18" s="1844">
        <v>1</v>
      </c>
      <c r="K18" s="2009">
        <f t="shared" ref="K18:K23" si="5">J18/J$15*100</f>
        <v>0.42372881355932202</v>
      </c>
    </row>
    <row r="19" spans="1:11" ht="20.100000000000001" customHeight="1">
      <c r="A19" s="299" t="s">
        <v>2948</v>
      </c>
      <c r="B19" s="1844">
        <v>43</v>
      </c>
      <c r="C19" s="2009">
        <v>15.412186379928317</v>
      </c>
      <c r="D19" s="2016">
        <v>34</v>
      </c>
      <c r="E19" s="2072">
        <v>13.026819923371647</v>
      </c>
      <c r="F19" s="1844">
        <v>37</v>
      </c>
      <c r="G19" s="2009">
        <v>12.627986348122866</v>
      </c>
      <c r="H19" s="1844">
        <v>58</v>
      </c>
      <c r="I19" s="2009">
        <f t="shared" ref="I19:I23" si="6">H19/H$15*100</f>
        <v>17.846153846153847</v>
      </c>
      <c r="J19" s="1844">
        <v>35</v>
      </c>
      <c r="K19" s="2009">
        <f t="shared" si="5"/>
        <v>14.83050847457627</v>
      </c>
    </row>
    <row r="20" spans="1:11" ht="20.100000000000001" customHeight="1">
      <c r="A20" s="299" t="s">
        <v>2758</v>
      </c>
      <c r="B20" s="1844">
        <v>63</v>
      </c>
      <c r="C20" s="2009">
        <v>22.58064516129032</v>
      </c>
      <c r="D20" s="2018">
        <v>42</v>
      </c>
      <c r="E20" s="2072">
        <v>16.091954022988507</v>
      </c>
      <c r="F20" s="1844">
        <v>53</v>
      </c>
      <c r="G20" s="2009">
        <v>18.088737201365188</v>
      </c>
      <c r="H20" s="1844">
        <v>70</v>
      </c>
      <c r="I20" s="2009">
        <f t="shared" si="6"/>
        <v>21.53846153846154</v>
      </c>
      <c r="J20" s="1844">
        <v>47</v>
      </c>
      <c r="K20" s="2009">
        <f t="shared" si="5"/>
        <v>19.915254237288135</v>
      </c>
    </row>
    <row r="21" spans="1:11" ht="20.100000000000001" customHeight="1">
      <c r="A21" s="299" t="s">
        <v>2949</v>
      </c>
      <c r="B21" s="1844">
        <v>4</v>
      </c>
      <c r="C21" s="2009">
        <v>1.4336917562724014</v>
      </c>
      <c r="D21" s="2016">
        <v>3</v>
      </c>
      <c r="E21" s="2072">
        <v>1.1494252873563218</v>
      </c>
      <c r="F21" s="1844">
        <v>3</v>
      </c>
      <c r="G21" s="2009">
        <v>1.0238907849829351</v>
      </c>
      <c r="H21" s="1844">
        <v>7</v>
      </c>
      <c r="I21" s="2009">
        <f t="shared" si="6"/>
        <v>2.1538461538461537</v>
      </c>
      <c r="J21" s="1844">
        <v>1</v>
      </c>
      <c r="K21" s="2009">
        <f t="shared" si="5"/>
        <v>0.42372881355932202</v>
      </c>
    </row>
    <row r="22" spans="1:11" ht="20.100000000000001" customHeight="1">
      <c r="A22" s="299" t="s">
        <v>2760</v>
      </c>
      <c r="B22" s="1844">
        <v>167</v>
      </c>
      <c r="C22" s="2009">
        <v>59.856630824372758</v>
      </c>
      <c r="D22" s="2018">
        <v>176</v>
      </c>
      <c r="E22" s="2072">
        <v>67.432950191570882</v>
      </c>
      <c r="F22" s="1844">
        <v>198</v>
      </c>
      <c r="G22" s="2009">
        <v>67.576791808873722</v>
      </c>
      <c r="H22" s="1844">
        <v>187</v>
      </c>
      <c r="I22" s="2009">
        <f t="shared" si="6"/>
        <v>57.53846153846154</v>
      </c>
      <c r="J22" s="1844">
        <v>149</v>
      </c>
      <c r="K22" s="2009">
        <f t="shared" si="5"/>
        <v>63.135593220338983</v>
      </c>
    </row>
    <row r="23" spans="1:11" ht="16.5">
      <c r="A23" s="299" t="s">
        <v>2950</v>
      </c>
      <c r="B23" s="2076">
        <v>1</v>
      </c>
      <c r="C23" s="2077">
        <v>0.35842293906810035</v>
      </c>
      <c r="D23" s="2078">
        <v>5</v>
      </c>
      <c r="E23" s="2079">
        <v>1.9157088122605364</v>
      </c>
      <c r="F23" s="2076">
        <v>2</v>
      </c>
      <c r="G23" s="2077">
        <v>0.68259385665529015</v>
      </c>
      <c r="H23" s="2076">
        <v>2</v>
      </c>
      <c r="I23" s="2077">
        <f t="shared" si="6"/>
        <v>0.61538461538461542</v>
      </c>
      <c r="J23" s="2076">
        <v>3</v>
      </c>
      <c r="K23" s="2077">
        <f t="shared" si="5"/>
        <v>1.2711864406779663</v>
      </c>
    </row>
    <row r="24" spans="1:11" ht="15.75">
      <c r="A24" s="3844" t="s">
        <v>2951</v>
      </c>
      <c r="B24" s="3844"/>
      <c r="C24" s="3844"/>
      <c r="D24" s="3844"/>
      <c r="E24" s="3844"/>
      <c r="F24" s="3844"/>
      <c r="J24" s="2080"/>
      <c r="K24" s="2080"/>
    </row>
    <row r="25" spans="1:11" ht="15.75">
      <c r="A25" s="3845" t="s">
        <v>2952</v>
      </c>
      <c r="B25" s="3845"/>
      <c r="C25" s="3845"/>
      <c r="D25" s="3845"/>
      <c r="E25" s="3845"/>
    </row>
    <row r="26" spans="1:11" ht="15.75">
      <c r="A26" s="3845"/>
      <c r="B26" s="3845"/>
      <c r="C26" s="3845"/>
      <c r="D26" s="3845"/>
      <c r="E26" s="3845"/>
    </row>
  </sheetData>
  <mergeCells count="13">
    <mergeCell ref="A25:E26"/>
    <mergeCell ref="B13:C13"/>
    <mergeCell ref="D13:E13"/>
    <mergeCell ref="F13:G13"/>
    <mergeCell ref="H13:I13"/>
    <mergeCell ref="J13:K13"/>
    <mergeCell ref="A24:F24"/>
    <mergeCell ref="A1:K1"/>
    <mergeCell ref="B2:C2"/>
    <mergeCell ref="D2:E2"/>
    <mergeCell ref="F2:G2"/>
    <mergeCell ref="H2:I2"/>
    <mergeCell ref="J2:K2"/>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67"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V23"/>
  <sheetViews>
    <sheetView showGridLines="0" showRuler="0" zoomScale="110" zoomScaleNormal="110" zoomScalePageLayoutView="125" workbookViewId="0">
      <selection activeCell="B18" sqref="B18:D18"/>
    </sheetView>
  </sheetViews>
  <sheetFormatPr defaultColWidth="9" defaultRowHeight="15.75"/>
  <cols>
    <col min="1" max="1" width="15.625" style="1795" customWidth="1"/>
    <col min="2" max="21" width="7.625" style="1795" customWidth="1"/>
    <col min="22" max="16384" width="9" style="1795"/>
  </cols>
  <sheetData>
    <row r="1" spans="1:22" s="2024" customFormat="1" ht="23.25" customHeight="1">
      <c r="A1" s="3733" t="s">
        <v>2953</v>
      </c>
      <c r="B1" s="3733"/>
      <c r="C1" s="3733"/>
      <c r="D1" s="3733"/>
      <c r="E1" s="3733"/>
      <c r="F1" s="3733"/>
      <c r="G1" s="3733"/>
      <c r="H1" s="3733"/>
      <c r="I1" s="3733"/>
      <c r="J1" s="3733"/>
      <c r="K1" s="3733"/>
      <c r="L1" s="3733"/>
      <c r="M1" s="3733"/>
      <c r="N1" s="3733"/>
      <c r="O1" s="3733"/>
      <c r="P1" s="3733"/>
      <c r="Q1" s="3733"/>
      <c r="R1" s="3733"/>
      <c r="S1" s="3733"/>
      <c r="T1" s="3733"/>
      <c r="U1" s="3733"/>
    </row>
    <row r="2" spans="1:22" ht="20.100000000000001" customHeight="1">
      <c r="A2" s="3717"/>
      <c r="B2" s="3722" t="s">
        <v>2954</v>
      </c>
      <c r="C2" s="3722"/>
      <c r="D2" s="3722"/>
      <c r="E2" s="3734"/>
      <c r="F2" s="3730" t="s">
        <v>2955</v>
      </c>
      <c r="G2" s="3722"/>
      <c r="H2" s="3722"/>
      <c r="I2" s="3734"/>
      <c r="J2" s="3730" t="s">
        <v>2956</v>
      </c>
      <c r="K2" s="3722"/>
      <c r="L2" s="3722"/>
      <c r="M2" s="3734"/>
      <c r="N2" s="3730" t="s">
        <v>2957</v>
      </c>
      <c r="O2" s="3722"/>
      <c r="P2" s="3722"/>
      <c r="Q2" s="3734"/>
      <c r="R2" s="3730" t="s">
        <v>2958</v>
      </c>
      <c r="S2" s="3722"/>
      <c r="T2" s="3722"/>
      <c r="U2" s="3722"/>
    </row>
    <row r="3" spans="1:22" s="1960" customFormat="1" ht="20.100000000000001" customHeight="1">
      <c r="A3" s="3831"/>
      <c r="B3" s="3722" t="s">
        <v>2959</v>
      </c>
      <c r="C3" s="3722"/>
      <c r="D3" s="3734"/>
      <c r="E3" s="3719" t="s">
        <v>2960</v>
      </c>
      <c r="F3" s="3730" t="s">
        <v>2959</v>
      </c>
      <c r="G3" s="3722"/>
      <c r="H3" s="3734"/>
      <c r="I3" s="3719" t="s">
        <v>2960</v>
      </c>
      <c r="J3" s="3730" t="s">
        <v>2959</v>
      </c>
      <c r="K3" s="3722"/>
      <c r="L3" s="3734"/>
      <c r="M3" s="3719" t="s">
        <v>2960</v>
      </c>
      <c r="N3" s="3730" t="s">
        <v>2959</v>
      </c>
      <c r="O3" s="3722"/>
      <c r="P3" s="3734"/>
      <c r="Q3" s="3719" t="s">
        <v>2960</v>
      </c>
      <c r="R3" s="3730" t="s">
        <v>2959</v>
      </c>
      <c r="S3" s="3722"/>
      <c r="T3" s="3734"/>
      <c r="U3" s="3721" t="s">
        <v>2960</v>
      </c>
    </row>
    <row r="4" spans="1:22" s="1960" customFormat="1" ht="20.100000000000001" customHeight="1">
      <c r="A4" s="3522"/>
      <c r="B4" s="1927" t="s">
        <v>2961</v>
      </c>
      <c r="C4" s="1927" t="s">
        <v>2962</v>
      </c>
      <c r="D4" s="1927" t="s">
        <v>2963</v>
      </c>
      <c r="E4" s="3720"/>
      <c r="F4" s="1859" t="s">
        <v>2961</v>
      </c>
      <c r="G4" s="1927" t="s">
        <v>2962</v>
      </c>
      <c r="H4" s="1927" t="s">
        <v>2963</v>
      </c>
      <c r="I4" s="3720"/>
      <c r="J4" s="1859" t="s">
        <v>2961</v>
      </c>
      <c r="K4" s="1927" t="s">
        <v>2962</v>
      </c>
      <c r="L4" s="1927" t="s">
        <v>2963</v>
      </c>
      <c r="M4" s="3720"/>
      <c r="N4" s="1859" t="s">
        <v>2961</v>
      </c>
      <c r="O4" s="1927" t="s">
        <v>2962</v>
      </c>
      <c r="P4" s="1927" t="s">
        <v>2963</v>
      </c>
      <c r="Q4" s="3720"/>
      <c r="R4" s="1859" t="s">
        <v>2961</v>
      </c>
      <c r="S4" s="1927" t="s">
        <v>2962</v>
      </c>
      <c r="T4" s="1927" t="s">
        <v>2963</v>
      </c>
      <c r="U4" s="3836"/>
    </row>
    <row r="5" spans="1:22" s="1960" customFormat="1" ht="20.100000000000001" customHeight="1">
      <c r="A5" s="1997" t="s">
        <v>2961</v>
      </c>
      <c r="B5" s="2004">
        <v>302</v>
      </c>
      <c r="C5" s="2004">
        <v>277</v>
      </c>
      <c r="D5" s="2004">
        <v>25</v>
      </c>
      <c r="E5" s="1842">
        <f t="shared" ref="E5:E10" si="0">B5/B$5*100</f>
        <v>100</v>
      </c>
      <c r="F5" s="2004">
        <v>362</v>
      </c>
      <c r="G5" s="2004">
        <v>330</v>
      </c>
      <c r="H5" s="2004">
        <v>32</v>
      </c>
      <c r="I5" s="1842">
        <f t="shared" ref="I5:I10" si="1">F5/F$5*100</f>
        <v>100</v>
      </c>
      <c r="J5" s="2004">
        <v>378</v>
      </c>
      <c r="K5" s="2004">
        <v>347</v>
      </c>
      <c r="L5" s="2004">
        <v>31</v>
      </c>
      <c r="M5" s="1842">
        <f t="shared" ref="M5:M10" si="2">J5/J$5*100</f>
        <v>100</v>
      </c>
      <c r="N5" s="2004">
        <v>388</v>
      </c>
      <c r="O5" s="2004">
        <v>348</v>
      </c>
      <c r="P5" s="2004">
        <v>40</v>
      </c>
      <c r="Q5" s="1845">
        <f t="shared" ref="Q5:Q10" si="3">N5/N$5*100</f>
        <v>100</v>
      </c>
      <c r="R5" s="1998">
        <v>409</v>
      </c>
      <c r="S5" s="2004">
        <v>376</v>
      </c>
      <c r="T5" s="2004">
        <v>33</v>
      </c>
      <c r="U5" s="1845">
        <f t="shared" ref="U5:U10" si="4">R5/R$5*100</f>
        <v>100</v>
      </c>
      <c r="V5" s="2031"/>
    </row>
    <row r="6" spans="1:22" ht="20.100000000000001" customHeight="1">
      <c r="A6" s="299" t="s">
        <v>2964</v>
      </c>
      <c r="B6" s="2004">
        <v>92</v>
      </c>
      <c r="C6" s="2004">
        <v>86</v>
      </c>
      <c r="D6" s="2004">
        <v>6</v>
      </c>
      <c r="E6" s="1842">
        <f t="shared" si="0"/>
        <v>30.463576158940398</v>
      </c>
      <c r="F6" s="2004">
        <v>93</v>
      </c>
      <c r="G6" s="2004">
        <v>85</v>
      </c>
      <c r="H6" s="2004">
        <v>8</v>
      </c>
      <c r="I6" s="1842">
        <f t="shared" si="1"/>
        <v>25.69060773480663</v>
      </c>
      <c r="J6" s="2004">
        <v>107</v>
      </c>
      <c r="K6" s="2004">
        <v>94</v>
      </c>
      <c r="L6" s="2004">
        <v>13</v>
      </c>
      <c r="M6" s="1842">
        <f t="shared" si="2"/>
        <v>28.306878306878307</v>
      </c>
      <c r="N6" s="2004">
        <v>117</v>
      </c>
      <c r="O6" s="2004">
        <v>107</v>
      </c>
      <c r="P6" s="2004">
        <v>10</v>
      </c>
      <c r="Q6" s="1842">
        <f t="shared" si="3"/>
        <v>30.154639175257731</v>
      </c>
      <c r="R6" s="2004">
        <v>127</v>
      </c>
      <c r="S6" s="2004">
        <v>112</v>
      </c>
      <c r="T6" s="2004">
        <v>15</v>
      </c>
      <c r="U6" s="1845">
        <f t="shared" si="4"/>
        <v>31.051344743276282</v>
      </c>
      <c r="V6" s="1849"/>
    </row>
    <row r="7" spans="1:22" ht="20.100000000000001" customHeight="1">
      <c r="A7" s="299" t="s">
        <v>2965</v>
      </c>
      <c r="B7" s="2004">
        <v>95</v>
      </c>
      <c r="C7" s="2004">
        <v>87</v>
      </c>
      <c r="D7" s="2004">
        <v>8</v>
      </c>
      <c r="E7" s="1842">
        <f t="shared" si="0"/>
        <v>31.456953642384107</v>
      </c>
      <c r="F7" s="2004">
        <v>137</v>
      </c>
      <c r="G7" s="2004">
        <v>123</v>
      </c>
      <c r="H7" s="2004">
        <v>14</v>
      </c>
      <c r="I7" s="1842">
        <f t="shared" si="1"/>
        <v>37.84530386740331</v>
      </c>
      <c r="J7" s="2004">
        <v>149</v>
      </c>
      <c r="K7" s="2004">
        <v>143</v>
      </c>
      <c r="L7" s="2004">
        <v>6</v>
      </c>
      <c r="M7" s="1842">
        <f t="shared" si="2"/>
        <v>39.417989417989418</v>
      </c>
      <c r="N7" s="2004">
        <v>135</v>
      </c>
      <c r="O7" s="2004">
        <v>121</v>
      </c>
      <c r="P7" s="2004">
        <v>14</v>
      </c>
      <c r="Q7" s="1845">
        <f t="shared" si="3"/>
        <v>34.793814432989691</v>
      </c>
      <c r="R7" s="2006">
        <v>142</v>
      </c>
      <c r="S7" s="2004">
        <v>131</v>
      </c>
      <c r="T7" s="2004">
        <v>11</v>
      </c>
      <c r="U7" s="1845">
        <f t="shared" si="4"/>
        <v>34.718826405867972</v>
      </c>
      <c r="V7" s="1849"/>
    </row>
    <row r="8" spans="1:22" ht="20.100000000000001" customHeight="1">
      <c r="A8" s="299" t="s">
        <v>2966</v>
      </c>
      <c r="B8" s="2004">
        <v>49</v>
      </c>
      <c r="C8" s="2004">
        <v>43</v>
      </c>
      <c r="D8" s="2004">
        <v>6</v>
      </c>
      <c r="E8" s="1842">
        <f t="shared" si="0"/>
        <v>16.225165562913908</v>
      </c>
      <c r="F8" s="2004">
        <v>73</v>
      </c>
      <c r="G8" s="2004">
        <v>69</v>
      </c>
      <c r="H8" s="2004">
        <v>4</v>
      </c>
      <c r="I8" s="1842">
        <f t="shared" si="1"/>
        <v>20.165745856353592</v>
      </c>
      <c r="J8" s="2004">
        <v>61</v>
      </c>
      <c r="K8" s="2004">
        <v>54</v>
      </c>
      <c r="L8" s="2004">
        <v>7</v>
      </c>
      <c r="M8" s="1842">
        <f t="shared" si="2"/>
        <v>16.137566137566136</v>
      </c>
      <c r="N8" s="2004">
        <v>65</v>
      </c>
      <c r="O8" s="2004">
        <v>56</v>
      </c>
      <c r="P8" s="2004">
        <v>9</v>
      </c>
      <c r="Q8" s="1845">
        <f t="shared" si="3"/>
        <v>16.752577319587626</v>
      </c>
      <c r="R8" s="2006">
        <v>75</v>
      </c>
      <c r="S8" s="2004">
        <v>71</v>
      </c>
      <c r="T8" s="2004">
        <v>4</v>
      </c>
      <c r="U8" s="1845">
        <f t="shared" si="4"/>
        <v>18.337408312958438</v>
      </c>
      <c r="V8" s="1849"/>
    </row>
    <row r="9" spans="1:22" ht="20.100000000000001" customHeight="1">
      <c r="A9" s="299" t="s">
        <v>2787</v>
      </c>
      <c r="B9" s="2004">
        <v>56</v>
      </c>
      <c r="C9" s="2004">
        <v>51</v>
      </c>
      <c r="D9" s="2004">
        <v>5</v>
      </c>
      <c r="E9" s="1842">
        <f t="shared" si="0"/>
        <v>18.543046357615893</v>
      </c>
      <c r="F9" s="2004">
        <v>47</v>
      </c>
      <c r="G9" s="2004">
        <v>43</v>
      </c>
      <c r="H9" s="2004">
        <v>4</v>
      </c>
      <c r="I9" s="1842">
        <f t="shared" si="1"/>
        <v>12.983425414364641</v>
      </c>
      <c r="J9" s="2004">
        <v>47</v>
      </c>
      <c r="K9" s="2004">
        <v>42</v>
      </c>
      <c r="L9" s="2004">
        <v>5</v>
      </c>
      <c r="M9" s="1842">
        <f t="shared" si="2"/>
        <v>12.433862433862434</v>
      </c>
      <c r="N9" s="2004">
        <v>57</v>
      </c>
      <c r="O9" s="2004">
        <v>51</v>
      </c>
      <c r="P9" s="2004">
        <v>6</v>
      </c>
      <c r="Q9" s="1842">
        <f t="shared" si="3"/>
        <v>14.690721649484537</v>
      </c>
      <c r="R9" s="2004">
        <v>52</v>
      </c>
      <c r="S9" s="2004">
        <v>49</v>
      </c>
      <c r="T9" s="2004">
        <v>3</v>
      </c>
      <c r="U9" s="1845">
        <f t="shared" si="4"/>
        <v>12.713936430317849</v>
      </c>
      <c r="V9" s="1849"/>
    </row>
    <row r="10" spans="1:22" ht="20.100000000000001" customHeight="1" thickBot="1">
      <c r="A10" s="299" t="s">
        <v>2967</v>
      </c>
      <c r="B10" s="2004">
        <v>10</v>
      </c>
      <c r="C10" s="2004">
        <v>10</v>
      </c>
      <c r="D10" s="2004" t="s">
        <v>1</v>
      </c>
      <c r="E10" s="1842">
        <f t="shared" si="0"/>
        <v>3.3112582781456954</v>
      </c>
      <c r="F10" s="2004">
        <v>12</v>
      </c>
      <c r="G10" s="2004">
        <v>10</v>
      </c>
      <c r="H10" s="2004">
        <v>2</v>
      </c>
      <c r="I10" s="1842">
        <f t="shared" si="1"/>
        <v>3.3149171270718232</v>
      </c>
      <c r="J10" s="2004">
        <v>14</v>
      </c>
      <c r="K10" s="2004">
        <v>14</v>
      </c>
      <c r="L10" s="2004" t="s">
        <v>1</v>
      </c>
      <c r="M10" s="1842">
        <f t="shared" si="2"/>
        <v>3.7037037037037033</v>
      </c>
      <c r="N10" s="2004">
        <v>14</v>
      </c>
      <c r="O10" s="2004">
        <v>13</v>
      </c>
      <c r="P10" s="2004">
        <v>1</v>
      </c>
      <c r="Q10" s="1845">
        <f t="shared" si="3"/>
        <v>3.608247422680412</v>
      </c>
      <c r="R10" s="2027">
        <v>13</v>
      </c>
      <c r="S10" s="2028">
        <v>13</v>
      </c>
      <c r="T10" s="2028" t="s">
        <v>1</v>
      </c>
      <c r="U10" s="1845">
        <f t="shared" si="4"/>
        <v>3.1784841075794623</v>
      </c>
      <c r="V10" s="1849"/>
    </row>
    <row r="11" spans="1:22" ht="20.100000000000001" customHeight="1">
      <c r="A11" s="3832"/>
      <c r="B11" s="3833" t="s">
        <v>2662</v>
      </c>
      <c r="C11" s="3833"/>
      <c r="D11" s="3833"/>
      <c r="E11" s="3834"/>
      <c r="F11" s="3835" t="s">
        <v>2806</v>
      </c>
      <c r="G11" s="3833"/>
      <c r="H11" s="3833"/>
      <c r="I11" s="3834"/>
      <c r="J11" s="3835" t="s">
        <v>2968</v>
      </c>
      <c r="K11" s="3833"/>
      <c r="L11" s="3833"/>
      <c r="M11" s="3834"/>
      <c r="N11" s="3835" t="s">
        <v>2808</v>
      </c>
      <c r="O11" s="3833"/>
      <c r="P11" s="3833"/>
      <c r="Q11" s="3834"/>
      <c r="R11" s="3835" t="s">
        <v>2969</v>
      </c>
      <c r="S11" s="3833"/>
      <c r="T11" s="3833"/>
      <c r="U11" s="3833"/>
    </row>
    <row r="12" spans="1:22" ht="20.100000000000001" customHeight="1">
      <c r="A12" s="3831"/>
      <c r="B12" s="3722" t="s">
        <v>2770</v>
      </c>
      <c r="C12" s="3722"/>
      <c r="D12" s="3734"/>
      <c r="E12" s="3719" t="s">
        <v>2769</v>
      </c>
      <c r="F12" s="3730" t="s">
        <v>2770</v>
      </c>
      <c r="G12" s="3722"/>
      <c r="H12" s="3734"/>
      <c r="I12" s="3719" t="s">
        <v>2769</v>
      </c>
      <c r="J12" s="3730" t="s">
        <v>2770</v>
      </c>
      <c r="K12" s="3722"/>
      <c r="L12" s="3734"/>
      <c r="M12" s="3719" t="s">
        <v>2769</v>
      </c>
      <c r="N12" s="3730" t="s">
        <v>2770</v>
      </c>
      <c r="O12" s="3722"/>
      <c r="P12" s="3734"/>
      <c r="Q12" s="3719" t="s">
        <v>2769</v>
      </c>
      <c r="R12" s="3730" t="s">
        <v>2770</v>
      </c>
      <c r="S12" s="3722"/>
      <c r="T12" s="3734"/>
      <c r="U12" s="3721" t="s">
        <v>2769</v>
      </c>
    </row>
    <row r="13" spans="1:22" ht="20.100000000000001" customHeight="1">
      <c r="A13" s="3522"/>
      <c r="B13" s="1927" t="s">
        <v>2496</v>
      </c>
      <c r="C13" s="1927" t="s">
        <v>2775</v>
      </c>
      <c r="D13" s="1927" t="s">
        <v>2774</v>
      </c>
      <c r="E13" s="3720"/>
      <c r="F13" s="1859" t="s">
        <v>2496</v>
      </c>
      <c r="G13" s="1927" t="s">
        <v>2775</v>
      </c>
      <c r="H13" s="1927" t="s">
        <v>2774</v>
      </c>
      <c r="I13" s="3720"/>
      <c r="J13" s="1859" t="s">
        <v>2496</v>
      </c>
      <c r="K13" s="1927" t="s">
        <v>2775</v>
      </c>
      <c r="L13" s="1927" t="s">
        <v>2774</v>
      </c>
      <c r="M13" s="3720"/>
      <c r="N13" s="1859" t="s">
        <v>2496</v>
      </c>
      <c r="O13" s="1927" t="s">
        <v>2775</v>
      </c>
      <c r="P13" s="1927" t="s">
        <v>2774</v>
      </c>
      <c r="Q13" s="3720"/>
      <c r="R13" s="1859" t="s">
        <v>2496</v>
      </c>
      <c r="S13" s="1927" t="s">
        <v>2775</v>
      </c>
      <c r="T13" s="1927" t="s">
        <v>2774</v>
      </c>
      <c r="U13" s="3836"/>
    </row>
    <row r="14" spans="1:22" s="1960" customFormat="1" ht="20.100000000000001" customHeight="1">
      <c r="A14" s="1997" t="s">
        <v>2496</v>
      </c>
      <c r="B14" s="2004">
        <v>279</v>
      </c>
      <c r="C14" s="2004">
        <v>261</v>
      </c>
      <c r="D14" s="2004">
        <v>18</v>
      </c>
      <c r="E14" s="1842">
        <f t="shared" ref="E14:E19" si="5">B14/B$14*100</f>
        <v>100</v>
      </c>
      <c r="F14" s="2004">
        <v>261</v>
      </c>
      <c r="G14" s="2004">
        <v>244</v>
      </c>
      <c r="H14" s="2004">
        <v>17</v>
      </c>
      <c r="I14" s="1842">
        <f t="shared" ref="I14:I19" si="6">F14/F$14*100</f>
        <v>100</v>
      </c>
      <c r="J14" s="2004">
        <f t="shared" ref="J14:J19" si="7">SUM(K14,L14)</f>
        <v>293</v>
      </c>
      <c r="K14" s="2004">
        <v>270</v>
      </c>
      <c r="L14" s="2004">
        <v>23</v>
      </c>
      <c r="M14" s="1842">
        <f t="shared" ref="M14:M19" si="8">J14/J$14*100</f>
        <v>100</v>
      </c>
      <c r="N14" s="2004">
        <f t="shared" ref="N14:N19" si="9">SUM(O14,P14)</f>
        <v>325</v>
      </c>
      <c r="O14" s="2004">
        <v>300</v>
      </c>
      <c r="P14" s="2004">
        <v>25</v>
      </c>
      <c r="Q14" s="1840">
        <f t="shared" ref="Q14:Q19" si="10">N14/N$14*100</f>
        <v>100</v>
      </c>
      <c r="R14" s="1998">
        <f t="shared" ref="R14:R19" si="11">SUM(S14,T14)</f>
        <v>236</v>
      </c>
      <c r="S14" s="2004">
        <v>210</v>
      </c>
      <c r="T14" s="2004">
        <v>26</v>
      </c>
      <c r="U14" s="1840">
        <f t="shared" ref="U14:U19" si="12">R14/R$14*100</f>
        <v>100</v>
      </c>
    </row>
    <row r="15" spans="1:22" ht="20.100000000000001" customHeight="1">
      <c r="A15" s="299" t="s">
        <v>2970</v>
      </c>
      <c r="B15" s="2004">
        <v>93</v>
      </c>
      <c r="C15" s="2004">
        <v>85</v>
      </c>
      <c r="D15" s="2004">
        <v>8</v>
      </c>
      <c r="E15" s="1842">
        <f t="shared" si="5"/>
        <v>33.333333333333329</v>
      </c>
      <c r="F15" s="2004">
        <v>77</v>
      </c>
      <c r="G15" s="2004">
        <v>70</v>
      </c>
      <c r="H15" s="2004">
        <v>7</v>
      </c>
      <c r="I15" s="1842">
        <f t="shared" si="6"/>
        <v>29.501915708812259</v>
      </c>
      <c r="J15" s="2004">
        <f t="shared" si="7"/>
        <v>106</v>
      </c>
      <c r="K15" s="2004">
        <v>94</v>
      </c>
      <c r="L15" s="2004">
        <v>12</v>
      </c>
      <c r="M15" s="1842">
        <f t="shared" si="8"/>
        <v>36.177474402730375</v>
      </c>
      <c r="N15" s="2004">
        <f t="shared" si="9"/>
        <v>91</v>
      </c>
      <c r="O15" s="2004">
        <v>80</v>
      </c>
      <c r="P15" s="2004">
        <v>11</v>
      </c>
      <c r="Q15" s="1845">
        <f t="shared" si="10"/>
        <v>28.000000000000004</v>
      </c>
      <c r="R15" s="2006">
        <f t="shared" si="11"/>
        <v>78</v>
      </c>
      <c r="S15" s="2004">
        <v>67</v>
      </c>
      <c r="T15" s="2004">
        <v>11</v>
      </c>
      <c r="U15" s="1845">
        <f t="shared" si="12"/>
        <v>33.050847457627121</v>
      </c>
    </row>
    <row r="16" spans="1:22" ht="20.100000000000001" customHeight="1">
      <c r="A16" s="299" t="s">
        <v>2971</v>
      </c>
      <c r="B16" s="2004">
        <v>81</v>
      </c>
      <c r="C16" s="2004">
        <v>79</v>
      </c>
      <c r="D16" s="2004">
        <v>2</v>
      </c>
      <c r="E16" s="1842">
        <f t="shared" si="5"/>
        <v>29.032258064516132</v>
      </c>
      <c r="F16" s="2004">
        <v>77</v>
      </c>
      <c r="G16" s="2004">
        <v>71</v>
      </c>
      <c r="H16" s="2004">
        <v>6</v>
      </c>
      <c r="I16" s="1842">
        <f t="shared" si="6"/>
        <v>29.501915708812259</v>
      </c>
      <c r="J16" s="2004">
        <f t="shared" si="7"/>
        <v>74</v>
      </c>
      <c r="K16" s="2004">
        <v>69</v>
      </c>
      <c r="L16" s="2004">
        <v>5</v>
      </c>
      <c r="M16" s="1842">
        <f t="shared" si="8"/>
        <v>25.255972696245731</v>
      </c>
      <c r="N16" s="2004">
        <f t="shared" si="9"/>
        <v>98</v>
      </c>
      <c r="O16" s="2004">
        <v>92</v>
      </c>
      <c r="P16" s="2004">
        <v>6</v>
      </c>
      <c r="Q16" s="1845">
        <f t="shared" si="10"/>
        <v>30.153846153846153</v>
      </c>
      <c r="R16" s="2006">
        <f t="shared" si="11"/>
        <v>65</v>
      </c>
      <c r="S16" s="2004">
        <v>61</v>
      </c>
      <c r="T16" s="2004">
        <v>4</v>
      </c>
      <c r="U16" s="1845">
        <f t="shared" si="12"/>
        <v>27.542372881355931</v>
      </c>
    </row>
    <row r="17" spans="1:21" ht="20.100000000000001" customHeight="1">
      <c r="A17" s="299" t="s">
        <v>2972</v>
      </c>
      <c r="B17" s="2004">
        <v>55</v>
      </c>
      <c r="C17" s="2004">
        <v>50</v>
      </c>
      <c r="D17" s="2004">
        <v>5</v>
      </c>
      <c r="E17" s="1842">
        <f t="shared" si="5"/>
        <v>19.713261648745519</v>
      </c>
      <c r="F17" s="2004">
        <v>64</v>
      </c>
      <c r="G17" s="2004">
        <v>62</v>
      </c>
      <c r="H17" s="2004">
        <v>2</v>
      </c>
      <c r="I17" s="1842">
        <f t="shared" si="6"/>
        <v>24.521072796934863</v>
      </c>
      <c r="J17" s="2004">
        <f t="shared" si="7"/>
        <v>67</v>
      </c>
      <c r="K17" s="2004">
        <v>63</v>
      </c>
      <c r="L17" s="2004">
        <v>4</v>
      </c>
      <c r="M17" s="1842">
        <f t="shared" si="8"/>
        <v>22.866894197952217</v>
      </c>
      <c r="N17" s="2004">
        <f t="shared" si="9"/>
        <v>67</v>
      </c>
      <c r="O17" s="2004">
        <v>63</v>
      </c>
      <c r="P17" s="2004">
        <v>4</v>
      </c>
      <c r="Q17" s="1842">
        <f t="shared" si="10"/>
        <v>20.615384615384617</v>
      </c>
      <c r="R17" s="2004">
        <f t="shared" si="11"/>
        <v>63</v>
      </c>
      <c r="S17" s="2004">
        <v>55</v>
      </c>
      <c r="T17" s="2004">
        <v>8</v>
      </c>
      <c r="U17" s="1845">
        <f t="shared" si="12"/>
        <v>26.694915254237291</v>
      </c>
    </row>
    <row r="18" spans="1:21" ht="20.100000000000001" customHeight="1">
      <c r="A18" s="299" t="s">
        <v>2787</v>
      </c>
      <c r="B18" s="2004">
        <v>33</v>
      </c>
      <c r="C18" s="2004">
        <v>31</v>
      </c>
      <c r="D18" s="2004">
        <v>2</v>
      </c>
      <c r="E18" s="1842">
        <f t="shared" si="5"/>
        <v>11.827956989247312</v>
      </c>
      <c r="F18" s="2004">
        <v>26</v>
      </c>
      <c r="G18" s="2004">
        <v>25</v>
      </c>
      <c r="H18" s="2004">
        <v>1</v>
      </c>
      <c r="I18" s="1842">
        <f t="shared" si="6"/>
        <v>9.9616858237547881</v>
      </c>
      <c r="J18" s="2004">
        <f t="shared" si="7"/>
        <v>30</v>
      </c>
      <c r="K18" s="2004">
        <v>28</v>
      </c>
      <c r="L18" s="2004">
        <v>2</v>
      </c>
      <c r="M18" s="1842">
        <f t="shared" si="8"/>
        <v>10.238907849829351</v>
      </c>
      <c r="N18" s="2004">
        <f t="shared" si="9"/>
        <v>52</v>
      </c>
      <c r="O18" s="2004">
        <v>48</v>
      </c>
      <c r="P18" s="2004">
        <v>4</v>
      </c>
      <c r="Q18" s="1842">
        <f t="shared" si="10"/>
        <v>16</v>
      </c>
      <c r="R18" s="2004">
        <f t="shared" si="11"/>
        <v>18</v>
      </c>
      <c r="S18" s="2004">
        <v>15</v>
      </c>
      <c r="T18" s="2004">
        <v>3</v>
      </c>
      <c r="U18" s="1845">
        <f t="shared" si="12"/>
        <v>7.6271186440677967</v>
      </c>
    </row>
    <row r="19" spans="1:21" ht="20.100000000000001" customHeight="1">
      <c r="A19" s="299" t="s">
        <v>2967</v>
      </c>
      <c r="B19" s="2027">
        <v>17</v>
      </c>
      <c r="C19" s="2028">
        <v>16</v>
      </c>
      <c r="D19" s="2028">
        <v>1</v>
      </c>
      <c r="E19" s="1854">
        <f t="shared" si="5"/>
        <v>6.0931899641577063</v>
      </c>
      <c r="F19" s="2027">
        <v>17</v>
      </c>
      <c r="G19" s="2028">
        <v>16</v>
      </c>
      <c r="H19" s="2028">
        <v>1</v>
      </c>
      <c r="I19" s="1854">
        <f t="shared" si="6"/>
        <v>6.5134099616858236</v>
      </c>
      <c r="J19" s="2027">
        <f t="shared" si="7"/>
        <v>16</v>
      </c>
      <c r="K19" s="2028">
        <v>16</v>
      </c>
      <c r="L19" s="2028" t="s">
        <v>1</v>
      </c>
      <c r="M19" s="1854">
        <f t="shared" si="8"/>
        <v>5.4607508532423212</v>
      </c>
      <c r="N19" s="2027">
        <f t="shared" si="9"/>
        <v>17</v>
      </c>
      <c r="O19" s="2028">
        <v>17</v>
      </c>
      <c r="P19" s="2028" t="s">
        <v>1</v>
      </c>
      <c r="Q19" s="1855">
        <f t="shared" si="10"/>
        <v>5.2307692307692308</v>
      </c>
      <c r="R19" s="2027">
        <f t="shared" si="11"/>
        <v>12</v>
      </c>
      <c r="S19" s="2028">
        <v>12</v>
      </c>
      <c r="T19" s="2028" t="s">
        <v>5</v>
      </c>
      <c r="U19" s="1855">
        <f t="shared" si="12"/>
        <v>5.0847457627118651</v>
      </c>
    </row>
    <row r="20" spans="1:21">
      <c r="A20" s="3762" t="s">
        <v>2973</v>
      </c>
      <c r="B20" s="3762"/>
      <c r="C20" s="3762"/>
      <c r="D20" s="3762"/>
      <c r="N20" s="2081"/>
      <c r="O20" s="2081"/>
      <c r="P20" s="2081"/>
    </row>
    <row r="21" spans="1:21">
      <c r="A21" s="3759" t="s">
        <v>2929</v>
      </c>
      <c r="B21" s="3759"/>
      <c r="C21" s="3759"/>
      <c r="D21" s="3759"/>
      <c r="E21" s="3759"/>
      <c r="F21" s="3759"/>
    </row>
    <row r="22" spans="1:21" ht="20.100000000000001" customHeight="1">
      <c r="C22" s="2058"/>
    </row>
    <row r="23" spans="1:21" ht="20.100000000000001" customHeight="1"/>
  </sheetData>
  <mergeCells count="35">
    <mergeCell ref="A20:D20"/>
    <mergeCell ref="A21:F21"/>
    <mergeCell ref="I12:I13"/>
    <mergeCell ref="J12:L12"/>
    <mergeCell ref="M12:M13"/>
    <mergeCell ref="R11:U11"/>
    <mergeCell ref="B12:D12"/>
    <mergeCell ref="E12:E13"/>
    <mergeCell ref="F12:H12"/>
    <mergeCell ref="I3:I4"/>
    <mergeCell ref="J3:L3"/>
    <mergeCell ref="M3:M4"/>
    <mergeCell ref="N3:P3"/>
    <mergeCell ref="Q3:Q4"/>
    <mergeCell ref="R3:T3"/>
    <mergeCell ref="U12:U13"/>
    <mergeCell ref="N12:P12"/>
    <mergeCell ref="Q12:Q13"/>
    <mergeCell ref="R12:T12"/>
    <mergeCell ref="A11:A13"/>
    <mergeCell ref="B11:E11"/>
    <mergeCell ref="F11:I11"/>
    <mergeCell ref="J11:M11"/>
    <mergeCell ref="N11:Q11"/>
    <mergeCell ref="A1:U1"/>
    <mergeCell ref="A2:A4"/>
    <mergeCell ref="B2:E2"/>
    <mergeCell ref="F2:I2"/>
    <mergeCell ref="J2:M2"/>
    <mergeCell ref="N2:Q2"/>
    <mergeCell ref="R2:U2"/>
    <mergeCell ref="B3:D3"/>
    <mergeCell ref="E3:E4"/>
    <mergeCell ref="F3:H3"/>
    <mergeCell ref="U3:U4"/>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51"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M24"/>
  <sheetViews>
    <sheetView showGridLines="0" showRuler="0" zoomScaleNormal="100" zoomScalePageLayoutView="125" workbookViewId="0">
      <selection activeCell="B18" sqref="B18:D18"/>
    </sheetView>
  </sheetViews>
  <sheetFormatPr defaultColWidth="9" defaultRowHeight="20.100000000000001" customHeight="1"/>
  <cols>
    <col min="1" max="1" width="18.125" style="1795" customWidth="1"/>
    <col min="2" max="11" width="9" style="1795" customWidth="1"/>
    <col min="12" max="12" width="6.125" style="1795" customWidth="1"/>
    <col min="13" max="13" width="6.625" style="1795" customWidth="1"/>
    <col min="14" max="16384" width="9" style="1795"/>
  </cols>
  <sheetData>
    <row r="1" spans="1:12" ht="22.5" customHeight="1">
      <c r="A1" s="3733" t="s">
        <v>2974</v>
      </c>
      <c r="B1" s="3733"/>
      <c r="C1" s="3733"/>
      <c r="D1" s="3733"/>
      <c r="E1" s="3733"/>
      <c r="F1" s="3733"/>
      <c r="G1" s="3733"/>
      <c r="H1" s="3733"/>
      <c r="I1" s="3733"/>
      <c r="J1" s="3733"/>
      <c r="K1" s="3733"/>
    </row>
    <row r="2" spans="1:12" ht="20.100000000000001" customHeight="1">
      <c r="A2" s="1832"/>
      <c r="B2" s="3722" t="s">
        <v>2477</v>
      </c>
      <c r="C2" s="3734"/>
      <c r="D2" s="3730" t="s">
        <v>2478</v>
      </c>
      <c r="E2" s="3734"/>
      <c r="F2" s="3734" t="s">
        <v>2975</v>
      </c>
      <c r="G2" s="3730" t="s">
        <v>2356</v>
      </c>
      <c r="H2" s="3803" t="s">
        <v>2976</v>
      </c>
      <c r="I2" s="3799" t="s">
        <v>2356</v>
      </c>
      <c r="J2" s="3803" t="s">
        <v>2977</v>
      </c>
      <c r="K2" s="3799"/>
    </row>
    <row r="3" spans="1:12" s="1960" customFormat="1" ht="20.100000000000001" customHeight="1">
      <c r="A3" s="1833"/>
      <c r="B3" s="1927" t="s">
        <v>2652</v>
      </c>
      <c r="C3" s="1859" t="s">
        <v>2102</v>
      </c>
      <c r="D3" s="1927" t="s">
        <v>2563</v>
      </c>
      <c r="E3" s="1859" t="s">
        <v>2102</v>
      </c>
      <c r="F3" s="1927" t="s">
        <v>2563</v>
      </c>
      <c r="G3" s="1859" t="s">
        <v>2102</v>
      </c>
      <c r="H3" s="1927" t="s">
        <v>2563</v>
      </c>
      <c r="I3" s="1859" t="s">
        <v>2978</v>
      </c>
      <c r="J3" s="1927" t="s">
        <v>2563</v>
      </c>
      <c r="K3" s="1788" t="s">
        <v>2979</v>
      </c>
    </row>
    <row r="4" spans="1:12" ht="20.100000000000001" customHeight="1">
      <c r="A4" s="1849" t="s">
        <v>2375</v>
      </c>
      <c r="B4" s="2032">
        <f>SUM(B7:B11)</f>
        <v>300</v>
      </c>
      <c r="C4" s="2009">
        <v>100</v>
      </c>
      <c r="D4" s="2032">
        <f>SUM(D7:D11)</f>
        <v>354</v>
      </c>
      <c r="E4" s="2009">
        <v>100</v>
      </c>
      <c r="F4" s="2032">
        <f>SUM(F7:F11)</f>
        <v>375</v>
      </c>
      <c r="G4" s="2009">
        <v>100</v>
      </c>
      <c r="H4" s="2032">
        <f>SUM(H7:H11)</f>
        <v>385</v>
      </c>
      <c r="I4" s="2009">
        <v>100</v>
      </c>
      <c r="J4" s="2032">
        <f>SUM(J7:J11)</f>
        <v>406</v>
      </c>
      <c r="K4" s="2009">
        <v>100</v>
      </c>
    </row>
    <row r="5" spans="1:12" ht="20.100000000000001" customHeight="1">
      <c r="A5" s="2082" t="s">
        <v>2980</v>
      </c>
      <c r="B5" s="2032">
        <v>275</v>
      </c>
      <c r="C5" s="2009">
        <f t="shared" ref="C5:C6" si="0">B5/B$4*100</f>
        <v>91.666666666666657</v>
      </c>
      <c r="D5" s="2032">
        <v>323</v>
      </c>
      <c r="E5" s="2009">
        <f t="shared" ref="E5:E6" si="1">D5/D$4*100</f>
        <v>91.242937853107335</v>
      </c>
      <c r="F5" s="2032">
        <v>344</v>
      </c>
      <c r="G5" s="2009">
        <f t="shared" ref="G5:G6" si="2">F5/F$4*100</f>
        <v>91.733333333333334</v>
      </c>
      <c r="H5" s="2032">
        <v>345</v>
      </c>
      <c r="I5" s="2009">
        <f t="shared" ref="I5:I6" si="3">H5/H$4*100</f>
        <v>89.610389610389603</v>
      </c>
      <c r="J5" s="2032">
        <v>374</v>
      </c>
      <c r="K5" s="2009">
        <f t="shared" ref="K5:K6" si="4">J5/J$4*100</f>
        <v>92.118226600985224</v>
      </c>
      <c r="L5" s="2049"/>
    </row>
    <row r="6" spans="1:12" ht="20.100000000000001" customHeight="1">
      <c r="A6" s="2065" t="s">
        <v>2981</v>
      </c>
      <c r="B6" s="2040">
        <v>25</v>
      </c>
      <c r="C6" s="2077">
        <f t="shared" si="0"/>
        <v>8.3333333333333321</v>
      </c>
      <c r="D6" s="2040">
        <v>31</v>
      </c>
      <c r="E6" s="2077">
        <f t="shared" si="1"/>
        <v>8.7570621468926557</v>
      </c>
      <c r="F6" s="2040">
        <v>31</v>
      </c>
      <c r="G6" s="2077">
        <f t="shared" si="2"/>
        <v>8.2666666666666657</v>
      </c>
      <c r="H6" s="2040">
        <v>40</v>
      </c>
      <c r="I6" s="2077">
        <f t="shared" si="3"/>
        <v>10.38961038961039</v>
      </c>
      <c r="J6" s="2040">
        <v>32</v>
      </c>
      <c r="K6" s="2077">
        <f t="shared" si="4"/>
        <v>7.8817733990147785</v>
      </c>
    </row>
    <row r="7" spans="1:12" ht="20.100000000000001" customHeight="1">
      <c r="A7" s="2083" t="s">
        <v>2812</v>
      </c>
      <c r="B7" s="2032">
        <v>177</v>
      </c>
      <c r="C7" s="2009">
        <f>B7/B$4*100</f>
        <v>59</v>
      </c>
      <c r="D7" s="2032">
        <v>222</v>
      </c>
      <c r="E7" s="2009">
        <f>D7/D$4*100</f>
        <v>62.711864406779661</v>
      </c>
      <c r="F7" s="2032">
        <v>211</v>
      </c>
      <c r="G7" s="2009">
        <f>F7/F$4*100</f>
        <v>56.266666666666666</v>
      </c>
      <c r="H7" s="2032">
        <v>225</v>
      </c>
      <c r="I7" s="2009">
        <f>H7/H$4*100</f>
        <v>58.441558441558442</v>
      </c>
      <c r="J7" s="2032">
        <v>214</v>
      </c>
      <c r="K7" s="2009">
        <f>J7/J$4*100</f>
        <v>52.709359605911331</v>
      </c>
    </row>
    <row r="8" spans="1:12" ht="20.100000000000001" customHeight="1">
      <c r="A8" s="300" t="s">
        <v>2982</v>
      </c>
      <c r="B8" s="2032">
        <v>106</v>
      </c>
      <c r="C8" s="2009">
        <f>B8/B$4*100</f>
        <v>35.333333333333336</v>
      </c>
      <c r="D8" s="2032">
        <v>109</v>
      </c>
      <c r="E8" s="2009">
        <f>D8/D$4*100</f>
        <v>30.790960451977401</v>
      </c>
      <c r="F8" s="2032">
        <v>133</v>
      </c>
      <c r="G8" s="2009">
        <f>F8/F$4*100</f>
        <v>35.466666666666669</v>
      </c>
      <c r="H8" s="2032">
        <v>120</v>
      </c>
      <c r="I8" s="2009">
        <f>H8/H$4*100</f>
        <v>31.168831168831169</v>
      </c>
      <c r="J8" s="2032">
        <v>139</v>
      </c>
      <c r="K8" s="2009">
        <f>J8/J$4*100</f>
        <v>34.236453201970448</v>
      </c>
    </row>
    <row r="9" spans="1:12" ht="20.100000000000001" customHeight="1">
      <c r="A9" s="300" t="s">
        <v>2802</v>
      </c>
      <c r="B9" s="2032">
        <v>14</v>
      </c>
      <c r="C9" s="2009">
        <f>B9/B$4*100</f>
        <v>4.666666666666667</v>
      </c>
      <c r="D9" s="2032">
        <v>19</v>
      </c>
      <c r="E9" s="2009">
        <f>D9/D$4*100</f>
        <v>5.3672316384180787</v>
      </c>
      <c r="F9" s="2032">
        <v>27</v>
      </c>
      <c r="G9" s="2009">
        <f>F9/F$4*100</f>
        <v>7.1999999999999993</v>
      </c>
      <c r="H9" s="2032">
        <v>37</v>
      </c>
      <c r="I9" s="2009">
        <f>H9/H$4*100</f>
        <v>9.6103896103896105</v>
      </c>
      <c r="J9" s="2032">
        <v>40</v>
      </c>
      <c r="K9" s="2009">
        <f>J9/J$4*100</f>
        <v>9.8522167487684733</v>
      </c>
    </row>
    <row r="10" spans="1:12" ht="20.100000000000001" customHeight="1">
      <c r="A10" s="300" t="s">
        <v>2983</v>
      </c>
      <c r="B10" s="2032">
        <v>3</v>
      </c>
      <c r="C10" s="2009">
        <f>B10/B$4*100</f>
        <v>1</v>
      </c>
      <c r="D10" s="2032">
        <v>4</v>
      </c>
      <c r="E10" s="2009">
        <f>D10/D$4*100</f>
        <v>1.1299435028248588</v>
      </c>
      <c r="F10" s="2032">
        <v>4</v>
      </c>
      <c r="G10" s="2009">
        <f>F10/F$4*100</f>
        <v>1.0666666666666667</v>
      </c>
      <c r="H10" s="2032">
        <v>3</v>
      </c>
      <c r="I10" s="2009">
        <f>H10/H$4*100</f>
        <v>0.77922077922077926</v>
      </c>
      <c r="J10" s="2032">
        <v>13</v>
      </c>
      <c r="K10" s="2009">
        <f>J10/J$4*100</f>
        <v>3.201970443349754</v>
      </c>
    </row>
    <row r="11" spans="1:12" ht="20.100000000000001" customHeight="1" thickBot="1">
      <c r="A11" s="300" t="s">
        <v>2984</v>
      </c>
      <c r="B11" s="1967" t="s">
        <v>1</v>
      </c>
      <c r="C11" s="1939" t="s">
        <v>2985</v>
      </c>
      <c r="D11" s="1967" t="s">
        <v>1</v>
      </c>
      <c r="E11" s="1939" t="s">
        <v>2442</v>
      </c>
      <c r="F11" s="1967" t="s">
        <v>1</v>
      </c>
      <c r="G11" s="1939" t="s">
        <v>2985</v>
      </c>
      <c r="H11" s="1967" t="s">
        <v>1</v>
      </c>
      <c r="I11" s="1939" t="s">
        <v>2985</v>
      </c>
      <c r="J11" s="1967" t="s">
        <v>1</v>
      </c>
      <c r="K11" s="1939" t="s">
        <v>2985</v>
      </c>
    </row>
    <row r="12" spans="1:12" ht="20.100000000000001" customHeight="1">
      <c r="A12" s="2084"/>
      <c r="B12" s="3814" t="s">
        <v>2749</v>
      </c>
      <c r="C12" s="3830"/>
      <c r="D12" s="3813" t="s">
        <v>2750</v>
      </c>
      <c r="E12" s="3830"/>
      <c r="F12" s="3813" t="s">
        <v>2968</v>
      </c>
      <c r="G12" s="3814"/>
      <c r="H12" s="3813" t="s">
        <v>2752</v>
      </c>
      <c r="I12" s="3814"/>
      <c r="J12" s="3813" t="s">
        <v>2969</v>
      </c>
      <c r="K12" s="3814"/>
    </row>
    <row r="13" spans="1:12" s="1960" customFormat="1" ht="20.100000000000001" customHeight="1">
      <c r="A13" s="2085"/>
      <c r="B13" s="1927" t="s">
        <v>2944</v>
      </c>
      <c r="C13" s="1859" t="s">
        <v>2102</v>
      </c>
      <c r="D13" s="1927" t="s">
        <v>2563</v>
      </c>
      <c r="E13" s="1859" t="s">
        <v>2945</v>
      </c>
      <c r="F13" s="1927" t="s">
        <v>2563</v>
      </c>
      <c r="G13" s="1859" t="s">
        <v>2373</v>
      </c>
      <c r="H13" s="1927" t="s">
        <v>2563</v>
      </c>
      <c r="I13" s="1859" t="s">
        <v>2373</v>
      </c>
      <c r="J13" s="1927" t="s">
        <v>2563</v>
      </c>
      <c r="K13" s="1788" t="s">
        <v>2373</v>
      </c>
    </row>
    <row r="14" spans="1:12" ht="20.100000000000001" customHeight="1">
      <c r="A14" s="2063" t="s">
        <v>2375</v>
      </c>
      <c r="B14" s="2032">
        <f>SUM(B17:B21)</f>
        <v>276</v>
      </c>
      <c r="C14" s="2009">
        <v>100</v>
      </c>
      <c r="D14" s="2032">
        <f>SUM(D17:D21)</f>
        <v>260</v>
      </c>
      <c r="E14" s="2009">
        <v>100</v>
      </c>
      <c r="F14" s="2032">
        <f>SUM(F17:F21)</f>
        <v>291</v>
      </c>
      <c r="G14" s="2009">
        <v>100</v>
      </c>
      <c r="H14" s="2032">
        <f>SUM(H17:H21)</f>
        <v>324</v>
      </c>
      <c r="I14" s="2009">
        <v>100</v>
      </c>
      <c r="J14" s="2032">
        <f>SUM(J17:J21)</f>
        <v>233</v>
      </c>
      <c r="K14" s="2009">
        <v>100</v>
      </c>
    </row>
    <row r="15" spans="1:12" ht="20.100000000000001" customHeight="1">
      <c r="A15" s="2082" t="s">
        <v>2986</v>
      </c>
      <c r="B15" s="2032">
        <v>258</v>
      </c>
      <c r="C15" s="2009">
        <f t="shared" ref="C15:C16" si="5">B15/B$14*100</f>
        <v>93.478260869565219</v>
      </c>
      <c r="D15" s="2032">
        <v>243</v>
      </c>
      <c r="E15" s="2009">
        <f t="shared" ref="E15:E16" si="6">D15/D$14*100</f>
        <v>93.461538461538467</v>
      </c>
      <c r="F15" s="2032">
        <v>269</v>
      </c>
      <c r="G15" s="2009">
        <f t="shared" ref="G15:G16" si="7">F15/F$14*100</f>
        <v>92.439862542955325</v>
      </c>
      <c r="H15" s="2032">
        <v>299</v>
      </c>
      <c r="I15" s="2009">
        <f t="shared" ref="I15:I21" si="8">H15/H$14*100</f>
        <v>92.283950617283949</v>
      </c>
      <c r="J15" s="2032">
        <v>207</v>
      </c>
      <c r="K15" s="2009">
        <f t="shared" ref="K15:K16" si="9">J15/J$14*100</f>
        <v>88.841201716738198</v>
      </c>
    </row>
    <row r="16" spans="1:12" ht="20.100000000000001" customHeight="1">
      <c r="A16" s="2065" t="s">
        <v>2987</v>
      </c>
      <c r="B16" s="2040">
        <v>18</v>
      </c>
      <c r="C16" s="2077">
        <f t="shared" si="5"/>
        <v>6.5217391304347823</v>
      </c>
      <c r="D16" s="2040">
        <v>17</v>
      </c>
      <c r="E16" s="2077">
        <f t="shared" si="6"/>
        <v>6.5384615384615392</v>
      </c>
      <c r="F16" s="2040">
        <v>22</v>
      </c>
      <c r="G16" s="2077">
        <f t="shared" si="7"/>
        <v>7.5601374570446733</v>
      </c>
      <c r="H16" s="2040">
        <v>25</v>
      </c>
      <c r="I16" s="2077">
        <f t="shared" si="8"/>
        <v>7.716049382716049</v>
      </c>
      <c r="J16" s="2040">
        <v>26</v>
      </c>
      <c r="K16" s="2077">
        <f t="shared" si="9"/>
        <v>11.158798283261802</v>
      </c>
      <c r="L16" s="1795" t="s">
        <v>2988</v>
      </c>
    </row>
    <row r="17" spans="1:13" ht="20.100000000000001" customHeight="1">
      <c r="A17" s="1997" t="s">
        <v>2989</v>
      </c>
      <c r="B17" s="2032">
        <v>146</v>
      </c>
      <c r="C17" s="2009">
        <f>B17/B$14*100</f>
        <v>52.89855072463768</v>
      </c>
      <c r="D17" s="2032">
        <v>156</v>
      </c>
      <c r="E17" s="2009">
        <f>D17/D$14*100</f>
        <v>60</v>
      </c>
      <c r="F17" s="2032">
        <v>171</v>
      </c>
      <c r="G17" s="2009">
        <f>F17/F$14*100</f>
        <v>58.762886597938149</v>
      </c>
      <c r="H17" s="2032">
        <v>187</v>
      </c>
      <c r="I17" s="2009">
        <f>H17/H$14*100</f>
        <v>57.716049382716051</v>
      </c>
      <c r="J17" s="2032">
        <v>144</v>
      </c>
      <c r="K17" s="2009">
        <f>J17/J$14*100</f>
        <v>61.802575107296143</v>
      </c>
    </row>
    <row r="18" spans="1:13" ht="20.100000000000001" customHeight="1">
      <c r="A18" s="299" t="s">
        <v>2813</v>
      </c>
      <c r="B18" s="2032">
        <v>99</v>
      </c>
      <c r="C18" s="2009">
        <f>B18/B$14*100</f>
        <v>35.869565217391305</v>
      </c>
      <c r="D18" s="2032">
        <v>79</v>
      </c>
      <c r="E18" s="2009">
        <f>D18/D$14*100</f>
        <v>30.384615384615383</v>
      </c>
      <c r="F18" s="2032">
        <v>89</v>
      </c>
      <c r="G18" s="2009">
        <f>F18/F$14*100</f>
        <v>30.584192439862544</v>
      </c>
      <c r="H18" s="2032">
        <v>100</v>
      </c>
      <c r="I18" s="2009">
        <f>H18/H$14*100</f>
        <v>30.864197530864196</v>
      </c>
      <c r="J18" s="2032">
        <v>59</v>
      </c>
      <c r="K18" s="2009">
        <f>J18/J$14*100</f>
        <v>25.321888412017167</v>
      </c>
    </row>
    <row r="19" spans="1:13" ht="20.100000000000001" customHeight="1">
      <c r="A19" s="299" t="s">
        <v>2990</v>
      </c>
      <c r="B19" s="2032">
        <v>26</v>
      </c>
      <c r="C19" s="2009">
        <f>B19/B$14*100</f>
        <v>9.4202898550724647</v>
      </c>
      <c r="D19" s="2032">
        <v>23</v>
      </c>
      <c r="E19" s="2009">
        <f>D19/D$14*100</f>
        <v>8.8461538461538467</v>
      </c>
      <c r="F19" s="2032">
        <v>22</v>
      </c>
      <c r="G19" s="2009">
        <f>F19/F$14*100</f>
        <v>7.5601374570446733</v>
      </c>
      <c r="H19" s="2032">
        <v>28</v>
      </c>
      <c r="I19" s="2009">
        <f>H19/H$14*100</f>
        <v>8.6419753086419746</v>
      </c>
      <c r="J19" s="2032">
        <v>25</v>
      </c>
      <c r="K19" s="2009">
        <f>J19/J$14*100</f>
        <v>10.72961373390558</v>
      </c>
    </row>
    <row r="20" spans="1:13" ht="20.100000000000001" customHeight="1">
      <c r="A20" s="299" t="s">
        <v>2991</v>
      </c>
      <c r="B20" s="2032">
        <v>5</v>
      </c>
      <c r="C20" s="2009">
        <f>B20/B$14*100</f>
        <v>1.8115942028985508</v>
      </c>
      <c r="D20" s="2032">
        <v>2</v>
      </c>
      <c r="E20" s="2009">
        <f>D20/D$14*100</f>
        <v>0.76923076923076927</v>
      </c>
      <c r="F20" s="2032">
        <v>9</v>
      </c>
      <c r="G20" s="2009">
        <f>F20/F$14*100</f>
        <v>3.0927835051546393</v>
      </c>
      <c r="H20" s="2032">
        <v>7</v>
      </c>
      <c r="I20" s="2009">
        <f>H20/H$14*100</f>
        <v>2.1604938271604937</v>
      </c>
      <c r="J20" s="2032">
        <v>3</v>
      </c>
      <c r="K20" s="2009">
        <f>J20/J$14*100</f>
        <v>1.2875536480686696</v>
      </c>
    </row>
    <row r="21" spans="1:13" ht="20.100000000000001" customHeight="1">
      <c r="A21" s="1944" t="s">
        <v>2992</v>
      </c>
      <c r="B21" s="1970" t="s">
        <v>1</v>
      </c>
      <c r="C21" s="1948" t="s">
        <v>2805</v>
      </c>
      <c r="D21" s="1970" t="s">
        <v>1</v>
      </c>
      <c r="E21" s="1948" t="s">
        <v>2817</v>
      </c>
      <c r="F21" s="1970" t="s">
        <v>1</v>
      </c>
      <c r="G21" s="1948" t="s">
        <v>2442</v>
      </c>
      <c r="H21" s="2040">
        <v>2</v>
      </c>
      <c r="I21" s="2077">
        <f t="shared" si="8"/>
        <v>0.61728395061728392</v>
      </c>
      <c r="J21" s="2040">
        <v>2</v>
      </c>
      <c r="K21" s="2077">
        <f t="shared" ref="K21" si="10">J21/J$14*100</f>
        <v>0.85836909871244638</v>
      </c>
    </row>
    <row r="22" spans="1:13" s="1785" customFormat="1" ht="15.75">
      <c r="A22" s="3824" t="s">
        <v>2906</v>
      </c>
      <c r="B22" s="3759"/>
      <c r="C22" s="3732"/>
      <c r="D22" s="3759"/>
      <c r="H22" s="1953"/>
      <c r="J22" s="2086"/>
      <c r="K22" s="2086"/>
      <c r="L22" s="1826"/>
      <c r="M22" s="1826"/>
    </row>
    <row r="23" spans="1:13" ht="15.75">
      <c r="A23" s="3846" t="s">
        <v>2993</v>
      </c>
      <c r="B23" s="3846"/>
      <c r="C23" s="3846"/>
      <c r="D23" s="3846"/>
      <c r="E23" s="3846"/>
    </row>
    <row r="24" spans="1:13" ht="15.75">
      <c r="A24" s="3846"/>
      <c r="B24" s="3846"/>
      <c r="C24" s="3846"/>
      <c r="D24" s="3846"/>
      <c r="E24" s="3846"/>
    </row>
  </sheetData>
  <mergeCells count="13">
    <mergeCell ref="A23:E24"/>
    <mergeCell ref="B12:C12"/>
    <mergeCell ref="D12:E12"/>
    <mergeCell ref="F12:G12"/>
    <mergeCell ref="H12:I12"/>
    <mergeCell ref="J12:K12"/>
    <mergeCell ref="A22:D22"/>
    <mergeCell ref="A1:K1"/>
    <mergeCell ref="B2:C2"/>
    <mergeCell ref="D2:E2"/>
    <mergeCell ref="F2:G2"/>
    <mergeCell ref="H2:I2"/>
    <mergeCell ref="J2:K2"/>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71"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M20"/>
  <sheetViews>
    <sheetView showGridLines="0" showRuler="0" zoomScaleNormal="100" zoomScalePageLayoutView="125" workbookViewId="0">
      <selection activeCell="B18" sqref="B18:D18"/>
    </sheetView>
  </sheetViews>
  <sheetFormatPr defaultColWidth="9" defaultRowHeight="15.75"/>
  <cols>
    <col min="1" max="1" width="15.875" style="1795" customWidth="1"/>
    <col min="2" max="11" width="9" style="1795" customWidth="1"/>
    <col min="12" max="12" width="6.5" style="1795" customWidth="1"/>
    <col min="13" max="16384" width="9" style="1795"/>
  </cols>
  <sheetData>
    <row r="1" spans="1:13" ht="24" customHeight="1">
      <c r="A1" s="3733" t="s">
        <v>2994</v>
      </c>
      <c r="B1" s="3733"/>
      <c r="C1" s="3733"/>
      <c r="D1" s="3733"/>
      <c r="E1" s="3733"/>
      <c r="F1" s="3733"/>
      <c r="G1" s="3733"/>
      <c r="H1" s="3733"/>
      <c r="I1" s="3733"/>
      <c r="J1" s="3733"/>
      <c r="K1" s="3733"/>
    </row>
    <row r="2" spans="1:13" ht="19.350000000000001" customHeight="1">
      <c r="A2" s="1832"/>
      <c r="B2" s="3722" t="s">
        <v>2995</v>
      </c>
      <c r="C2" s="3734"/>
      <c r="D2" s="3730" t="s">
        <v>2996</v>
      </c>
      <c r="E2" s="3734"/>
      <c r="F2" s="3734" t="s">
        <v>2997</v>
      </c>
      <c r="G2" s="3730" t="s">
        <v>2998</v>
      </c>
      <c r="H2" s="3803" t="s">
        <v>2999</v>
      </c>
      <c r="I2" s="3799" t="s">
        <v>2998</v>
      </c>
      <c r="J2" s="3803" t="s">
        <v>3000</v>
      </c>
      <c r="K2" s="3799"/>
    </row>
    <row r="3" spans="1:13" s="1960" customFormat="1" ht="19.350000000000001" customHeight="1">
      <c r="A3" s="1833"/>
      <c r="B3" s="1927" t="s">
        <v>3001</v>
      </c>
      <c r="C3" s="1859" t="s">
        <v>3002</v>
      </c>
      <c r="D3" s="1927" t="s">
        <v>3001</v>
      </c>
      <c r="E3" s="1859" t="s">
        <v>3002</v>
      </c>
      <c r="F3" s="1927" t="s">
        <v>3001</v>
      </c>
      <c r="G3" s="1859" t="s">
        <v>3002</v>
      </c>
      <c r="H3" s="1927" t="s">
        <v>3001</v>
      </c>
      <c r="I3" s="1859" t="s">
        <v>3002</v>
      </c>
      <c r="J3" s="1927" t="s">
        <v>3001</v>
      </c>
      <c r="K3" s="1788" t="s">
        <v>2102</v>
      </c>
    </row>
    <row r="4" spans="1:13" ht="19.350000000000001" customHeight="1">
      <c r="A4" s="1997" t="s">
        <v>3003</v>
      </c>
      <c r="B4" s="2032">
        <v>302</v>
      </c>
      <c r="C4" s="2009">
        <v>100</v>
      </c>
      <c r="D4" s="2032">
        <v>362</v>
      </c>
      <c r="E4" s="2009">
        <v>100</v>
      </c>
      <c r="F4" s="2032">
        <v>378</v>
      </c>
      <c r="G4" s="2009">
        <v>100</v>
      </c>
      <c r="H4" s="2032">
        <v>388</v>
      </c>
      <c r="I4" s="2009">
        <v>100</v>
      </c>
      <c r="J4" s="2032">
        <v>409</v>
      </c>
      <c r="K4" s="2009">
        <v>100</v>
      </c>
    </row>
    <row r="5" spans="1:13" ht="19.350000000000001" customHeight="1">
      <c r="A5" s="299" t="s">
        <v>3004</v>
      </c>
      <c r="B5" s="2032">
        <v>264</v>
      </c>
      <c r="C5" s="2009">
        <v>87.41721854304636</v>
      </c>
      <c r="D5" s="2032">
        <v>304</v>
      </c>
      <c r="E5" s="2009">
        <v>83.97790055248619</v>
      </c>
      <c r="F5" s="2032">
        <v>315</v>
      </c>
      <c r="G5" s="2009">
        <v>83.333333333333343</v>
      </c>
      <c r="H5" s="2032">
        <v>325</v>
      </c>
      <c r="I5" s="2009">
        <v>83.762886597938149</v>
      </c>
      <c r="J5" s="2032">
        <v>346</v>
      </c>
      <c r="K5" s="2009">
        <v>84.59657701711491</v>
      </c>
    </row>
    <row r="6" spans="1:13" ht="19.350000000000001" customHeight="1">
      <c r="A6" s="299" t="s">
        <v>3005</v>
      </c>
      <c r="B6" s="2032">
        <v>25</v>
      </c>
      <c r="C6" s="2009">
        <v>8.2781456953642394</v>
      </c>
      <c r="D6" s="2032">
        <v>38</v>
      </c>
      <c r="E6" s="2009">
        <v>10.497237569060774</v>
      </c>
      <c r="F6" s="2032">
        <v>39</v>
      </c>
      <c r="G6" s="2009">
        <v>10.317460317460316</v>
      </c>
      <c r="H6" s="2032">
        <v>42</v>
      </c>
      <c r="I6" s="2009">
        <v>10.824742268041238</v>
      </c>
      <c r="J6" s="2032">
        <v>37</v>
      </c>
      <c r="K6" s="2009">
        <v>9.0464547677261606</v>
      </c>
    </row>
    <row r="7" spans="1:13" ht="19.350000000000001" customHeight="1">
      <c r="A7" s="299" t="s">
        <v>3006</v>
      </c>
      <c r="B7" s="2032">
        <v>5</v>
      </c>
      <c r="C7" s="2009">
        <v>1.6556291390728477</v>
      </c>
      <c r="D7" s="2032">
        <v>11</v>
      </c>
      <c r="E7" s="2009">
        <v>3.0386740331491713</v>
      </c>
      <c r="F7" s="2032">
        <v>10</v>
      </c>
      <c r="G7" s="2009">
        <v>2.6455026455026456</v>
      </c>
      <c r="H7" s="2032">
        <v>15</v>
      </c>
      <c r="I7" s="2009">
        <v>3.865979381443299</v>
      </c>
      <c r="J7" s="2032">
        <v>13</v>
      </c>
      <c r="K7" s="2009">
        <v>3.1784841075794623</v>
      </c>
    </row>
    <row r="8" spans="1:13" ht="19.350000000000001" customHeight="1">
      <c r="A8" s="299" t="s">
        <v>3007</v>
      </c>
      <c r="B8" s="2032">
        <v>6</v>
      </c>
      <c r="C8" s="2009">
        <v>1.9867549668874174</v>
      </c>
      <c r="D8" s="2032">
        <v>8</v>
      </c>
      <c r="E8" s="2009">
        <v>2.2099447513812152</v>
      </c>
      <c r="F8" s="2032">
        <v>12</v>
      </c>
      <c r="G8" s="2009">
        <v>3.1746031746031744</v>
      </c>
      <c r="H8" s="2032">
        <v>6</v>
      </c>
      <c r="I8" s="2009">
        <v>1.5463917525773196</v>
      </c>
      <c r="J8" s="2032">
        <v>8</v>
      </c>
      <c r="K8" s="2009">
        <v>1.9559902200488997</v>
      </c>
    </row>
    <row r="9" spans="1:13" ht="19.350000000000001" customHeight="1" thickBot="1">
      <c r="A9" s="299" t="s">
        <v>3008</v>
      </c>
      <c r="B9" s="2032">
        <v>2</v>
      </c>
      <c r="C9" s="2009">
        <v>0.66225165562913912</v>
      </c>
      <c r="D9" s="2032">
        <v>1</v>
      </c>
      <c r="E9" s="2009">
        <v>0.27624309392265189</v>
      </c>
      <c r="F9" s="2032">
        <v>2</v>
      </c>
      <c r="G9" s="2009">
        <v>0.52910052910052907</v>
      </c>
      <c r="H9" s="1967" t="s">
        <v>1</v>
      </c>
      <c r="I9" s="1939" t="s">
        <v>3009</v>
      </c>
      <c r="J9" s="2032">
        <v>5</v>
      </c>
      <c r="K9" s="2009">
        <v>1.2224938875305624</v>
      </c>
      <c r="M9" s="2051"/>
    </row>
    <row r="10" spans="1:13" ht="19.350000000000001" customHeight="1">
      <c r="A10" s="1974"/>
      <c r="B10" s="3814" t="s">
        <v>3010</v>
      </c>
      <c r="C10" s="3830"/>
      <c r="D10" s="3813" t="s">
        <v>3011</v>
      </c>
      <c r="E10" s="3830"/>
      <c r="F10" s="3813" t="s">
        <v>3012</v>
      </c>
      <c r="G10" s="3814"/>
      <c r="H10" s="3813" t="s">
        <v>3013</v>
      </c>
      <c r="I10" s="3814"/>
      <c r="J10" s="3813" t="s">
        <v>3014</v>
      </c>
      <c r="K10" s="3814"/>
    </row>
    <row r="11" spans="1:13" s="1960" customFormat="1" ht="19.350000000000001" customHeight="1">
      <c r="A11" s="1833"/>
      <c r="B11" s="1927" t="s">
        <v>3001</v>
      </c>
      <c r="C11" s="1859" t="s">
        <v>3015</v>
      </c>
      <c r="D11" s="1927" t="s">
        <v>3016</v>
      </c>
      <c r="E11" s="1859" t="s">
        <v>3002</v>
      </c>
      <c r="F11" s="1927" t="s">
        <v>3001</v>
      </c>
      <c r="G11" s="1859" t="s">
        <v>3002</v>
      </c>
      <c r="H11" s="1927" t="s">
        <v>3001</v>
      </c>
      <c r="I11" s="1859" t="s">
        <v>3002</v>
      </c>
      <c r="J11" s="1927" t="s">
        <v>3001</v>
      </c>
      <c r="K11" s="1788" t="s">
        <v>3002</v>
      </c>
    </row>
    <row r="12" spans="1:13" ht="19.350000000000001" customHeight="1">
      <c r="A12" s="1997" t="s">
        <v>3017</v>
      </c>
      <c r="B12" s="2032">
        <v>279</v>
      </c>
      <c r="C12" s="2009">
        <v>100</v>
      </c>
      <c r="D12" s="2032">
        <v>261</v>
      </c>
      <c r="E12" s="2009">
        <v>100</v>
      </c>
      <c r="F12" s="2032">
        <v>293</v>
      </c>
      <c r="G12" s="2009">
        <v>100</v>
      </c>
      <c r="H12" s="2032">
        <v>325</v>
      </c>
      <c r="I12" s="2009">
        <v>100</v>
      </c>
      <c r="J12" s="2032">
        <v>236</v>
      </c>
      <c r="K12" s="2009">
        <v>100</v>
      </c>
    </row>
    <row r="13" spans="1:13" ht="19.350000000000001" customHeight="1">
      <c r="A13" s="299" t="s">
        <v>3004</v>
      </c>
      <c r="B13" s="2032">
        <v>246</v>
      </c>
      <c r="C13" s="2009">
        <v>88.172043010752688</v>
      </c>
      <c r="D13" s="2032">
        <v>229</v>
      </c>
      <c r="E13" s="2009">
        <v>87.739463601532563</v>
      </c>
      <c r="F13" s="2032">
        <v>255</v>
      </c>
      <c r="G13" s="2009">
        <v>87.030716723549489</v>
      </c>
      <c r="H13" s="2032">
        <v>283</v>
      </c>
      <c r="I13" s="2009">
        <v>87.07692307692308</v>
      </c>
      <c r="J13" s="2032">
        <v>202</v>
      </c>
      <c r="K13" s="2009">
        <v>85.593220338983059</v>
      </c>
    </row>
    <row r="14" spans="1:13" ht="19.350000000000001" customHeight="1">
      <c r="A14" s="299" t="s">
        <v>3005</v>
      </c>
      <c r="B14" s="2032">
        <v>20</v>
      </c>
      <c r="C14" s="2009">
        <v>7.1684587813620064</v>
      </c>
      <c r="D14" s="2032">
        <v>21</v>
      </c>
      <c r="E14" s="2009">
        <v>8.0459770114942533</v>
      </c>
      <c r="F14" s="2032">
        <v>25</v>
      </c>
      <c r="G14" s="2009">
        <v>8.5324232081911262</v>
      </c>
      <c r="H14" s="2032">
        <v>25</v>
      </c>
      <c r="I14" s="2009">
        <v>7.6923076923076925</v>
      </c>
      <c r="J14" s="2032">
        <v>22</v>
      </c>
      <c r="K14" s="2009">
        <v>9.3220338983050848</v>
      </c>
    </row>
    <row r="15" spans="1:13" ht="19.350000000000001" customHeight="1">
      <c r="A15" s="299" t="s">
        <v>2839</v>
      </c>
      <c r="B15" s="2032">
        <v>6</v>
      </c>
      <c r="C15" s="2009">
        <v>2.1505376344086025</v>
      </c>
      <c r="D15" s="2032">
        <v>7</v>
      </c>
      <c r="E15" s="2009">
        <v>2.6819923371647509</v>
      </c>
      <c r="F15" s="2032">
        <v>9</v>
      </c>
      <c r="G15" s="2009">
        <v>3.0716723549488054</v>
      </c>
      <c r="H15" s="2032">
        <v>10</v>
      </c>
      <c r="I15" s="2009">
        <v>3.0769230769230771</v>
      </c>
      <c r="J15" s="2032">
        <v>5</v>
      </c>
      <c r="K15" s="2009">
        <v>2.1186440677966099</v>
      </c>
    </row>
    <row r="16" spans="1:13" ht="19.350000000000001" customHeight="1">
      <c r="A16" s="299" t="s">
        <v>3007</v>
      </c>
      <c r="B16" s="2032">
        <v>3</v>
      </c>
      <c r="C16" s="2009">
        <v>1.0752688172043012</v>
      </c>
      <c r="D16" s="2032">
        <v>4</v>
      </c>
      <c r="E16" s="2009">
        <v>1.5325670498084289</v>
      </c>
      <c r="F16" s="2032">
        <v>3</v>
      </c>
      <c r="G16" s="2009">
        <v>1.0238907849829351</v>
      </c>
      <c r="H16" s="2032">
        <v>6</v>
      </c>
      <c r="I16" s="2009">
        <v>1.8461538461538463</v>
      </c>
      <c r="J16" s="2032">
        <v>4</v>
      </c>
      <c r="K16" s="2009">
        <v>1.6949152542372881</v>
      </c>
    </row>
    <row r="17" spans="1:13" ht="19.350000000000001" customHeight="1">
      <c r="A17" s="299" t="s">
        <v>3008</v>
      </c>
      <c r="B17" s="2040">
        <v>4</v>
      </c>
      <c r="C17" s="2077">
        <v>1.4336917562724014</v>
      </c>
      <c r="D17" s="1970" t="s">
        <v>1</v>
      </c>
      <c r="E17" s="1948" t="s">
        <v>3009</v>
      </c>
      <c r="F17" s="2040">
        <v>1</v>
      </c>
      <c r="G17" s="2077">
        <v>0.34129692832764508</v>
      </c>
      <c r="H17" s="2040">
        <v>1</v>
      </c>
      <c r="I17" s="2077">
        <v>0.30769230769230771</v>
      </c>
      <c r="J17" s="2040">
        <v>3</v>
      </c>
      <c r="K17" s="2077">
        <v>1.2711864406779663</v>
      </c>
      <c r="M17" s="2051"/>
    </row>
    <row r="18" spans="1:13">
      <c r="A18" s="3847" t="s">
        <v>3018</v>
      </c>
      <c r="B18" s="3847"/>
      <c r="C18" s="3848"/>
      <c r="D18" s="3847"/>
      <c r="E18" s="3847"/>
      <c r="H18" s="2049"/>
      <c r="I18" s="2051"/>
      <c r="J18" s="2049"/>
      <c r="K18" s="2049"/>
      <c r="L18" s="1849"/>
    </row>
    <row r="19" spans="1:13">
      <c r="A19" s="3759" t="s">
        <v>3019</v>
      </c>
      <c r="B19" s="3759"/>
      <c r="C19" s="3759"/>
      <c r="D19" s="3759"/>
      <c r="E19" s="3759"/>
      <c r="F19" s="3759"/>
      <c r="J19" s="2049"/>
      <c r="K19" s="2049"/>
    </row>
    <row r="20" spans="1:13">
      <c r="A20" s="3840"/>
      <c r="B20" s="3820"/>
      <c r="C20" s="2087"/>
      <c r="D20" s="2087"/>
    </row>
  </sheetData>
  <mergeCells count="14">
    <mergeCell ref="A19:F19"/>
    <mergeCell ref="A20:B20"/>
    <mergeCell ref="B10:C10"/>
    <mergeCell ref="D10:E10"/>
    <mergeCell ref="F10:G10"/>
    <mergeCell ref="H10:I10"/>
    <mergeCell ref="J10:K10"/>
    <mergeCell ref="A18:E18"/>
    <mergeCell ref="A1:K1"/>
    <mergeCell ref="B2:C2"/>
    <mergeCell ref="D2:E2"/>
    <mergeCell ref="F2:G2"/>
    <mergeCell ref="H2:I2"/>
    <mergeCell ref="J2:K2"/>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77"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K48"/>
  <sheetViews>
    <sheetView showGridLines="0" topLeftCell="A19" workbookViewId="0">
      <selection activeCell="A13" sqref="A13:B13"/>
    </sheetView>
  </sheetViews>
  <sheetFormatPr defaultRowHeight="16.5"/>
  <cols>
    <col min="1" max="1" width="23.5" bestFit="1" customWidth="1"/>
  </cols>
  <sheetData>
    <row r="1" spans="1:11" ht="23.1" customHeight="1">
      <c r="A1" s="2893" t="s">
        <v>438</v>
      </c>
      <c r="B1" s="2893"/>
      <c r="C1" s="2893"/>
      <c r="D1" s="2893"/>
      <c r="E1" s="2893"/>
      <c r="F1" s="2893"/>
      <c r="G1" s="2893"/>
      <c r="H1" s="2893"/>
      <c r="I1" s="2893"/>
      <c r="J1" s="2893"/>
      <c r="K1" s="2893"/>
    </row>
    <row r="2" spans="1:11" ht="23.1" customHeight="1">
      <c r="A2" s="434"/>
      <c r="B2" s="357" t="s">
        <v>402</v>
      </c>
      <c r="C2" s="355" t="s">
        <v>403</v>
      </c>
      <c r="D2" s="355" t="s">
        <v>404</v>
      </c>
      <c r="E2" s="355" t="s">
        <v>405</v>
      </c>
      <c r="F2" s="355" t="s">
        <v>406</v>
      </c>
      <c r="G2" s="355" t="s">
        <v>407</v>
      </c>
      <c r="H2" s="355" t="s">
        <v>408</v>
      </c>
      <c r="I2" s="355" t="s">
        <v>409</v>
      </c>
      <c r="J2" s="355" t="s">
        <v>410</v>
      </c>
      <c r="K2" s="356" t="s">
        <v>411</v>
      </c>
    </row>
    <row r="3" spans="1:11" ht="23.1" customHeight="1">
      <c r="A3" s="291" t="s">
        <v>21</v>
      </c>
      <c r="B3" s="429">
        <v>57884</v>
      </c>
      <c r="C3" s="430">
        <v>58710</v>
      </c>
      <c r="D3" s="430">
        <v>59010</v>
      </c>
      <c r="E3" s="430">
        <v>67986</v>
      </c>
      <c r="F3" s="429">
        <v>73720</v>
      </c>
      <c r="G3" s="431">
        <v>70305</v>
      </c>
      <c r="H3" s="272">
        <v>67654</v>
      </c>
      <c r="I3" s="272">
        <v>67874</v>
      </c>
      <c r="J3" s="272">
        <v>65176</v>
      </c>
      <c r="K3" s="280">
        <v>59918</v>
      </c>
    </row>
    <row r="4" spans="1:11" ht="23.1" customHeight="1">
      <c r="A4" s="291" t="s">
        <v>22</v>
      </c>
      <c r="B4" s="432">
        <v>53181</v>
      </c>
      <c r="C4" s="433">
        <v>52801</v>
      </c>
      <c r="D4" s="433">
        <v>52920</v>
      </c>
      <c r="E4" s="433">
        <v>62228</v>
      </c>
      <c r="F4" s="432">
        <v>68229</v>
      </c>
      <c r="G4" s="44">
        <v>64765</v>
      </c>
      <c r="H4" s="99">
        <v>62043</v>
      </c>
      <c r="I4" s="99">
        <v>61676</v>
      </c>
      <c r="J4" s="99">
        <v>58785</v>
      </c>
      <c r="K4" s="100">
        <v>53642</v>
      </c>
    </row>
    <row r="5" spans="1:11" ht="23.1" customHeight="1">
      <c r="A5" s="291" t="s">
        <v>23</v>
      </c>
      <c r="B5" s="432">
        <v>3138</v>
      </c>
      <c r="C5" s="433">
        <v>4003</v>
      </c>
      <c r="D5" s="433">
        <v>4189</v>
      </c>
      <c r="E5" s="433">
        <v>3988</v>
      </c>
      <c r="F5" s="432">
        <v>3525</v>
      </c>
      <c r="G5" s="44">
        <v>3582</v>
      </c>
      <c r="H5" s="99">
        <v>3890</v>
      </c>
      <c r="I5" s="99">
        <v>4376</v>
      </c>
      <c r="J5" s="99">
        <v>4768</v>
      </c>
      <c r="K5" s="100">
        <v>4940</v>
      </c>
    </row>
    <row r="6" spans="1:11" ht="23.1" customHeight="1">
      <c r="A6" s="291" t="s">
        <v>25</v>
      </c>
      <c r="B6" s="432">
        <v>291</v>
      </c>
      <c r="C6" s="433">
        <v>246</v>
      </c>
      <c r="D6" s="433">
        <v>309</v>
      </c>
      <c r="E6" s="433">
        <v>327</v>
      </c>
      <c r="F6" s="432">
        <v>346</v>
      </c>
      <c r="G6" s="44">
        <v>310</v>
      </c>
      <c r="H6" s="99">
        <v>295</v>
      </c>
      <c r="I6" s="99">
        <v>307</v>
      </c>
      <c r="J6" s="99">
        <v>318</v>
      </c>
      <c r="K6" s="100">
        <v>324</v>
      </c>
    </row>
    <row r="7" spans="1:11" ht="23.1" customHeight="1">
      <c r="A7" s="291" t="s">
        <v>24</v>
      </c>
      <c r="B7" s="432">
        <v>224</v>
      </c>
      <c r="C7" s="433">
        <v>281</v>
      </c>
      <c r="D7" s="433">
        <v>298</v>
      </c>
      <c r="E7" s="433">
        <v>283</v>
      </c>
      <c r="F7" s="432">
        <v>230</v>
      </c>
      <c r="G7" s="44">
        <v>249</v>
      </c>
      <c r="H7" s="99">
        <v>313</v>
      </c>
      <c r="I7" s="99">
        <v>307</v>
      </c>
      <c r="J7" s="99">
        <v>300</v>
      </c>
      <c r="K7" s="100">
        <v>287</v>
      </c>
    </row>
    <row r="8" spans="1:11" ht="23.1" customHeight="1">
      <c r="A8" s="291" t="s">
        <v>28</v>
      </c>
      <c r="B8" s="432">
        <v>343</v>
      </c>
      <c r="C8" s="433">
        <v>393</v>
      </c>
      <c r="D8" s="433">
        <v>410</v>
      </c>
      <c r="E8" s="433">
        <v>368</v>
      </c>
      <c r="F8" s="432">
        <v>533</v>
      </c>
      <c r="G8" s="44">
        <v>361</v>
      </c>
      <c r="H8" s="99">
        <v>271</v>
      </c>
      <c r="I8" s="99">
        <v>386</v>
      </c>
      <c r="J8" s="99">
        <v>236</v>
      </c>
      <c r="K8" s="100">
        <v>172</v>
      </c>
    </row>
    <row r="9" spans="1:11" ht="23.1" customHeight="1">
      <c r="A9" s="291" t="s">
        <v>26</v>
      </c>
      <c r="B9" s="432">
        <v>51</v>
      </c>
      <c r="C9" s="433">
        <v>84</v>
      </c>
      <c r="D9" s="433">
        <v>131</v>
      </c>
      <c r="E9" s="433">
        <v>268</v>
      </c>
      <c r="F9" s="432">
        <v>254</v>
      </c>
      <c r="G9" s="44">
        <v>309</v>
      </c>
      <c r="H9" s="99">
        <v>183</v>
      </c>
      <c r="I9" s="99">
        <v>156</v>
      </c>
      <c r="J9" s="99">
        <v>127</v>
      </c>
      <c r="K9" s="100">
        <v>125</v>
      </c>
    </row>
    <row r="10" spans="1:11" ht="23.1" customHeight="1">
      <c r="A10" s="291" t="s">
        <v>27</v>
      </c>
      <c r="B10" s="432">
        <v>379</v>
      </c>
      <c r="C10" s="433">
        <v>535</v>
      </c>
      <c r="D10" s="433">
        <v>369</v>
      </c>
      <c r="E10" s="433">
        <v>164</v>
      </c>
      <c r="F10" s="432">
        <v>202</v>
      </c>
      <c r="G10" s="44">
        <v>196</v>
      </c>
      <c r="H10" s="99">
        <v>135</v>
      </c>
      <c r="I10" s="99">
        <v>149</v>
      </c>
      <c r="J10" s="99">
        <v>171</v>
      </c>
      <c r="K10" s="100">
        <v>88</v>
      </c>
    </row>
    <row r="11" spans="1:11" ht="23.1" customHeight="1">
      <c r="A11" s="291" t="s">
        <v>47</v>
      </c>
      <c r="B11" s="44">
        <v>78</v>
      </c>
      <c r="C11" s="99">
        <v>46</v>
      </c>
      <c r="D11" s="99">
        <v>57</v>
      </c>
      <c r="E11" s="99">
        <v>63</v>
      </c>
      <c r="F11" s="99">
        <v>57</v>
      </c>
      <c r="G11" s="44">
        <v>79</v>
      </c>
      <c r="H11" s="99">
        <v>98</v>
      </c>
      <c r="I11" s="99">
        <v>106</v>
      </c>
      <c r="J11" s="99">
        <v>100</v>
      </c>
      <c r="K11" s="100">
        <v>75</v>
      </c>
    </row>
    <row r="12" spans="1:11" ht="23.1" customHeight="1">
      <c r="A12" s="291" t="s">
        <v>29</v>
      </c>
      <c r="B12" s="432">
        <v>23</v>
      </c>
      <c r="C12" s="433">
        <v>23</v>
      </c>
      <c r="D12" s="433">
        <v>28</v>
      </c>
      <c r="E12" s="433">
        <v>22</v>
      </c>
      <c r="F12" s="432">
        <v>24</v>
      </c>
      <c r="G12" s="44">
        <v>44</v>
      </c>
      <c r="H12" s="99">
        <v>32</v>
      </c>
      <c r="I12" s="99">
        <v>44</v>
      </c>
      <c r="J12" s="99">
        <v>52</v>
      </c>
      <c r="K12" s="100">
        <v>24</v>
      </c>
    </row>
    <row r="13" spans="1:11" ht="23.1" customHeight="1">
      <c r="A13" s="291" t="s">
        <v>34</v>
      </c>
      <c r="B13" s="44">
        <v>9</v>
      </c>
      <c r="C13" s="99">
        <v>5</v>
      </c>
      <c r="D13" s="99">
        <v>7</v>
      </c>
      <c r="E13" s="99">
        <v>19</v>
      </c>
      <c r="F13" s="99">
        <v>13</v>
      </c>
      <c r="G13" s="44">
        <v>10</v>
      </c>
      <c r="H13" s="99">
        <v>22</v>
      </c>
      <c r="I13" s="99">
        <v>26</v>
      </c>
      <c r="J13" s="99">
        <v>27</v>
      </c>
      <c r="K13" s="100">
        <v>19</v>
      </c>
    </row>
    <row r="14" spans="1:11" ht="31.5">
      <c r="A14" s="291" t="s">
        <v>40</v>
      </c>
      <c r="B14" s="44">
        <v>6</v>
      </c>
      <c r="C14" s="99">
        <v>14</v>
      </c>
      <c r="D14" s="99">
        <v>4</v>
      </c>
      <c r="E14" s="99">
        <v>12</v>
      </c>
      <c r="F14" s="99">
        <v>7</v>
      </c>
      <c r="G14" s="44">
        <v>19</v>
      </c>
      <c r="H14" s="99">
        <v>6</v>
      </c>
      <c r="I14" s="99">
        <v>16</v>
      </c>
      <c r="J14" s="99">
        <v>30</v>
      </c>
      <c r="K14" s="100">
        <v>18</v>
      </c>
    </row>
    <row r="15" spans="1:11" ht="31.5">
      <c r="A15" s="291" t="s">
        <v>41</v>
      </c>
      <c r="B15" s="44">
        <v>3</v>
      </c>
      <c r="C15" s="99">
        <v>4</v>
      </c>
      <c r="D15" s="99">
        <v>4</v>
      </c>
      <c r="E15" s="99">
        <v>1</v>
      </c>
      <c r="F15" s="99">
        <v>2</v>
      </c>
      <c r="G15" s="44">
        <v>4</v>
      </c>
      <c r="H15" s="99">
        <v>2</v>
      </c>
      <c r="I15" s="99">
        <v>6</v>
      </c>
      <c r="J15" s="99">
        <v>3</v>
      </c>
      <c r="K15" s="100">
        <v>14</v>
      </c>
    </row>
    <row r="16" spans="1:11" ht="23.1" customHeight="1">
      <c r="A16" s="291" t="s">
        <v>39</v>
      </c>
      <c r="B16" s="44">
        <v>1</v>
      </c>
      <c r="C16" s="99">
        <v>16</v>
      </c>
      <c r="D16" s="99">
        <v>9</v>
      </c>
      <c r="E16" s="99">
        <v>2</v>
      </c>
      <c r="F16" s="99">
        <v>1</v>
      </c>
      <c r="G16" s="44">
        <v>6</v>
      </c>
      <c r="H16" s="99">
        <v>17</v>
      </c>
      <c r="I16" s="99">
        <v>12</v>
      </c>
      <c r="J16" s="99">
        <v>16</v>
      </c>
      <c r="K16" s="100">
        <v>12</v>
      </c>
    </row>
    <row r="17" spans="1:11" ht="23.1" customHeight="1">
      <c r="A17" s="291" t="s">
        <v>61</v>
      </c>
      <c r="B17" s="99">
        <v>11</v>
      </c>
      <c r="C17" s="99">
        <v>15</v>
      </c>
      <c r="D17" s="99">
        <v>10</v>
      </c>
      <c r="E17" s="99">
        <v>15</v>
      </c>
      <c r="F17" s="99">
        <v>25</v>
      </c>
      <c r="G17" s="99">
        <v>38</v>
      </c>
      <c r="H17" s="99">
        <v>16</v>
      </c>
      <c r="I17" s="99">
        <v>13</v>
      </c>
      <c r="J17" s="99">
        <v>7</v>
      </c>
      <c r="K17" s="100">
        <v>11</v>
      </c>
    </row>
    <row r="18" spans="1:11" ht="23.1" customHeight="1">
      <c r="A18" s="291" t="s">
        <v>52</v>
      </c>
      <c r="B18" s="99">
        <v>9</v>
      </c>
      <c r="C18" s="99">
        <v>16</v>
      </c>
      <c r="D18" s="99">
        <v>10</v>
      </c>
      <c r="E18" s="99">
        <v>15</v>
      </c>
      <c r="F18" s="99">
        <v>10</v>
      </c>
      <c r="G18" s="44">
        <v>27</v>
      </c>
      <c r="H18" s="99">
        <v>11</v>
      </c>
      <c r="I18" s="99">
        <v>11</v>
      </c>
      <c r="J18" s="99">
        <v>6</v>
      </c>
      <c r="K18" s="100">
        <v>11</v>
      </c>
    </row>
    <row r="19" spans="1:11" ht="23.1" customHeight="1">
      <c r="A19" s="291" t="s">
        <v>48</v>
      </c>
      <c r="B19" s="44">
        <v>7</v>
      </c>
      <c r="C19" s="99">
        <v>4</v>
      </c>
      <c r="D19" s="99">
        <v>6</v>
      </c>
      <c r="E19" s="99">
        <v>7</v>
      </c>
      <c r="F19" s="99">
        <v>5</v>
      </c>
      <c r="G19" s="44">
        <v>10</v>
      </c>
      <c r="H19" s="99">
        <v>8</v>
      </c>
      <c r="I19" s="99">
        <v>12</v>
      </c>
      <c r="J19" s="99">
        <v>11</v>
      </c>
      <c r="K19" s="100">
        <v>9</v>
      </c>
    </row>
    <row r="20" spans="1:11" ht="31.5">
      <c r="A20" s="291" t="s">
        <v>31</v>
      </c>
      <c r="B20" s="135">
        <v>1</v>
      </c>
      <c r="C20" s="99" t="s">
        <v>6</v>
      </c>
      <c r="D20" s="99">
        <v>6</v>
      </c>
      <c r="E20" s="99">
        <v>13</v>
      </c>
      <c r="F20" s="99">
        <v>8</v>
      </c>
      <c r="G20" s="44">
        <v>13</v>
      </c>
      <c r="H20" s="99">
        <v>7</v>
      </c>
      <c r="I20" s="99">
        <v>4</v>
      </c>
      <c r="J20" s="99">
        <v>7</v>
      </c>
      <c r="K20" s="100">
        <v>5</v>
      </c>
    </row>
    <row r="21" spans="1:11" ht="23.1" customHeight="1">
      <c r="A21" s="291" t="s">
        <v>33</v>
      </c>
      <c r="B21" s="44">
        <v>4</v>
      </c>
      <c r="C21" s="99">
        <v>38</v>
      </c>
      <c r="D21" s="99">
        <v>16</v>
      </c>
      <c r="E21" s="99">
        <v>1</v>
      </c>
      <c r="F21" s="99">
        <v>3</v>
      </c>
      <c r="G21" s="44">
        <v>10</v>
      </c>
      <c r="H21" s="99">
        <v>1</v>
      </c>
      <c r="I21" s="99">
        <v>13</v>
      </c>
      <c r="J21" s="99">
        <v>3</v>
      </c>
      <c r="K21" s="100">
        <v>5</v>
      </c>
    </row>
    <row r="22" spans="1:11" ht="23.1" customHeight="1">
      <c r="A22" s="291" t="s">
        <v>49</v>
      </c>
      <c r="B22" s="44">
        <v>10</v>
      </c>
      <c r="C22" s="99">
        <v>14</v>
      </c>
      <c r="D22" s="99">
        <v>15</v>
      </c>
      <c r="E22" s="99">
        <v>6</v>
      </c>
      <c r="F22" s="99">
        <v>4</v>
      </c>
      <c r="G22" s="44">
        <v>8</v>
      </c>
      <c r="H22" s="99">
        <v>8</v>
      </c>
      <c r="I22" s="99">
        <v>9</v>
      </c>
      <c r="J22" s="99">
        <v>12</v>
      </c>
      <c r="K22" s="100">
        <v>5</v>
      </c>
    </row>
    <row r="23" spans="1:11" ht="23.1" customHeight="1">
      <c r="A23" s="291" t="s">
        <v>30</v>
      </c>
      <c r="B23" s="44">
        <v>1</v>
      </c>
      <c r="C23" s="99">
        <v>1</v>
      </c>
      <c r="D23" s="99">
        <v>3</v>
      </c>
      <c r="E23" s="99">
        <v>4</v>
      </c>
      <c r="F23" s="99" t="s">
        <v>6</v>
      </c>
      <c r="G23" s="99" t="s">
        <v>6</v>
      </c>
      <c r="H23" s="99" t="s">
        <v>6</v>
      </c>
      <c r="I23" s="99">
        <v>1</v>
      </c>
      <c r="J23" s="99">
        <v>3</v>
      </c>
      <c r="K23" s="100">
        <v>3</v>
      </c>
    </row>
    <row r="24" spans="1:11" ht="23.1" customHeight="1">
      <c r="A24" s="291" t="s">
        <v>38</v>
      </c>
      <c r="B24" s="44">
        <v>2</v>
      </c>
      <c r="C24" s="99">
        <v>10</v>
      </c>
      <c r="D24" s="99">
        <v>9</v>
      </c>
      <c r="E24" s="99">
        <v>5</v>
      </c>
      <c r="F24" s="99">
        <v>7</v>
      </c>
      <c r="G24" s="44">
        <v>10</v>
      </c>
      <c r="H24" s="99">
        <v>33</v>
      </c>
      <c r="I24" s="99">
        <v>10</v>
      </c>
      <c r="J24" s="99">
        <v>7</v>
      </c>
      <c r="K24" s="100">
        <v>3</v>
      </c>
    </row>
    <row r="25" spans="1:11" ht="23.1" customHeight="1">
      <c r="A25" s="291" t="s">
        <v>44</v>
      </c>
      <c r="B25" s="44">
        <v>11</v>
      </c>
      <c r="C25" s="99">
        <v>8</v>
      </c>
      <c r="D25" s="99">
        <v>9</v>
      </c>
      <c r="E25" s="99">
        <v>12</v>
      </c>
      <c r="F25" s="99">
        <v>19</v>
      </c>
      <c r="G25" s="44">
        <v>3</v>
      </c>
      <c r="H25" s="99">
        <v>5</v>
      </c>
      <c r="I25" s="99">
        <v>5</v>
      </c>
      <c r="J25" s="99">
        <v>1</v>
      </c>
      <c r="K25" s="100">
        <v>2</v>
      </c>
    </row>
    <row r="26" spans="1:11" ht="23.1" customHeight="1">
      <c r="A26" s="291" t="s">
        <v>53</v>
      </c>
      <c r="B26" s="99" t="s">
        <v>6</v>
      </c>
      <c r="C26" s="99" t="s">
        <v>6</v>
      </c>
      <c r="D26" s="99" t="s">
        <v>6</v>
      </c>
      <c r="E26" s="99" t="s">
        <v>6</v>
      </c>
      <c r="F26" s="99" t="s">
        <v>6</v>
      </c>
      <c r="G26" s="99" t="s">
        <v>6</v>
      </c>
      <c r="H26" s="99" t="s">
        <v>6</v>
      </c>
      <c r="I26" s="99">
        <v>1</v>
      </c>
      <c r="J26" s="99" t="s">
        <v>6</v>
      </c>
      <c r="K26" s="100">
        <v>1</v>
      </c>
    </row>
    <row r="27" spans="1:11" ht="23.1" customHeight="1">
      <c r="A27" s="291" t="s">
        <v>63</v>
      </c>
      <c r="B27" s="99" t="s">
        <v>6</v>
      </c>
      <c r="C27" s="99" t="s">
        <v>6</v>
      </c>
      <c r="D27" s="99" t="s">
        <v>6</v>
      </c>
      <c r="E27" s="99" t="s">
        <v>6</v>
      </c>
      <c r="F27" s="99" t="s">
        <v>6</v>
      </c>
      <c r="G27" s="99" t="s">
        <v>6</v>
      </c>
      <c r="H27" s="99" t="s">
        <v>6</v>
      </c>
      <c r="I27" s="99" t="s">
        <v>6</v>
      </c>
      <c r="J27" s="99" t="s">
        <v>6</v>
      </c>
      <c r="K27" s="100">
        <v>1</v>
      </c>
    </row>
    <row r="28" spans="1:11" ht="23.1" customHeight="1">
      <c r="A28" s="291" t="s">
        <v>59</v>
      </c>
      <c r="B28" s="99">
        <v>1</v>
      </c>
      <c r="C28" s="99">
        <v>5</v>
      </c>
      <c r="D28" s="99">
        <v>6</v>
      </c>
      <c r="E28" s="99" t="s">
        <v>6</v>
      </c>
      <c r="F28" s="99">
        <v>3</v>
      </c>
      <c r="G28" s="99" t="s">
        <v>6</v>
      </c>
      <c r="H28" s="99">
        <v>2</v>
      </c>
      <c r="I28" s="99" t="s">
        <v>6</v>
      </c>
      <c r="J28" s="99">
        <v>2</v>
      </c>
      <c r="K28" s="100">
        <v>1</v>
      </c>
    </row>
    <row r="29" spans="1:11" ht="23.1" customHeight="1">
      <c r="A29" s="291" t="s">
        <v>37</v>
      </c>
      <c r="B29" s="44">
        <v>1</v>
      </c>
      <c r="C29" s="99">
        <v>1</v>
      </c>
      <c r="D29" s="99" t="s">
        <v>6</v>
      </c>
      <c r="E29" s="99" t="s">
        <v>6</v>
      </c>
      <c r="F29" s="99">
        <v>1</v>
      </c>
      <c r="G29" s="44">
        <v>2</v>
      </c>
      <c r="H29" s="99" t="s">
        <v>6</v>
      </c>
      <c r="I29" s="99" t="s">
        <v>6</v>
      </c>
      <c r="J29" s="99" t="s">
        <v>6</v>
      </c>
      <c r="K29" s="100">
        <v>1</v>
      </c>
    </row>
    <row r="30" spans="1:11" ht="23.1" customHeight="1">
      <c r="A30" s="291" t="s">
        <v>56</v>
      </c>
      <c r="B30" s="99">
        <v>2</v>
      </c>
      <c r="C30" s="99" t="s">
        <v>6</v>
      </c>
      <c r="D30" s="99" t="s">
        <v>6</v>
      </c>
      <c r="E30" s="99">
        <v>1</v>
      </c>
      <c r="F30" s="99">
        <v>1</v>
      </c>
      <c r="G30" s="99">
        <v>2</v>
      </c>
      <c r="H30" s="99">
        <v>3</v>
      </c>
      <c r="I30" s="99">
        <v>9</v>
      </c>
      <c r="J30" s="99">
        <v>9</v>
      </c>
      <c r="K30" s="100">
        <v>1</v>
      </c>
    </row>
    <row r="31" spans="1:11" ht="31.5">
      <c r="A31" s="291" t="s">
        <v>32</v>
      </c>
      <c r="B31" s="99" t="s">
        <v>6</v>
      </c>
      <c r="C31" s="99">
        <v>1</v>
      </c>
      <c r="D31" s="99">
        <v>1</v>
      </c>
      <c r="E31" s="99" t="s">
        <v>6</v>
      </c>
      <c r="F31" s="99" t="s">
        <v>6</v>
      </c>
      <c r="G31" s="99" t="s">
        <v>6</v>
      </c>
      <c r="H31" s="99" t="s">
        <v>6</v>
      </c>
      <c r="I31" s="99">
        <v>2</v>
      </c>
      <c r="J31" s="99" t="s">
        <v>6</v>
      </c>
      <c r="K31" s="100" t="s">
        <v>6</v>
      </c>
    </row>
    <row r="32" spans="1:11" ht="23.1" customHeight="1">
      <c r="A32" s="291" t="s">
        <v>35</v>
      </c>
      <c r="B32" s="99" t="s">
        <v>6</v>
      </c>
      <c r="C32" s="99">
        <v>2</v>
      </c>
      <c r="D32" s="99" t="s">
        <v>6</v>
      </c>
      <c r="E32" s="99" t="s">
        <v>6</v>
      </c>
      <c r="F32" s="99" t="s">
        <v>6</v>
      </c>
      <c r="G32" s="99" t="s">
        <v>6</v>
      </c>
      <c r="H32" s="99" t="s">
        <v>6</v>
      </c>
      <c r="I32" s="99" t="s">
        <v>6</v>
      </c>
      <c r="J32" s="99" t="s">
        <v>6</v>
      </c>
      <c r="K32" s="100" t="s">
        <v>6</v>
      </c>
    </row>
    <row r="33" spans="1:11" ht="23.1" customHeight="1">
      <c r="A33" s="291" t="s">
        <v>42</v>
      </c>
      <c r="B33" s="44">
        <v>1</v>
      </c>
      <c r="C33" s="99">
        <v>6</v>
      </c>
      <c r="D33" s="99">
        <v>1</v>
      </c>
      <c r="E33" s="99">
        <v>1</v>
      </c>
      <c r="F33" s="99" t="s">
        <v>6</v>
      </c>
      <c r="G33" s="99" t="s">
        <v>6</v>
      </c>
      <c r="H33" s="99" t="s">
        <v>6</v>
      </c>
      <c r="I33" s="99" t="s">
        <v>6</v>
      </c>
      <c r="J33" s="99" t="s">
        <v>6</v>
      </c>
      <c r="K33" s="100" t="s">
        <v>6</v>
      </c>
    </row>
    <row r="34" spans="1:11" ht="23.1" customHeight="1">
      <c r="A34" s="291" t="s">
        <v>45</v>
      </c>
      <c r="B34" s="99" t="s">
        <v>6</v>
      </c>
      <c r="C34" s="99">
        <v>1</v>
      </c>
      <c r="D34" s="99" t="s">
        <v>6</v>
      </c>
      <c r="E34" s="99" t="s">
        <v>6</v>
      </c>
      <c r="F34" s="99" t="s">
        <v>6</v>
      </c>
      <c r="G34" s="99" t="s">
        <v>6</v>
      </c>
      <c r="H34" s="99" t="s">
        <v>6</v>
      </c>
      <c r="I34" s="99">
        <v>1</v>
      </c>
      <c r="J34" s="99" t="s">
        <v>6</v>
      </c>
      <c r="K34" s="100" t="s">
        <v>6</v>
      </c>
    </row>
    <row r="35" spans="1:11" ht="23.1" customHeight="1">
      <c r="A35" s="291" t="s">
        <v>57</v>
      </c>
      <c r="B35" s="99" t="s">
        <v>6</v>
      </c>
      <c r="C35" s="99" t="s">
        <v>6</v>
      </c>
      <c r="D35" s="99" t="s">
        <v>6</v>
      </c>
      <c r="E35" s="99" t="s">
        <v>6</v>
      </c>
      <c r="F35" s="99" t="s">
        <v>6</v>
      </c>
      <c r="G35" s="99" t="s">
        <v>6</v>
      </c>
      <c r="H35" s="99" t="s">
        <v>6</v>
      </c>
      <c r="I35" s="99">
        <v>1</v>
      </c>
      <c r="J35" s="99" t="s">
        <v>6</v>
      </c>
      <c r="K35" s="100" t="s">
        <v>6</v>
      </c>
    </row>
    <row r="36" spans="1:11" ht="23.1" customHeight="1">
      <c r="A36" s="291" t="s">
        <v>46</v>
      </c>
      <c r="B36" s="44">
        <v>1</v>
      </c>
      <c r="C36" s="99" t="s">
        <v>6</v>
      </c>
      <c r="D36" s="99" t="s">
        <v>6</v>
      </c>
      <c r="E36" s="99" t="s">
        <v>6</v>
      </c>
      <c r="F36" s="99" t="s">
        <v>6</v>
      </c>
      <c r="G36" s="99" t="s">
        <v>6</v>
      </c>
      <c r="H36" s="99" t="s">
        <v>6</v>
      </c>
      <c r="I36" s="99" t="s">
        <v>6</v>
      </c>
      <c r="J36" s="99">
        <v>2</v>
      </c>
      <c r="K36" s="100" t="s">
        <v>6</v>
      </c>
    </row>
    <row r="37" spans="1:11" ht="23.1" customHeight="1">
      <c r="A37" s="291" t="s">
        <v>54</v>
      </c>
      <c r="B37" s="99" t="s">
        <v>6</v>
      </c>
      <c r="C37" s="99" t="s">
        <v>6</v>
      </c>
      <c r="D37" s="99" t="s">
        <v>6</v>
      </c>
      <c r="E37" s="99" t="s">
        <v>6</v>
      </c>
      <c r="F37" s="99">
        <v>1</v>
      </c>
      <c r="G37" s="99" t="s">
        <v>6</v>
      </c>
      <c r="H37" s="99" t="s">
        <v>6</v>
      </c>
      <c r="I37" s="99" t="s">
        <v>6</v>
      </c>
      <c r="J37" s="99">
        <v>1</v>
      </c>
      <c r="K37" s="100" t="s">
        <v>6</v>
      </c>
    </row>
    <row r="38" spans="1:11" ht="23.1" customHeight="1">
      <c r="A38" s="291" t="s">
        <v>64</v>
      </c>
      <c r="B38" s="44">
        <v>3</v>
      </c>
      <c r="C38" s="99" t="s">
        <v>6</v>
      </c>
      <c r="D38" s="99" t="s">
        <v>6</v>
      </c>
      <c r="E38" s="99" t="s">
        <v>6</v>
      </c>
      <c r="F38" s="99" t="s">
        <v>6</v>
      </c>
      <c r="G38" s="99" t="s">
        <v>6</v>
      </c>
      <c r="H38" s="99" t="s">
        <v>6</v>
      </c>
      <c r="I38" s="99" t="s">
        <v>6</v>
      </c>
      <c r="J38" s="99">
        <v>1</v>
      </c>
      <c r="K38" s="100" t="s">
        <v>6</v>
      </c>
    </row>
    <row r="39" spans="1:11" ht="23.1" customHeight="1">
      <c r="A39" s="291" t="s">
        <v>55</v>
      </c>
      <c r="B39" s="99">
        <v>2</v>
      </c>
      <c r="C39" s="99" t="s">
        <v>6</v>
      </c>
      <c r="D39" s="99" t="s">
        <v>6</v>
      </c>
      <c r="E39" s="99" t="s">
        <v>6</v>
      </c>
      <c r="F39" s="99">
        <v>1</v>
      </c>
      <c r="G39" s="44">
        <v>17</v>
      </c>
      <c r="H39" s="99">
        <v>5</v>
      </c>
      <c r="I39" s="99">
        <v>2</v>
      </c>
      <c r="J39" s="99" t="s">
        <v>6</v>
      </c>
      <c r="K39" s="100" t="s">
        <v>6</v>
      </c>
    </row>
    <row r="40" spans="1:11" ht="23.1" customHeight="1">
      <c r="A40" s="291" t="s">
        <v>43</v>
      </c>
      <c r="B40" s="99" t="s">
        <v>6</v>
      </c>
      <c r="C40" s="99">
        <v>2</v>
      </c>
      <c r="D40" s="99">
        <v>2</v>
      </c>
      <c r="E40" s="99" t="s">
        <v>6</v>
      </c>
      <c r="F40" s="99">
        <v>1</v>
      </c>
      <c r="G40" s="44">
        <v>3</v>
      </c>
      <c r="H40" s="99" t="s">
        <v>6</v>
      </c>
      <c r="I40" s="99" t="s">
        <v>6</v>
      </c>
      <c r="J40" s="99" t="s">
        <v>6</v>
      </c>
      <c r="K40" s="100" t="s">
        <v>6</v>
      </c>
    </row>
    <row r="41" spans="1:11" ht="31.5">
      <c r="A41" s="291" t="s">
        <v>60</v>
      </c>
      <c r="B41" s="99">
        <v>1</v>
      </c>
      <c r="C41" s="99" t="s">
        <v>6</v>
      </c>
      <c r="D41" s="99">
        <v>2</v>
      </c>
      <c r="E41" s="99">
        <v>4</v>
      </c>
      <c r="F41" s="99" t="s">
        <v>6</v>
      </c>
      <c r="G41" s="99">
        <v>2</v>
      </c>
      <c r="H41" s="99" t="s">
        <v>6</v>
      </c>
      <c r="I41" s="99" t="s">
        <v>6</v>
      </c>
      <c r="J41" s="99" t="s">
        <v>6</v>
      </c>
      <c r="K41" s="100" t="s">
        <v>6</v>
      </c>
    </row>
    <row r="42" spans="1:11" ht="23.1" customHeight="1">
      <c r="A42" s="291" t="s">
        <v>50</v>
      </c>
      <c r="B42" s="44">
        <v>1</v>
      </c>
      <c r="C42" s="99">
        <v>4</v>
      </c>
      <c r="D42" s="99" t="s">
        <v>6</v>
      </c>
      <c r="E42" s="99">
        <v>2</v>
      </c>
      <c r="F42" s="99">
        <v>1</v>
      </c>
      <c r="G42" s="44">
        <v>2</v>
      </c>
      <c r="H42" s="99">
        <v>1</v>
      </c>
      <c r="I42" s="99">
        <v>4</v>
      </c>
      <c r="J42" s="99">
        <v>2</v>
      </c>
      <c r="K42" s="100" t="s">
        <v>6</v>
      </c>
    </row>
    <row r="43" spans="1:11" ht="23.1" customHeight="1">
      <c r="A43" s="291" t="s">
        <v>36</v>
      </c>
      <c r="B43" s="44">
        <v>1</v>
      </c>
      <c r="C43" s="99" t="s">
        <v>6</v>
      </c>
      <c r="D43" s="99" t="s">
        <v>6</v>
      </c>
      <c r="E43" s="99" t="s">
        <v>6</v>
      </c>
      <c r="F43" s="99" t="s">
        <v>6</v>
      </c>
      <c r="G43" s="44">
        <v>1</v>
      </c>
      <c r="H43" s="99">
        <v>1</v>
      </c>
      <c r="I43" s="99" t="s">
        <v>6</v>
      </c>
      <c r="J43" s="99" t="s">
        <v>6</v>
      </c>
      <c r="K43" s="100" t="s">
        <v>6</v>
      </c>
    </row>
    <row r="44" spans="1:11" ht="23.1" customHeight="1">
      <c r="A44" s="291" t="s">
        <v>51</v>
      </c>
      <c r="B44" s="99" t="s">
        <v>6</v>
      </c>
      <c r="C44" s="99" t="s">
        <v>6</v>
      </c>
      <c r="D44" s="99" t="s">
        <v>6</v>
      </c>
      <c r="E44" s="99" t="s">
        <v>6</v>
      </c>
      <c r="F44" s="99" t="s">
        <v>6</v>
      </c>
      <c r="G44" s="44">
        <v>1</v>
      </c>
      <c r="H44" s="99">
        <v>5</v>
      </c>
      <c r="I44" s="99" t="s">
        <v>6</v>
      </c>
      <c r="J44" s="99" t="s">
        <v>6</v>
      </c>
      <c r="K44" s="100" t="s">
        <v>6</v>
      </c>
    </row>
    <row r="45" spans="1:11" ht="23.1" customHeight="1">
      <c r="A45" s="291" t="s">
        <v>58</v>
      </c>
      <c r="B45" s="99" t="s">
        <v>6</v>
      </c>
      <c r="C45" s="99" t="s">
        <v>6</v>
      </c>
      <c r="D45" s="99">
        <v>2</v>
      </c>
      <c r="E45" s="99" t="s">
        <v>6</v>
      </c>
      <c r="F45" s="99">
        <v>1</v>
      </c>
      <c r="G45" s="99">
        <v>1</v>
      </c>
      <c r="H45" s="99">
        <v>2</v>
      </c>
      <c r="I45" s="99">
        <v>1</v>
      </c>
      <c r="J45" s="99" t="s">
        <v>6</v>
      </c>
      <c r="K45" s="100" t="s">
        <v>6</v>
      </c>
    </row>
    <row r="46" spans="1:11" ht="23.1" customHeight="1">
      <c r="A46" s="291" t="s">
        <v>62</v>
      </c>
      <c r="B46" s="99" t="s">
        <v>6</v>
      </c>
      <c r="C46" s="99">
        <v>1</v>
      </c>
      <c r="D46" s="99" t="s">
        <v>6</v>
      </c>
      <c r="E46" s="99">
        <v>1</v>
      </c>
      <c r="F46" s="99">
        <v>16</v>
      </c>
      <c r="G46" s="99">
        <v>1</v>
      </c>
      <c r="H46" s="99">
        <v>7</v>
      </c>
      <c r="I46" s="99" t="s">
        <v>6</v>
      </c>
      <c r="J46" s="99">
        <v>4</v>
      </c>
      <c r="K46" s="100" t="s">
        <v>6</v>
      </c>
    </row>
    <row r="47" spans="1:11" ht="23.1" customHeight="1">
      <c r="A47" s="435" t="s">
        <v>439</v>
      </c>
      <c r="B47" s="94">
        <v>87</v>
      </c>
      <c r="C47" s="101">
        <v>130</v>
      </c>
      <c r="D47" s="101">
        <v>177</v>
      </c>
      <c r="E47" s="101">
        <v>154</v>
      </c>
      <c r="F47" s="101">
        <v>190</v>
      </c>
      <c r="G47" s="101">
        <v>220</v>
      </c>
      <c r="H47" s="101">
        <v>232</v>
      </c>
      <c r="I47" s="101">
        <v>208</v>
      </c>
      <c r="J47" s="101">
        <v>165</v>
      </c>
      <c r="K47" s="102">
        <v>119</v>
      </c>
    </row>
    <row r="48" spans="1:11">
      <c r="A48" s="428" t="s">
        <v>436</v>
      </c>
    </row>
  </sheetData>
  <sortState ref="A4:K48">
    <sortCondition descending="1" ref="K4:K48"/>
  </sortState>
  <mergeCells count="1">
    <mergeCell ref="A1:K1"/>
  </mergeCells>
  <phoneticPr fontId="61" type="noConversion"/>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S24"/>
  <sheetViews>
    <sheetView showGridLines="0" showRuler="0" zoomScaleNormal="100" zoomScalePageLayoutView="125" workbookViewId="0">
      <selection activeCell="B18" sqref="B18:D18"/>
    </sheetView>
  </sheetViews>
  <sheetFormatPr defaultColWidth="9" defaultRowHeight="15.75"/>
  <cols>
    <col min="1" max="1" width="15.875" style="1795" customWidth="1"/>
    <col min="2" max="3" width="9" style="1795"/>
    <col min="4" max="4" width="8.875" style="1795" customWidth="1"/>
    <col min="5" max="7" width="9" style="1795"/>
    <col min="8" max="8" width="10" style="1795" bestFit="1" customWidth="1"/>
    <col min="9" max="9" width="10.125" style="1795" customWidth="1"/>
    <col min="10" max="16384" width="9" style="1795"/>
  </cols>
  <sheetData>
    <row r="1" spans="1:19" ht="23.25" customHeight="1">
      <c r="A1" s="3733" t="s">
        <v>3020</v>
      </c>
      <c r="B1" s="3733"/>
      <c r="C1" s="3733"/>
      <c r="D1" s="3733"/>
      <c r="E1" s="3733"/>
      <c r="F1" s="3733"/>
      <c r="G1" s="3733"/>
      <c r="H1" s="3733"/>
      <c r="I1" s="3733"/>
      <c r="J1" s="3733"/>
      <c r="K1" s="3733"/>
      <c r="L1" s="2052"/>
      <c r="M1" s="2052"/>
      <c r="N1" s="2052"/>
      <c r="O1" s="2052"/>
      <c r="P1" s="2052"/>
      <c r="Q1" s="2052"/>
      <c r="R1" s="2052"/>
      <c r="S1" s="2052"/>
    </row>
    <row r="2" spans="1:19" ht="19.350000000000001" customHeight="1">
      <c r="A2" s="1832"/>
      <c r="B2" s="3722" t="s">
        <v>2995</v>
      </c>
      <c r="C2" s="3734"/>
      <c r="D2" s="3730" t="s">
        <v>2996</v>
      </c>
      <c r="E2" s="3734"/>
      <c r="F2" s="3730" t="s">
        <v>2997</v>
      </c>
      <c r="G2" s="3722"/>
      <c r="H2" s="3803" t="s">
        <v>2999</v>
      </c>
      <c r="I2" s="3799" t="s">
        <v>2998</v>
      </c>
      <c r="J2" s="3803" t="s">
        <v>3000</v>
      </c>
      <c r="K2" s="3799"/>
    </row>
    <row r="3" spans="1:19" s="1960" customFormat="1" ht="19.350000000000001" customHeight="1">
      <c r="A3" s="1833"/>
      <c r="B3" s="1927" t="s">
        <v>3001</v>
      </c>
      <c r="C3" s="1859" t="s">
        <v>3002</v>
      </c>
      <c r="D3" s="1927" t="s">
        <v>3001</v>
      </c>
      <c r="E3" s="1859" t="s">
        <v>3002</v>
      </c>
      <c r="F3" s="1927" t="s">
        <v>3001</v>
      </c>
      <c r="G3" s="1859" t="s">
        <v>3002</v>
      </c>
      <c r="H3" s="1927" t="s">
        <v>3001</v>
      </c>
      <c r="I3" s="1859" t="s">
        <v>3002</v>
      </c>
      <c r="J3" s="1927" t="s">
        <v>3001</v>
      </c>
      <c r="K3" s="1788" t="s">
        <v>3002</v>
      </c>
    </row>
    <row r="4" spans="1:19" ht="19.350000000000001" customHeight="1">
      <c r="A4" s="1997" t="s">
        <v>3017</v>
      </c>
      <c r="B4" s="2032">
        <v>302</v>
      </c>
      <c r="C4" s="2009">
        <v>100</v>
      </c>
      <c r="D4" s="2032">
        <v>362</v>
      </c>
      <c r="E4" s="2009">
        <v>100</v>
      </c>
      <c r="F4" s="2032">
        <v>378</v>
      </c>
      <c r="G4" s="2009">
        <v>100</v>
      </c>
      <c r="H4" s="2032">
        <v>388</v>
      </c>
      <c r="I4" s="2009">
        <v>100</v>
      </c>
      <c r="J4" s="2032">
        <v>409</v>
      </c>
      <c r="K4" s="2009">
        <v>100</v>
      </c>
    </row>
    <row r="5" spans="1:19" ht="19.350000000000001" customHeight="1">
      <c r="A5" s="299" t="s">
        <v>3021</v>
      </c>
      <c r="B5" s="2032">
        <v>113</v>
      </c>
      <c r="C5" s="2009">
        <v>37.41721854304636</v>
      </c>
      <c r="D5" s="2032">
        <v>119</v>
      </c>
      <c r="E5" s="2009">
        <v>32.872928176795583</v>
      </c>
      <c r="F5" s="2032">
        <v>151</v>
      </c>
      <c r="G5" s="2009">
        <v>39.94708994708995</v>
      </c>
      <c r="H5" s="2032">
        <v>136</v>
      </c>
      <c r="I5" s="2009">
        <v>35.051546391752574</v>
      </c>
      <c r="J5" s="2032">
        <v>136</v>
      </c>
      <c r="K5" s="2009">
        <v>33.251833740831295</v>
      </c>
    </row>
    <row r="6" spans="1:19" ht="19.350000000000001" customHeight="1">
      <c r="A6" s="299" t="s">
        <v>2858</v>
      </c>
      <c r="B6" s="2032">
        <v>124</v>
      </c>
      <c r="C6" s="2009">
        <v>41.059602649006621</v>
      </c>
      <c r="D6" s="2032">
        <v>145</v>
      </c>
      <c r="E6" s="2009">
        <v>40.055248618784525</v>
      </c>
      <c r="F6" s="2032">
        <v>148</v>
      </c>
      <c r="G6" s="2009">
        <v>39.153439153439152</v>
      </c>
      <c r="H6" s="2032">
        <v>171</v>
      </c>
      <c r="I6" s="2009">
        <v>44.072164948453604</v>
      </c>
      <c r="J6" s="2032">
        <v>171</v>
      </c>
      <c r="K6" s="2009">
        <v>41.809290953545229</v>
      </c>
    </row>
    <row r="7" spans="1:19" ht="19.350000000000001" customHeight="1">
      <c r="A7" s="299" t="s">
        <v>3022</v>
      </c>
      <c r="B7" s="2032">
        <v>18</v>
      </c>
      <c r="C7" s="2009">
        <v>5.9602649006622519</v>
      </c>
      <c r="D7" s="2032">
        <v>37</v>
      </c>
      <c r="E7" s="2009">
        <v>10.220994475138122</v>
      </c>
      <c r="F7" s="2032">
        <v>33</v>
      </c>
      <c r="G7" s="2009">
        <v>8.7301587301587293</v>
      </c>
      <c r="H7" s="2032">
        <v>39</v>
      </c>
      <c r="I7" s="2009">
        <v>10.051546391752577</v>
      </c>
      <c r="J7" s="2032">
        <v>39</v>
      </c>
      <c r="K7" s="2009">
        <v>9.5354523227383865</v>
      </c>
    </row>
    <row r="8" spans="1:19" ht="19.350000000000001" customHeight="1">
      <c r="A8" s="299" t="s">
        <v>3023</v>
      </c>
      <c r="B8" s="2032">
        <v>25</v>
      </c>
      <c r="C8" s="2009">
        <v>8.2781456953642394</v>
      </c>
      <c r="D8" s="2032">
        <v>32</v>
      </c>
      <c r="E8" s="2009">
        <v>8.8397790055248606</v>
      </c>
      <c r="F8" s="2032">
        <v>16</v>
      </c>
      <c r="G8" s="2009">
        <v>4.2328042328042326</v>
      </c>
      <c r="H8" s="2032">
        <v>19</v>
      </c>
      <c r="I8" s="2009">
        <v>4.8969072164948457</v>
      </c>
      <c r="J8" s="2032">
        <v>19</v>
      </c>
      <c r="K8" s="2009">
        <v>4.6454767726161368</v>
      </c>
    </row>
    <row r="9" spans="1:19" ht="19.350000000000001" customHeight="1">
      <c r="A9" s="299" t="s">
        <v>3024</v>
      </c>
      <c r="B9" s="2032">
        <v>10</v>
      </c>
      <c r="C9" s="2009">
        <v>3.3112582781456954</v>
      </c>
      <c r="D9" s="2032">
        <v>9</v>
      </c>
      <c r="E9" s="2009">
        <v>2.4861878453038675</v>
      </c>
      <c r="F9" s="2032">
        <v>6</v>
      </c>
      <c r="G9" s="2009">
        <v>1.5873015873015872</v>
      </c>
      <c r="H9" s="2032">
        <v>5</v>
      </c>
      <c r="I9" s="2009">
        <v>1.2886597938144329</v>
      </c>
      <c r="J9" s="2032">
        <v>5</v>
      </c>
      <c r="K9" s="2009">
        <v>1.2224938875305624</v>
      </c>
    </row>
    <row r="10" spans="1:19" ht="19.350000000000001" customHeight="1">
      <c r="A10" s="299" t="s">
        <v>2855</v>
      </c>
      <c r="B10" s="2032">
        <v>2</v>
      </c>
      <c r="C10" s="2009">
        <v>0.66225165562913912</v>
      </c>
      <c r="D10" s="2032">
        <v>4</v>
      </c>
      <c r="E10" s="2009">
        <v>1.1049723756906076</v>
      </c>
      <c r="F10" s="2032">
        <v>5</v>
      </c>
      <c r="G10" s="2009">
        <v>1.3227513227513228</v>
      </c>
      <c r="H10" s="2032">
        <v>4</v>
      </c>
      <c r="I10" s="2009">
        <v>1.0309278350515463</v>
      </c>
      <c r="J10" s="2032">
        <v>4</v>
      </c>
      <c r="K10" s="2009">
        <v>0.97799511002444983</v>
      </c>
    </row>
    <row r="11" spans="1:19" ht="19.350000000000001" customHeight="1" thickBot="1">
      <c r="A11" s="299" t="s">
        <v>2418</v>
      </c>
      <c r="B11" s="2032">
        <v>10</v>
      </c>
      <c r="C11" s="2009">
        <v>3.3112582781456954</v>
      </c>
      <c r="D11" s="2032">
        <v>16</v>
      </c>
      <c r="E11" s="2009">
        <v>4.4198895027624303</v>
      </c>
      <c r="F11" s="2032">
        <v>19</v>
      </c>
      <c r="G11" s="2009">
        <v>5.0264550264550261</v>
      </c>
      <c r="H11" s="2032">
        <v>14</v>
      </c>
      <c r="I11" s="2009">
        <v>3.608247422680412</v>
      </c>
      <c r="J11" s="2032">
        <v>14</v>
      </c>
      <c r="K11" s="2009">
        <v>3.4229828850855744</v>
      </c>
    </row>
    <row r="12" spans="1:19" ht="19.350000000000001" customHeight="1">
      <c r="A12" s="1974"/>
      <c r="B12" s="3814" t="s">
        <v>3010</v>
      </c>
      <c r="C12" s="3830"/>
      <c r="D12" s="3813" t="s">
        <v>3011</v>
      </c>
      <c r="E12" s="3830"/>
      <c r="F12" s="3813" t="s">
        <v>2968</v>
      </c>
      <c r="G12" s="3830"/>
      <c r="H12" s="3813" t="s">
        <v>2752</v>
      </c>
      <c r="I12" s="3830"/>
      <c r="J12" s="3813" t="s">
        <v>3014</v>
      </c>
      <c r="K12" s="3814"/>
    </row>
    <row r="13" spans="1:19" s="1960" customFormat="1" ht="19.350000000000001" customHeight="1">
      <c r="A13" s="1833"/>
      <c r="B13" s="1927" t="s">
        <v>2563</v>
      </c>
      <c r="C13" s="1859" t="s">
        <v>3002</v>
      </c>
      <c r="D13" s="1927" t="s">
        <v>3001</v>
      </c>
      <c r="E13" s="1859" t="s">
        <v>2102</v>
      </c>
      <c r="F13" s="1927" t="s">
        <v>3001</v>
      </c>
      <c r="G13" s="1859" t="s">
        <v>3002</v>
      </c>
      <c r="H13" s="1927" t="s">
        <v>3001</v>
      </c>
      <c r="I13" s="1859" t="s">
        <v>2102</v>
      </c>
      <c r="J13" s="1927" t="s">
        <v>2563</v>
      </c>
      <c r="K13" s="1788" t="s">
        <v>3002</v>
      </c>
    </row>
    <row r="14" spans="1:19" ht="19.350000000000001" customHeight="1">
      <c r="A14" s="1997" t="s">
        <v>3017</v>
      </c>
      <c r="B14" s="2032">
        <v>279</v>
      </c>
      <c r="C14" s="2009">
        <v>100</v>
      </c>
      <c r="D14" s="2032">
        <v>261</v>
      </c>
      <c r="E14" s="2009">
        <v>100</v>
      </c>
      <c r="F14" s="2032">
        <v>293</v>
      </c>
      <c r="G14" s="2009">
        <v>100</v>
      </c>
      <c r="H14" s="2032">
        <v>325</v>
      </c>
      <c r="I14" s="2009">
        <v>100</v>
      </c>
      <c r="J14" s="2032">
        <v>236</v>
      </c>
      <c r="K14" s="2009">
        <v>100</v>
      </c>
    </row>
    <row r="15" spans="1:19" ht="19.350000000000001" customHeight="1">
      <c r="A15" s="299" t="s">
        <v>3025</v>
      </c>
      <c r="B15" s="2032">
        <v>111</v>
      </c>
      <c r="C15" s="2009">
        <v>39.784946236559136</v>
      </c>
      <c r="D15" s="2032">
        <v>102</v>
      </c>
      <c r="E15" s="2009">
        <v>39.080459770114942</v>
      </c>
      <c r="F15" s="2032">
        <v>135</v>
      </c>
      <c r="G15" s="2009">
        <v>46.075085324232084</v>
      </c>
      <c r="H15" s="2032">
        <v>143</v>
      </c>
      <c r="I15" s="2009">
        <v>44</v>
      </c>
      <c r="J15" s="2032">
        <v>104</v>
      </c>
      <c r="K15" s="2009">
        <v>44.067796610169488</v>
      </c>
    </row>
    <row r="16" spans="1:19" ht="19.350000000000001" customHeight="1">
      <c r="A16" s="299" t="s">
        <v>3026</v>
      </c>
      <c r="B16" s="2032">
        <v>102</v>
      </c>
      <c r="C16" s="2009">
        <v>36.55913978494624</v>
      </c>
      <c r="D16" s="2032">
        <v>110</v>
      </c>
      <c r="E16" s="2009">
        <v>42.145593869731798</v>
      </c>
      <c r="F16" s="2032">
        <v>103</v>
      </c>
      <c r="G16" s="2009">
        <v>35.153583617747444</v>
      </c>
      <c r="H16" s="2032">
        <v>110</v>
      </c>
      <c r="I16" s="2009">
        <v>33.846153846153847</v>
      </c>
      <c r="J16" s="2032">
        <v>69</v>
      </c>
      <c r="K16" s="2009">
        <v>29.237288135593221</v>
      </c>
    </row>
    <row r="17" spans="1:11" ht="19.350000000000001" customHeight="1">
      <c r="A17" s="299" t="s">
        <v>3027</v>
      </c>
      <c r="B17" s="2032">
        <v>22</v>
      </c>
      <c r="C17" s="2009">
        <v>7.8853046594982077</v>
      </c>
      <c r="D17" s="2032">
        <v>12</v>
      </c>
      <c r="E17" s="2009">
        <v>4.5977011494252871</v>
      </c>
      <c r="F17" s="2032">
        <v>18</v>
      </c>
      <c r="G17" s="2009">
        <v>6.1433447098976108</v>
      </c>
      <c r="H17" s="2032">
        <v>25</v>
      </c>
      <c r="I17" s="2009">
        <v>7.6923076923076925</v>
      </c>
      <c r="J17" s="2032">
        <v>18</v>
      </c>
      <c r="K17" s="2009">
        <v>7.6271186440677967</v>
      </c>
    </row>
    <row r="18" spans="1:11" ht="19.350000000000001" customHeight="1">
      <c r="A18" s="299" t="s">
        <v>3028</v>
      </c>
      <c r="B18" s="2032">
        <v>12</v>
      </c>
      <c r="C18" s="2009">
        <v>4.3010752688172049</v>
      </c>
      <c r="D18" s="2032">
        <v>13</v>
      </c>
      <c r="E18" s="2009">
        <v>4.980842911877394</v>
      </c>
      <c r="F18" s="2032">
        <v>18</v>
      </c>
      <c r="G18" s="2009">
        <v>6.1433447098976108</v>
      </c>
      <c r="H18" s="2032">
        <v>23</v>
      </c>
      <c r="I18" s="2009">
        <v>7.0769230769230766</v>
      </c>
      <c r="J18" s="2032">
        <v>18</v>
      </c>
      <c r="K18" s="2009">
        <v>7.6271186440677967</v>
      </c>
    </row>
    <row r="19" spans="1:11" ht="19.350000000000001" customHeight="1">
      <c r="A19" s="299" t="s">
        <v>3024</v>
      </c>
      <c r="B19" s="2032">
        <v>11</v>
      </c>
      <c r="C19" s="2009">
        <v>3.9426523297491038</v>
      </c>
      <c r="D19" s="2032">
        <v>7</v>
      </c>
      <c r="E19" s="2009">
        <v>2.6819923371647509</v>
      </c>
      <c r="F19" s="2032">
        <v>2</v>
      </c>
      <c r="G19" s="2009">
        <v>0.68259385665529015</v>
      </c>
      <c r="H19" s="2032">
        <v>11</v>
      </c>
      <c r="I19" s="2009">
        <v>3.3846153846153846</v>
      </c>
      <c r="J19" s="2032">
        <v>8</v>
      </c>
      <c r="K19" s="2009">
        <v>3.3898305084745761</v>
      </c>
    </row>
    <row r="20" spans="1:11" ht="19.350000000000001" customHeight="1">
      <c r="A20" s="299" t="s">
        <v>2855</v>
      </c>
      <c r="B20" s="2032">
        <v>1</v>
      </c>
      <c r="C20" s="2009">
        <v>0.35842293906810035</v>
      </c>
      <c r="D20" s="2032">
        <v>4</v>
      </c>
      <c r="E20" s="2009">
        <v>1.5325670498084289</v>
      </c>
      <c r="F20" s="2032">
        <v>3</v>
      </c>
      <c r="G20" s="2009">
        <v>1.0238907849829351</v>
      </c>
      <c r="H20" s="2032">
        <v>3</v>
      </c>
      <c r="I20" s="2009">
        <v>0.92307692307692313</v>
      </c>
      <c r="J20" s="2032">
        <v>2</v>
      </c>
      <c r="K20" s="2009">
        <v>0.84745762711864403</v>
      </c>
    </row>
    <row r="21" spans="1:11" ht="19.350000000000001" customHeight="1">
      <c r="A21" s="1944" t="s">
        <v>3029</v>
      </c>
      <c r="B21" s="2040">
        <v>20</v>
      </c>
      <c r="C21" s="2077">
        <v>7.1684587813620064</v>
      </c>
      <c r="D21" s="2040">
        <v>13</v>
      </c>
      <c r="E21" s="2077">
        <v>4.980842911877394</v>
      </c>
      <c r="F21" s="2040">
        <v>14</v>
      </c>
      <c r="G21" s="2077">
        <v>4.7781569965870307</v>
      </c>
      <c r="H21" s="2040">
        <v>10</v>
      </c>
      <c r="I21" s="2077">
        <v>3.0769230769230771</v>
      </c>
      <c r="J21" s="2040">
        <v>17</v>
      </c>
      <c r="K21" s="2077">
        <v>7.2033898305084749</v>
      </c>
    </row>
    <row r="22" spans="1:11">
      <c r="A22" s="3847" t="s">
        <v>3030</v>
      </c>
      <c r="B22" s="3849"/>
      <c r="C22" s="3849"/>
      <c r="D22" s="3849"/>
      <c r="E22" s="3849"/>
      <c r="F22" s="3849"/>
      <c r="G22" s="3849"/>
      <c r="H22" s="3849"/>
      <c r="J22" s="2049"/>
      <c r="K22" s="2049"/>
    </row>
    <row r="23" spans="1:11">
      <c r="A23" s="3759" t="s">
        <v>3019</v>
      </c>
      <c r="B23" s="3759"/>
      <c r="C23" s="3759"/>
      <c r="D23" s="3759"/>
      <c r="E23" s="3759"/>
      <c r="F23" s="3759"/>
      <c r="I23" s="2051"/>
    </row>
    <row r="24" spans="1:11">
      <c r="A24" s="3840"/>
      <c r="B24" s="3820"/>
      <c r="C24" s="3820"/>
      <c r="D24" s="3820"/>
      <c r="E24" s="3820"/>
    </row>
  </sheetData>
  <mergeCells count="14">
    <mergeCell ref="A23:F23"/>
    <mergeCell ref="A24:E24"/>
    <mergeCell ref="B12:C12"/>
    <mergeCell ref="D12:E12"/>
    <mergeCell ref="F12:G12"/>
    <mergeCell ref="H12:I12"/>
    <mergeCell ref="J12:K12"/>
    <mergeCell ref="A22:H22"/>
    <mergeCell ref="A1:K1"/>
    <mergeCell ref="B2:C2"/>
    <mergeCell ref="D2:E2"/>
    <mergeCell ref="F2:G2"/>
    <mergeCell ref="H2:I2"/>
    <mergeCell ref="J2:K2"/>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65"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X25"/>
  <sheetViews>
    <sheetView showGridLines="0" showRuler="0" topLeftCell="A7" zoomScale="90" zoomScaleNormal="90" zoomScalePageLayoutView="125" workbookViewId="0">
      <selection activeCell="B18" sqref="B18:D18"/>
    </sheetView>
  </sheetViews>
  <sheetFormatPr defaultColWidth="9" defaultRowHeight="15.75"/>
  <cols>
    <col min="1" max="1" width="29.25" style="2089" customWidth="1"/>
    <col min="2" max="21" width="7.625" style="2089" customWidth="1"/>
    <col min="22" max="16384" width="9" style="2089"/>
  </cols>
  <sheetData>
    <row r="1" spans="1:24" s="2088" customFormat="1" ht="20.25" customHeight="1">
      <c r="A1" s="3724" t="s">
        <v>3031</v>
      </c>
      <c r="B1" s="3724"/>
      <c r="C1" s="3724"/>
      <c r="D1" s="3724"/>
      <c r="E1" s="3724"/>
      <c r="F1" s="3724"/>
      <c r="G1" s="3724"/>
      <c r="H1" s="3724"/>
      <c r="I1" s="3724"/>
      <c r="J1" s="3724"/>
      <c r="K1" s="3724"/>
      <c r="L1" s="3724"/>
      <c r="M1" s="3724"/>
      <c r="N1" s="3724"/>
      <c r="O1" s="3724"/>
      <c r="P1" s="3724"/>
      <c r="Q1" s="3724"/>
      <c r="R1" s="3724"/>
      <c r="S1" s="3724"/>
      <c r="T1" s="3724"/>
      <c r="U1" s="3724"/>
    </row>
    <row r="2" spans="1:24" ht="20.100000000000001" customHeight="1">
      <c r="A2" s="3850"/>
      <c r="B2" s="3728" t="s">
        <v>3032</v>
      </c>
      <c r="C2" s="3728"/>
      <c r="D2" s="3728"/>
      <c r="E2" s="3853"/>
      <c r="F2" s="3854" t="s">
        <v>3033</v>
      </c>
      <c r="G2" s="3728"/>
      <c r="H2" s="3728"/>
      <c r="I2" s="3853"/>
      <c r="J2" s="3854" t="s">
        <v>3034</v>
      </c>
      <c r="K2" s="3728"/>
      <c r="L2" s="3728"/>
      <c r="M2" s="3853"/>
      <c r="N2" s="3854" t="s">
        <v>3035</v>
      </c>
      <c r="O2" s="3728"/>
      <c r="P2" s="3728"/>
      <c r="Q2" s="3853"/>
      <c r="R2" s="3854" t="s">
        <v>3036</v>
      </c>
      <c r="S2" s="3728"/>
      <c r="T2" s="3728"/>
      <c r="U2" s="3728"/>
    </row>
    <row r="3" spans="1:24" s="2090" customFormat="1" ht="20.100000000000001" customHeight="1">
      <c r="A3" s="3851"/>
      <c r="B3" s="3728" t="s">
        <v>3037</v>
      </c>
      <c r="C3" s="3728"/>
      <c r="D3" s="3853"/>
      <c r="E3" s="3855" t="s">
        <v>3038</v>
      </c>
      <c r="F3" s="3854" t="s">
        <v>3039</v>
      </c>
      <c r="G3" s="3728"/>
      <c r="H3" s="3853"/>
      <c r="I3" s="3855" t="s">
        <v>3038</v>
      </c>
      <c r="J3" s="3854" t="s">
        <v>3037</v>
      </c>
      <c r="K3" s="3728"/>
      <c r="L3" s="3853"/>
      <c r="M3" s="3855" t="s">
        <v>3038</v>
      </c>
      <c r="N3" s="3854" t="s">
        <v>3037</v>
      </c>
      <c r="O3" s="3728"/>
      <c r="P3" s="3853"/>
      <c r="Q3" s="3855" t="s">
        <v>3038</v>
      </c>
      <c r="R3" s="3854" t="s">
        <v>3037</v>
      </c>
      <c r="S3" s="3728"/>
      <c r="T3" s="3853"/>
      <c r="U3" s="3857" t="s">
        <v>3038</v>
      </c>
    </row>
    <row r="4" spans="1:24" s="2090" customFormat="1" ht="20.100000000000001" customHeight="1">
      <c r="A4" s="3852"/>
      <c r="B4" s="2091" t="s">
        <v>3040</v>
      </c>
      <c r="C4" s="2091" t="s">
        <v>3041</v>
      </c>
      <c r="D4" s="2091" t="s">
        <v>3042</v>
      </c>
      <c r="E4" s="3856"/>
      <c r="F4" s="2092" t="s">
        <v>3043</v>
      </c>
      <c r="G4" s="2091" t="s">
        <v>3041</v>
      </c>
      <c r="H4" s="2091" t="s">
        <v>3042</v>
      </c>
      <c r="I4" s="3856"/>
      <c r="J4" s="2092" t="s">
        <v>3043</v>
      </c>
      <c r="K4" s="2091" t="s">
        <v>3041</v>
      </c>
      <c r="L4" s="2091" t="s">
        <v>3042</v>
      </c>
      <c r="M4" s="3856"/>
      <c r="N4" s="2092" t="s">
        <v>3043</v>
      </c>
      <c r="O4" s="2091" t="s">
        <v>3041</v>
      </c>
      <c r="P4" s="2091" t="s">
        <v>3042</v>
      </c>
      <c r="Q4" s="3856"/>
      <c r="R4" s="2092" t="s">
        <v>3040</v>
      </c>
      <c r="S4" s="2091" t="s">
        <v>3041</v>
      </c>
      <c r="T4" s="2091" t="s">
        <v>3042</v>
      </c>
      <c r="U4" s="3858"/>
    </row>
    <row r="5" spans="1:24" s="2090" customFormat="1" ht="20.100000000000001" customHeight="1">
      <c r="A5" s="2093" t="s">
        <v>3044</v>
      </c>
      <c r="B5" s="1806">
        <v>1152</v>
      </c>
      <c r="C5" s="1806">
        <v>780</v>
      </c>
      <c r="D5" s="1806">
        <v>372</v>
      </c>
      <c r="E5" s="2094">
        <f>SUM(E6:E12)</f>
        <v>100</v>
      </c>
      <c r="F5" s="2095">
        <v>1976</v>
      </c>
      <c r="G5" s="1806">
        <v>1481</v>
      </c>
      <c r="H5" s="1806">
        <v>495</v>
      </c>
      <c r="I5" s="2094">
        <f>SUM(I6:I12)</f>
        <v>100</v>
      </c>
      <c r="J5" s="1806">
        <v>2507</v>
      </c>
      <c r="K5" s="1806">
        <v>1914</v>
      </c>
      <c r="L5" s="1806">
        <v>593</v>
      </c>
      <c r="M5" s="2094">
        <f>SUM(M6:M12)</f>
        <v>100</v>
      </c>
      <c r="N5" s="2095">
        <v>3302</v>
      </c>
      <c r="O5" s="2096">
        <v>2550</v>
      </c>
      <c r="P5" s="2096">
        <v>752</v>
      </c>
      <c r="Q5" s="2094">
        <f>SUM(Q6:Q12)</f>
        <v>100</v>
      </c>
      <c r="R5" s="2095">
        <v>2105</v>
      </c>
      <c r="S5" s="2096">
        <v>1547</v>
      </c>
      <c r="T5" s="2096">
        <v>558</v>
      </c>
      <c r="U5" s="2097">
        <f>SUM(U6:U12)</f>
        <v>100.00000000000001</v>
      </c>
    </row>
    <row r="6" spans="1:24" s="2090" customFormat="1" ht="31.5" customHeight="1">
      <c r="A6" s="2098" t="s">
        <v>3045</v>
      </c>
      <c r="B6" s="2099">
        <f>SUM(C6:D6)</f>
        <v>9</v>
      </c>
      <c r="C6" s="1806">
        <v>8</v>
      </c>
      <c r="D6" s="1806">
        <v>1</v>
      </c>
      <c r="E6" s="2094">
        <f>B6/B$5*100</f>
        <v>0.78125</v>
      </c>
      <c r="F6" s="2100">
        <v>22</v>
      </c>
      <c r="G6" s="1806">
        <v>13</v>
      </c>
      <c r="H6" s="1806">
        <v>9</v>
      </c>
      <c r="I6" s="2094">
        <f>F6/F$5*100</f>
        <v>1.1133603238866396</v>
      </c>
      <c r="J6" s="2100">
        <v>17</v>
      </c>
      <c r="K6" s="1806">
        <v>7</v>
      </c>
      <c r="L6" s="1806">
        <v>10</v>
      </c>
      <c r="M6" s="2094">
        <f>J6/J$5*100</f>
        <v>0.67810131631431991</v>
      </c>
      <c r="N6" s="2101">
        <v>33</v>
      </c>
      <c r="O6" s="1806">
        <v>25</v>
      </c>
      <c r="P6" s="1806">
        <v>8</v>
      </c>
      <c r="Q6" s="2094">
        <f>N6/N$5*100</f>
        <v>0.99939430648092065</v>
      </c>
      <c r="R6" s="2101">
        <v>13</v>
      </c>
      <c r="S6" s="1806">
        <v>6</v>
      </c>
      <c r="T6" s="1806">
        <v>7</v>
      </c>
      <c r="U6" s="2102">
        <f>R6/R$5*100</f>
        <v>0.61757719714964376</v>
      </c>
    </row>
    <row r="7" spans="1:24" s="2090" customFormat="1" ht="31.5" customHeight="1">
      <c r="A7" s="2098" t="s">
        <v>3046</v>
      </c>
      <c r="B7" s="2099">
        <f t="shared" ref="B7:B12" si="0">SUM(C7:D7)</f>
        <v>11</v>
      </c>
      <c r="C7" s="1806">
        <v>3</v>
      </c>
      <c r="D7" s="1806">
        <v>8</v>
      </c>
      <c r="E7" s="2094">
        <f t="shared" ref="E7:E12" si="1">B7/B$5*100</f>
        <v>0.95486111111111116</v>
      </c>
      <c r="F7" s="2100">
        <v>9</v>
      </c>
      <c r="G7" s="1806" t="s">
        <v>1</v>
      </c>
      <c r="H7" s="1806">
        <v>9</v>
      </c>
      <c r="I7" s="2094">
        <f t="shared" ref="I7:I12" si="2">F7/F$5*100</f>
        <v>0.45546558704453438</v>
      </c>
      <c r="J7" s="2100">
        <v>15</v>
      </c>
      <c r="K7" s="1806">
        <v>7</v>
      </c>
      <c r="L7" s="1806">
        <v>8</v>
      </c>
      <c r="M7" s="2094">
        <f t="shared" ref="M7:M12" si="3">J7/J$5*100</f>
        <v>0.59832469086557638</v>
      </c>
      <c r="N7" s="2101">
        <v>14</v>
      </c>
      <c r="O7" s="1806">
        <v>10</v>
      </c>
      <c r="P7" s="1806">
        <v>4</v>
      </c>
      <c r="Q7" s="2094">
        <f t="shared" ref="Q7:Q12" si="4">N7/N$5*100</f>
        <v>0.4239854633555421</v>
      </c>
      <c r="R7" s="2101">
        <v>11</v>
      </c>
      <c r="S7" s="1806">
        <v>2</v>
      </c>
      <c r="T7" s="1806">
        <v>9</v>
      </c>
      <c r="U7" s="2102">
        <f t="shared" ref="U7:U12" si="5">R7/R$5*100</f>
        <v>0.5225653206650831</v>
      </c>
    </row>
    <row r="8" spans="1:24" s="2090" customFormat="1" ht="31.5" customHeight="1">
      <c r="A8" s="2098" t="s">
        <v>3047</v>
      </c>
      <c r="B8" s="2099">
        <f t="shared" si="0"/>
        <v>165</v>
      </c>
      <c r="C8" s="1806">
        <v>63</v>
      </c>
      <c r="D8" s="1806">
        <v>102</v>
      </c>
      <c r="E8" s="2094">
        <f t="shared" si="1"/>
        <v>14.322916666666666</v>
      </c>
      <c r="F8" s="2103">
        <v>174</v>
      </c>
      <c r="G8" s="1806">
        <v>68</v>
      </c>
      <c r="H8" s="1806">
        <v>106</v>
      </c>
      <c r="I8" s="2094">
        <f t="shared" si="2"/>
        <v>8.8056680161943319</v>
      </c>
      <c r="J8" s="2103">
        <v>179</v>
      </c>
      <c r="K8" s="1806">
        <v>77</v>
      </c>
      <c r="L8" s="1806">
        <v>102</v>
      </c>
      <c r="M8" s="2094">
        <f t="shared" si="3"/>
        <v>7.1400079776625454</v>
      </c>
      <c r="N8" s="2104">
        <v>162</v>
      </c>
      <c r="O8" s="1806">
        <v>56</v>
      </c>
      <c r="P8" s="1806">
        <v>106</v>
      </c>
      <c r="Q8" s="2094">
        <f t="shared" si="4"/>
        <v>4.9061175045427019</v>
      </c>
      <c r="R8" s="2104">
        <v>172</v>
      </c>
      <c r="S8" s="1806">
        <v>59</v>
      </c>
      <c r="T8" s="1806">
        <v>113</v>
      </c>
      <c r="U8" s="2102">
        <f t="shared" si="5"/>
        <v>8.1710213776722096</v>
      </c>
    </row>
    <row r="9" spans="1:24" s="2090" customFormat="1" ht="31.5" customHeight="1">
      <c r="A9" s="2098" t="s">
        <v>3048</v>
      </c>
      <c r="B9" s="2099">
        <f t="shared" si="0"/>
        <v>1</v>
      </c>
      <c r="C9" s="1806">
        <v>1</v>
      </c>
      <c r="D9" s="1806" t="s">
        <v>1</v>
      </c>
      <c r="E9" s="2094">
        <f t="shared" si="1"/>
        <v>8.6805555555555552E-2</v>
      </c>
      <c r="F9" s="2103">
        <v>42</v>
      </c>
      <c r="G9" s="1806">
        <v>40</v>
      </c>
      <c r="H9" s="1806">
        <v>2</v>
      </c>
      <c r="I9" s="2094">
        <f t="shared" si="2"/>
        <v>2.1255060728744937</v>
      </c>
      <c r="J9" s="2103">
        <v>9</v>
      </c>
      <c r="K9" s="1806">
        <v>8</v>
      </c>
      <c r="L9" s="1806">
        <v>1</v>
      </c>
      <c r="M9" s="2094">
        <f t="shared" si="3"/>
        <v>0.35899481451934584</v>
      </c>
      <c r="N9" s="2104">
        <v>13</v>
      </c>
      <c r="O9" s="1806">
        <v>11</v>
      </c>
      <c r="P9" s="1806">
        <v>2</v>
      </c>
      <c r="Q9" s="2094">
        <f t="shared" si="4"/>
        <v>0.39370078740157477</v>
      </c>
      <c r="R9" s="2104" t="s">
        <v>3049</v>
      </c>
      <c r="S9" s="1806" t="s">
        <v>3049</v>
      </c>
      <c r="T9" s="1806" t="s">
        <v>3049</v>
      </c>
      <c r="U9" s="2102" t="s">
        <v>3049</v>
      </c>
    </row>
    <row r="10" spans="1:24" s="2090" customFormat="1" ht="31.5" customHeight="1">
      <c r="A10" s="2098" t="s">
        <v>3050</v>
      </c>
      <c r="B10" s="2099">
        <f t="shared" si="0"/>
        <v>3</v>
      </c>
      <c r="C10" s="1806">
        <v>3</v>
      </c>
      <c r="D10" s="1806" t="s">
        <v>5</v>
      </c>
      <c r="E10" s="2094">
        <f t="shared" si="1"/>
        <v>0.26041666666666663</v>
      </c>
      <c r="F10" s="1806">
        <v>11</v>
      </c>
      <c r="G10" s="1806">
        <v>11</v>
      </c>
      <c r="H10" s="1806" t="s">
        <v>1</v>
      </c>
      <c r="I10" s="2094">
        <f t="shared" si="2"/>
        <v>0.55668016194331982</v>
      </c>
      <c r="J10" s="1806">
        <v>23</v>
      </c>
      <c r="K10" s="1806">
        <v>23</v>
      </c>
      <c r="L10" s="1806" t="s">
        <v>1</v>
      </c>
      <c r="M10" s="2094">
        <f t="shared" si="3"/>
        <v>0.91743119266055051</v>
      </c>
      <c r="N10" s="1806">
        <v>33</v>
      </c>
      <c r="O10" s="1806">
        <v>33</v>
      </c>
      <c r="P10" s="1806" t="s">
        <v>1</v>
      </c>
      <c r="Q10" s="2094">
        <f t="shared" si="4"/>
        <v>0.99939430648092065</v>
      </c>
      <c r="R10" s="2099">
        <v>14</v>
      </c>
      <c r="S10" s="1806">
        <v>14</v>
      </c>
      <c r="T10" s="1806" t="s">
        <v>1</v>
      </c>
      <c r="U10" s="2102">
        <f t="shared" si="5"/>
        <v>0.66508313539192399</v>
      </c>
    </row>
    <row r="11" spans="1:24" ht="33">
      <c r="A11" s="2098" t="s">
        <v>3051</v>
      </c>
      <c r="B11" s="2099">
        <f t="shared" si="0"/>
        <v>945</v>
      </c>
      <c r="C11" s="1806">
        <v>685</v>
      </c>
      <c r="D11" s="1806">
        <v>260</v>
      </c>
      <c r="E11" s="2094">
        <f t="shared" si="1"/>
        <v>82.03125</v>
      </c>
      <c r="F11" s="1806">
        <v>1669</v>
      </c>
      <c r="G11" s="1806">
        <v>1302</v>
      </c>
      <c r="H11" s="1806">
        <v>367</v>
      </c>
      <c r="I11" s="2094">
        <f t="shared" si="2"/>
        <v>84.463562753036442</v>
      </c>
      <c r="J11" s="1806">
        <v>2205</v>
      </c>
      <c r="K11" s="1806">
        <v>1738</v>
      </c>
      <c r="L11" s="1806">
        <v>467</v>
      </c>
      <c r="M11" s="2094">
        <f t="shared" si="3"/>
        <v>87.953729557239726</v>
      </c>
      <c r="N11" s="1806">
        <v>2988</v>
      </c>
      <c r="O11" s="1806">
        <v>2360</v>
      </c>
      <c r="P11" s="1806">
        <v>628</v>
      </c>
      <c r="Q11" s="2094">
        <f t="shared" si="4"/>
        <v>90.490611750454278</v>
      </c>
      <c r="R11" s="2099">
        <v>1801</v>
      </c>
      <c r="S11" s="1806">
        <v>1379</v>
      </c>
      <c r="T11" s="1806">
        <v>422</v>
      </c>
      <c r="U11" s="2102">
        <f t="shared" si="5"/>
        <v>85.558194774346802</v>
      </c>
    </row>
    <row r="12" spans="1:24" ht="33.75" thickBot="1">
      <c r="A12" s="2098" t="s">
        <v>3052</v>
      </c>
      <c r="B12" s="2099">
        <f t="shared" si="0"/>
        <v>18</v>
      </c>
      <c r="C12" s="1806">
        <v>17</v>
      </c>
      <c r="D12" s="1806">
        <v>1</v>
      </c>
      <c r="E12" s="2094">
        <f t="shared" si="1"/>
        <v>1.5625</v>
      </c>
      <c r="F12" s="1806">
        <v>49</v>
      </c>
      <c r="G12" s="1806">
        <v>47</v>
      </c>
      <c r="H12" s="1806">
        <v>2</v>
      </c>
      <c r="I12" s="2094">
        <f t="shared" si="2"/>
        <v>2.4797570850202431</v>
      </c>
      <c r="J12" s="1806">
        <v>59</v>
      </c>
      <c r="K12" s="1806">
        <v>54</v>
      </c>
      <c r="L12" s="1806">
        <v>5</v>
      </c>
      <c r="M12" s="2094">
        <f t="shared" si="3"/>
        <v>2.3534104507379339</v>
      </c>
      <c r="N12" s="1806">
        <v>59</v>
      </c>
      <c r="O12" s="1806">
        <v>55</v>
      </c>
      <c r="P12" s="1806">
        <v>4</v>
      </c>
      <c r="Q12" s="2094">
        <f t="shared" si="4"/>
        <v>1.7867958812840705</v>
      </c>
      <c r="R12" s="1806">
        <v>94</v>
      </c>
      <c r="S12" s="1806">
        <v>87</v>
      </c>
      <c r="T12" s="1806">
        <v>7</v>
      </c>
      <c r="U12" s="2105">
        <f t="shared" si="5"/>
        <v>4.4655581947743466</v>
      </c>
      <c r="X12" s="2106"/>
    </row>
    <row r="13" spans="1:24" ht="20.100000000000001" customHeight="1">
      <c r="A13" s="3859"/>
      <c r="B13" s="3862" t="s">
        <v>3053</v>
      </c>
      <c r="C13" s="3862"/>
      <c r="D13" s="3862"/>
      <c r="E13" s="3863"/>
      <c r="F13" s="3864" t="s">
        <v>3054</v>
      </c>
      <c r="G13" s="3862"/>
      <c r="H13" s="3862"/>
      <c r="I13" s="3863"/>
      <c r="J13" s="3864" t="s">
        <v>3055</v>
      </c>
      <c r="K13" s="3862"/>
      <c r="L13" s="3862"/>
      <c r="M13" s="3863"/>
      <c r="N13" s="3864" t="s">
        <v>3056</v>
      </c>
      <c r="O13" s="3862"/>
      <c r="P13" s="3862"/>
      <c r="Q13" s="3863"/>
      <c r="R13" s="3864" t="s">
        <v>3057</v>
      </c>
      <c r="S13" s="3862"/>
      <c r="T13" s="3862"/>
      <c r="U13" s="3862"/>
    </row>
    <row r="14" spans="1:24" ht="20.100000000000001" customHeight="1">
      <c r="A14" s="3860"/>
      <c r="B14" s="3728" t="s">
        <v>3037</v>
      </c>
      <c r="C14" s="3728"/>
      <c r="D14" s="3853"/>
      <c r="E14" s="3855" t="s">
        <v>3058</v>
      </c>
      <c r="F14" s="3854" t="s">
        <v>3037</v>
      </c>
      <c r="G14" s="3728"/>
      <c r="H14" s="3853"/>
      <c r="I14" s="3855" t="s">
        <v>3038</v>
      </c>
      <c r="J14" s="3854" t="s">
        <v>3037</v>
      </c>
      <c r="K14" s="3728"/>
      <c r="L14" s="3853"/>
      <c r="M14" s="3855" t="s">
        <v>3058</v>
      </c>
      <c r="N14" s="3854" t="s">
        <v>3037</v>
      </c>
      <c r="O14" s="3728"/>
      <c r="P14" s="3853"/>
      <c r="Q14" s="3855" t="s">
        <v>3059</v>
      </c>
      <c r="R14" s="3854" t="s">
        <v>3060</v>
      </c>
      <c r="S14" s="3728"/>
      <c r="T14" s="3853"/>
      <c r="U14" s="3857" t="s">
        <v>3058</v>
      </c>
    </row>
    <row r="15" spans="1:24" ht="20.100000000000001" customHeight="1">
      <c r="A15" s="3861"/>
      <c r="B15" s="2091" t="s">
        <v>3040</v>
      </c>
      <c r="C15" s="2091" t="s">
        <v>3041</v>
      </c>
      <c r="D15" s="2091" t="s">
        <v>3061</v>
      </c>
      <c r="E15" s="3856"/>
      <c r="F15" s="2092" t="s">
        <v>3040</v>
      </c>
      <c r="G15" s="2091" t="s">
        <v>3062</v>
      </c>
      <c r="H15" s="2091" t="s">
        <v>3061</v>
      </c>
      <c r="I15" s="3856"/>
      <c r="J15" s="2092" t="s">
        <v>3040</v>
      </c>
      <c r="K15" s="2091" t="s">
        <v>3041</v>
      </c>
      <c r="L15" s="2091" t="s">
        <v>3042</v>
      </c>
      <c r="M15" s="3856"/>
      <c r="N15" s="2092" t="s">
        <v>3040</v>
      </c>
      <c r="O15" s="2091" t="s">
        <v>3041</v>
      </c>
      <c r="P15" s="2091" t="s">
        <v>3042</v>
      </c>
      <c r="Q15" s="3856"/>
      <c r="R15" s="2092" t="s">
        <v>3040</v>
      </c>
      <c r="S15" s="2091" t="s">
        <v>3063</v>
      </c>
      <c r="T15" s="2091" t="s">
        <v>3061</v>
      </c>
      <c r="U15" s="3858"/>
    </row>
    <row r="16" spans="1:24" ht="20.100000000000001" customHeight="1">
      <c r="A16" s="2093" t="s">
        <v>3044</v>
      </c>
      <c r="B16" s="1806">
        <v>2076</v>
      </c>
      <c r="C16" s="1806">
        <v>1528</v>
      </c>
      <c r="D16" s="1806">
        <v>548</v>
      </c>
      <c r="E16" s="2094">
        <v>100.00000000000001</v>
      </c>
      <c r="F16" s="1806">
        <v>1386</v>
      </c>
      <c r="G16" s="1806">
        <v>1000</v>
      </c>
      <c r="H16" s="1806">
        <v>386</v>
      </c>
      <c r="I16" s="2094">
        <v>100</v>
      </c>
      <c r="J16" s="1806">
        <v>835</v>
      </c>
      <c r="K16" s="1806">
        <v>596</v>
      </c>
      <c r="L16" s="1806">
        <v>239</v>
      </c>
      <c r="M16" s="2094">
        <v>99.999999999999986</v>
      </c>
      <c r="N16" s="1806">
        <v>675</v>
      </c>
      <c r="O16" s="2096">
        <v>468</v>
      </c>
      <c r="P16" s="2096">
        <v>207</v>
      </c>
      <c r="Q16" s="2107">
        <v>100</v>
      </c>
      <c r="R16" s="1806">
        <v>638</v>
      </c>
      <c r="S16" s="2096">
        <v>502</v>
      </c>
      <c r="T16" s="2096">
        <v>136</v>
      </c>
      <c r="U16" s="2097">
        <v>100</v>
      </c>
    </row>
    <row r="17" spans="1:21" ht="31.5" customHeight="1">
      <c r="A17" s="2098" t="s">
        <v>3064</v>
      </c>
      <c r="B17" s="1806">
        <v>20</v>
      </c>
      <c r="C17" s="1806">
        <v>11</v>
      </c>
      <c r="D17" s="1806">
        <v>9</v>
      </c>
      <c r="E17" s="2094">
        <v>0.96339113680154131</v>
      </c>
      <c r="F17" s="1806">
        <v>24</v>
      </c>
      <c r="G17" s="1806">
        <v>12</v>
      </c>
      <c r="H17" s="1806">
        <v>12</v>
      </c>
      <c r="I17" s="2094">
        <v>1.7316017316017316</v>
      </c>
      <c r="J17" s="1806">
        <v>35</v>
      </c>
      <c r="K17" s="1806">
        <v>19</v>
      </c>
      <c r="L17" s="1806">
        <v>16</v>
      </c>
      <c r="M17" s="2094">
        <v>4.1916167664670656</v>
      </c>
      <c r="N17" s="1806">
        <v>23</v>
      </c>
      <c r="O17" s="1806">
        <v>18</v>
      </c>
      <c r="P17" s="1806">
        <v>5</v>
      </c>
      <c r="Q17" s="2102">
        <v>3.4074074074074074</v>
      </c>
      <c r="R17" s="2099">
        <v>7</v>
      </c>
      <c r="S17" s="1806">
        <v>6</v>
      </c>
      <c r="T17" s="1806">
        <v>1</v>
      </c>
      <c r="U17" s="2102">
        <v>1.0971786833855799</v>
      </c>
    </row>
    <row r="18" spans="1:21" ht="31.5" customHeight="1">
      <c r="A18" s="2098" t="s">
        <v>3065</v>
      </c>
      <c r="B18" s="1806">
        <v>12</v>
      </c>
      <c r="C18" s="1806">
        <v>1</v>
      </c>
      <c r="D18" s="1806">
        <v>11</v>
      </c>
      <c r="E18" s="2094">
        <v>0.57803468208092479</v>
      </c>
      <c r="F18" s="1806">
        <v>2</v>
      </c>
      <c r="G18" s="1806" t="s">
        <v>3049</v>
      </c>
      <c r="H18" s="1806">
        <v>2</v>
      </c>
      <c r="I18" s="2094">
        <v>0.14430014430014429</v>
      </c>
      <c r="J18" s="1806">
        <v>1</v>
      </c>
      <c r="K18" s="1806" t="s">
        <v>3049</v>
      </c>
      <c r="L18" s="1806">
        <v>1</v>
      </c>
      <c r="M18" s="2094">
        <v>0.11976047904191617</v>
      </c>
      <c r="N18" s="1806">
        <v>5</v>
      </c>
      <c r="O18" s="1806">
        <v>3</v>
      </c>
      <c r="P18" s="1806">
        <v>2</v>
      </c>
      <c r="Q18" s="2094">
        <v>0.74074074074074081</v>
      </c>
      <c r="R18" s="1806">
        <v>2</v>
      </c>
      <c r="S18" s="1806">
        <v>1</v>
      </c>
      <c r="T18" s="1806">
        <v>1</v>
      </c>
      <c r="U18" s="2102">
        <v>0.31347962382445138</v>
      </c>
    </row>
    <row r="19" spans="1:21" ht="31.5" customHeight="1">
      <c r="A19" s="2098" t="s">
        <v>3047</v>
      </c>
      <c r="B19" s="1806">
        <v>152</v>
      </c>
      <c r="C19" s="1806">
        <v>52</v>
      </c>
      <c r="D19" s="1806">
        <v>100</v>
      </c>
      <c r="E19" s="2094">
        <v>7.3217726396917149</v>
      </c>
      <c r="F19" s="1806">
        <v>124</v>
      </c>
      <c r="G19" s="1806">
        <v>42</v>
      </c>
      <c r="H19" s="1806">
        <v>82</v>
      </c>
      <c r="I19" s="2094">
        <v>8.9466089466089471</v>
      </c>
      <c r="J19" s="1806">
        <v>111</v>
      </c>
      <c r="K19" s="1806">
        <v>37</v>
      </c>
      <c r="L19" s="1806">
        <v>74</v>
      </c>
      <c r="M19" s="2094">
        <v>13.293413173652693</v>
      </c>
      <c r="N19" s="1806">
        <v>107</v>
      </c>
      <c r="O19" s="1806">
        <v>34</v>
      </c>
      <c r="P19" s="1806">
        <v>73</v>
      </c>
      <c r="Q19" s="2102">
        <v>15.851851851851853</v>
      </c>
      <c r="R19" s="2099">
        <v>58</v>
      </c>
      <c r="S19" s="1806">
        <v>30</v>
      </c>
      <c r="T19" s="1806">
        <v>28</v>
      </c>
      <c r="U19" s="2102">
        <v>9.0909090909090917</v>
      </c>
    </row>
    <row r="20" spans="1:21" ht="31.5" customHeight="1">
      <c r="A20" s="2098" t="s">
        <v>3066</v>
      </c>
      <c r="B20" s="1806">
        <v>8</v>
      </c>
      <c r="C20" s="1806">
        <v>2</v>
      </c>
      <c r="D20" s="1806">
        <v>6</v>
      </c>
      <c r="E20" s="2094">
        <v>0.38535645472061658</v>
      </c>
      <c r="F20" s="1806">
        <v>3</v>
      </c>
      <c r="G20" s="1806">
        <v>3</v>
      </c>
      <c r="H20" s="1806" t="s">
        <v>5</v>
      </c>
      <c r="I20" s="2094">
        <v>0.21645021645021645</v>
      </c>
      <c r="J20" s="1806" t="s">
        <v>1</v>
      </c>
      <c r="K20" s="1806" t="s">
        <v>1898</v>
      </c>
      <c r="L20" s="1806" t="s">
        <v>1898</v>
      </c>
      <c r="M20" s="2094" t="s">
        <v>5</v>
      </c>
      <c r="N20" s="1806">
        <v>2</v>
      </c>
      <c r="O20" s="1806">
        <v>2</v>
      </c>
      <c r="P20" s="1806" t="s">
        <v>1</v>
      </c>
      <c r="Q20" s="2102">
        <v>0.29629629629629628</v>
      </c>
      <c r="R20" s="2099">
        <v>5</v>
      </c>
      <c r="S20" s="1806">
        <v>5</v>
      </c>
      <c r="T20" s="1806" t="s">
        <v>1</v>
      </c>
      <c r="U20" s="2102">
        <v>0.7836990595611284</v>
      </c>
    </row>
    <row r="21" spans="1:21" s="2090" customFormat="1" ht="31.5" customHeight="1">
      <c r="A21" s="2098" t="s">
        <v>3067</v>
      </c>
      <c r="B21" s="1806">
        <v>25</v>
      </c>
      <c r="C21" s="1806">
        <v>25</v>
      </c>
      <c r="D21" s="1806" t="s">
        <v>1</v>
      </c>
      <c r="E21" s="2094">
        <v>1.2042389210019269</v>
      </c>
      <c r="F21" s="1806">
        <v>25</v>
      </c>
      <c r="G21" s="1806">
        <v>24</v>
      </c>
      <c r="H21" s="1806">
        <v>1</v>
      </c>
      <c r="I21" s="2094">
        <v>1.8037518037518037</v>
      </c>
      <c r="J21" s="1806">
        <v>14</v>
      </c>
      <c r="K21" s="1806">
        <v>14</v>
      </c>
      <c r="L21" s="1806" t="s">
        <v>1</v>
      </c>
      <c r="M21" s="2094">
        <v>1.6766467065868262</v>
      </c>
      <c r="N21" s="1806">
        <v>18</v>
      </c>
      <c r="O21" s="1806">
        <v>17</v>
      </c>
      <c r="P21" s="1806">
        <v>1</v>
      </c>
      <c r="Q21" s="2094">
        <v>2.666666666666667</v>
      </c>
      <c r="R21" s="1806">
        <v>19</v>
      </c>
      <c r="S21" s="1806">
        <v>19</v>
      </c>
      <c r="T21" s="1806" t="s">
        <v>1898</v>
      </c>
      <c r="U21" s="2102">
        <v>2.9780564263322882</v>
      </c>
    </row>
    <row r="22" spans="1:21" ht="33">
      <c r="A22" s="2098" t="s">
        <v>3051</v>
      </c>
      <c r="B22" s="1806">
        <v>1752</v>
      </c>
      <c r="C22" s="1806">
        <v>1336</v>
      </c>
      <c r="D22" s="1806">
        <v>416</v>
      </c>
      <c r="E22" s="2094">
        <v>84.393063583815035</v>
      </c>
      <c r="F22" s="1806">
        <v>1112</v>
      </c>
      <c r="G22" s="1806">
        <v>826</v>
      </c>
      <c r="H22" s="1806">
        <v>286</v>
      </c>
      <c r="I22" s="2094">
        <v>80.230880230880231</v>
      </c>
      <c r="J22" s="1806">
        <v>553</v>
      </c>
      <c r="K22" s="1806">
        <v>419</v>
      </c>
      <c r="L22" s="1806">
        <v>134</v>
      </c>
      <c r="M22" s="2094">
        <v>66.227544910179631</v>
      </c>
      <c r="N22" s="1806">
        <v>399</v>
      </c>
      <c r="O22" s="1806">
        <v>280</v>
      </c>
      <c r="P22" s="1806">
        <v>119</v>
      </c>
      <c r="Q22" s="2102">
        <v>59.111111111111114</v>
      </c>
      <c r="R22" s="2099">
        <v>419</v>
      </c>
      <c r="S22" s="1806">
        <v>328</v>
      </c>
      <c r="T22" s="1806">
        <v>91</v>
      </c>
      <c r="U22" s="2102">
        <v>65.67398119122258</v>
      </c>
    </row>
    <row r="23" spans="1:21" ht="33">
      <c r="A23" s="2098" t="s">
        <v>3052</v>
      </c>
      <c r="B23" s="2108">
        <v>107</v>
      </c>
      <c r="C23" s="2109">
        <v>101</v>
      </c>
      <c r="D23" s="2109">
        <v>6</v>
      </c>
      <c r="E23" s="2110">
        <v>5.1541425818882463</v>
      </c>
      <c r="F23" s="2108">
        <v>96</v>
      </c>
      <c r="G23" s="2109">
        <v>93</v>
      </c>
      <c r="H23" s="2109">
        <v>3</v>
      </c>
      <c r="I23" s="2110">
        <v>6.9264069264069263</v>
      </c>
      <c r="J23" s="2108">
        <v>121</v>
      </c>
      <c r="K23" s="2109">
        <v>107</v>
      </c>
      <c r="L23" s="2109">
        <v>14</v>
      </c>
      <c r="M23" s="2110">
        <v>14.491017964071856</v>
      </c>
      <c r="N23" s="2108">
        <v>121</v>
      </c>
      <c r="O23" s="2109">
        <v>114</v>
      </c>
      <c r="P23" s="2109">
        <v>7</v>
      </c>
      <c r="Q23" s="2111">
        <v>17.925925925925927</v>
      </c>
      <c r="R23" s="2108">
        <v>128</v>
      </c>
      <c r="S23" s="2109">
        <v>113</v>
      </c>
      <c r="T23" s="2109">
        <v>15</v>
      </c>
      <c r="U23" s="2111">
        <v>20.062695924764888</v>
      </c>
    </row>
    <row r="24" spans="1:21">
      <c r="A24" s="3865" t="s">
        <v>3068</v>
      </c>
      <c r="B24" s="3865"/>
      <c r="C24" s="3865"/>
      <c r="D24" s="3865"/>
      <c r="E24" s="3865"/>
      <c r="F24" s="3865"/>
      <c r="G24" s="3865"/>
      <c r="H24" s="2112"/>
      <c r="I24" s="2112"/>
      <c r="J24" s="2112"/>
      <c r="K24" s="2112"/>
      <c r="L24" s="2112"/>
      <c r="M24" s="2112"/>
      <c r="N24" s="2113"/>
      <c r="O24" s="2113"/>
      <c r="P24" s="2113"/>
      <c r="Q24" s="2112"/>
      <c r="R24" s="2112"/>
      <c r="S24" s="2112"/>
      <c r="T24" s="2112"/>
      <c r="U24" s="2112"/>
    </row>
    <row r="25" spans="1:21">
      <c r="A25" s="3866" t="s">
        <v>3069</v>
      </c>
      <c r="B25" s="3867"/>
      <c r="C25" s="3867"/>
      <c r="D25" s="3867"/>
      <c r="E25" s="3867"/>
      <c r="F25" s="3867"/>
      <c r="G25" s="3867"/>
      <c r="H25" s="3867"/>
      <c r="I25" s="3867"/>
      <c r="J25" s="3867"/>
      <c r="K25" s="3867"/>
      <c r="L25" s="3867"/>
      <c r="M25" s="3867"/>
      <c r="N25" s="3867"/>
      <c r="O25" s="3867"/>
      <c r="P25" s="3867"/>
      <c r="Q25" s="3867"/>
      <c r="R25" s="3867"/>
      <c r="S25" s="3867"/>
      <c r="T25" s="3867"/>
      <c r="U25" s="3867"/>
    </row>
  </sheetData>
  <mergeCells count="35">
    <mergeCell ref="A24:G24"/>
    <mergeCell ref="A25:U25"/>
    <mergeCell ref="I14:I15"/>
    <mergeCell ref="J14:L14"/>
    <mergeCell ref="M14:M15"/>
    <mergeCell ref="N14:P14"/>
    <mergeCell ref="Q14:Q15"/>
    <mergeCell ref="R14:T14"/>
    <mergeCell ref="R13:U13"/>
    <mergeCell ref="B14:D14"/>
    <mergeCell ref="E14:E15"/>
    <mergeCell ref="F14:H14"/>
    <mergeCell ref="I3:I4"/>
    <mergeCell ref="J3:L3"/>
    <mergeCell ref="M3:M4"/>
    <mergeCell ref="N3:P3"/>
    <mergeCell ref="Q3:Q4"/>
    <mergeCell ref="R3:T3"/>
    <mergeCell ref="U14:U15"/>
    <mergeCell ref="A13:A15"/>
    <mergeCell ref="B13:E13"/>
    <mergeCell ref="F13:I13"/>
    <mergeCell ref="J13:M13"/>
    <mergeCell ref="N13:Q13"/>
    <mergeCell ref="A1:U1"/>
    <mergeCell ref="A2:A4"/>
    <mergeCell ref="B2:E2"/>
    <mergeCell ref="F2:I2"/>
    <mergeCell ref="J2:M2"/>
    <mergeCell ref="N2:Q2"/>
    <mergeCell ref="R2:U2"/>
    <mergeCell ref="B3:D3"/>
    <mergeCell ref="E3:E4"/>
    <mergeCell ref="F3:H3"/>
    <mergeCell ref="U3:U4"/>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44"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K28"/>
  <sheetViews>
    <sheetView showGridLines="0" showRuler="0" zoomScaleNormal="100" zoomScalePageLayoutView="125" workbookViewId="0">
      <selection activeCell="B18" sqref="B18:D18"/>
    </sheetView>
  </sheetViews>
  <sheetFormatPr defaultColWidth="9" defaultRowHeight="20.100000000000001" customHeight="1"/>
  <cols>
    <col min="1" max="1" width="19" style="1785" customWidth="1"/>
    <col min="2" max="11" width="9" style="1785" customWidth="1"/>
    <col min="12" max="13" width="6.625" style="1785" customWidth="1"/>
    <col min="14" max="16384" width="9" style="1785"/>
  </cols>
  <sheetData>
    <row r="1" spans="1:11" ht="24" customHeight="1">
      <c r="A1" s="3733" t="s">
        <v>3070</v>
      </c>
      <c r="B1" s="3733"/>
      <c r="C1" s="3733"/>
      <c r="D1" s="3733"/>
      <c r="E1" s="3733"/>
      <c r="F1" s="3733"/>
      <c r="G1" s="3733"/>
      <c r="H1" s="3733"/>
      <c r="I1" s="3733"/>
      <c r="J1" s="3733"/>
      <c r="K1" s="3733"/>
    </row>
    <row r="2" spans="1:11" ht="20.100000000000001" customHeight="1">
      <c r="A2" s="2114"/>
      <c r="B2" s="3722" t="s">
        <v>2995</v>
      </c>
      <c r="C2" s="3734"/>
      <c r="D2" s="3730" t="s">
        <v>2478</v>
      </c>
      <c r="E2" s="3734"/>
      <c r="F2" s="3730" t="s">
        <v>2997</v>
      </c>
      <c r="G2" s="3722"/>
      <c r="H2" s="3803" t="s">
        <v>2976</v>
      </c>
      <c r="I2" s="3799" t="s">
        <v>2998</v>
      </c>
      <c r="J2" s="3803" t="s">
        <v>3000</v>
      </c>
      <c r="K2" s="3799"/>
    </row>
    <row r="3" spans="1:11" s="1996" customFormat="1" ht="20.100000000000001" customHeight="1">
      <c r="A3" s="1833"/>
      <c r="B3" s="1927" t="s">
        <v>3001</v>
      </c>
      <c r="C3" s="1859" t="s">
        <v>3002</v>
      </c>
      <c r="D3" s="1927" t="s">
        <v>3001</v>
      </c>
      <c r="E3" s="1859" t="s">
        <v>3002</v>
      </c>
      <c r="F3" s="1927" t="s">
        <v>3001</v>
      </c>
      <c r="G3" s="1859" t="s">
        <v>3002</v>
      </c>
      <c r="H3" s="1927" t="s">
        <v>3001</v>
      </c>
      <c r="I3" s="1859" t="s">
        <v>3015</v>
      </c>
      <c r="J3" s="1927" t="s">
        <v>3001</v>
      </c>
      <c r="K3" s="1788" t="s">
        <v>3002</v>
      </c>
    </row>
    <row r="4" spans="1:11" s="1795" customFormat="1" ht="20.100000000000001" customHeight="1">
      <c r="A4" s="1961" t="s">
        <v>3017</v>
      </c>
      <c r="B4" s="1938">
        <f>SUM(B5:B6)</f>
        <v>1152</v>
      </c>
      <c r="C4" s="1971">
        <f>SUM(C5:C6)</f>
        <v>100.00000000000001</v>
      </c>
      <c r="D4" s="1938">
        <f t="shared" ref="D4:K4" si="0">SUM(D5:D6)</f>
        <v>1976</v>
      </c>
      <c r="E4" s="1971">
        <f t="shared" si="0"/>
        <v>100</v>
      </c>
      <c r="F4" s="1938">
        <f t="shared" si="0"/>
        <v>2507</v>
      </c>
      <c r="G4" s="1971">
        <f t="shared" si="0"/>
        <v>100</v>
      </c>
      <c r="H4" s="1938">
        <f t="shared" si="0"/>
        <v>3302</v>
      </c>
      <c r="I4" s="1971">
        <f t="shared" si="0"/>
        <v>100</v>
      </c>
      <c r="J4" s="1938">
        <f t="shared" si="0"/>
        <v>2105</v>
      </c>
      <c r="K4" s="1965">
        <f t="shared" si="0"/>
        <v>100</v>
      </c>
    </row>
    <row r="5" spans="1:11" s="1795" customFormat="1" ht="16.5" customHeight="1">
      <c r="A5" s="1966" t="s">
        <v>3071</v>
      </c>
      <c r="B5" s="1938">
        <v>780</v>
      </c>
      <c r="C5" s="1965">
        <f>B5/B$4*100</f>
        <v>67.708333333333343</v>
      </c>
      <c r="D5" s="1935">
        <v>1481</v>
      </c>
      <c r="E5" s="1936">
        <f t="shared" ref="E5:E6" si="1">D5/D$4*100</f>
        <v>74.949392712550605</v>
      </c>
      <c r="F5" s="1938">
        <v>1914</v>
      </c>
      <c r="G5" s="1965">
        <f t="shared" ref="G5:G6" si="2">F5/F$4*100</f>
        <v>76.346230554447544</v>
      </c>
      <c r="H5" s="1935">
        <v>2550</v>
      </c>
      <c r="I5" s="1965">
        <f t="shared" ref="I5:I6" si="3">H5/H$4*100</f>
        <v>77.225923682616596</v>
      </c>
      <c r="J5" s="1967">
        <v>1547</v>
      </c>
      <c r="K5" s="1941">
        <f t="shared" ref="K5:K6" si="4">J5/J$4*100</f>
        <v>73.4916864608076</v>
      </c>
    </row>
    <row r="6" spans="1:11" s="1795" customFormat="1" ht="17.25" customHeight="1">
      <c r="A6" s="1968" t="s">
        <v>2799</v>
      </c>
      <c r="B6" s="1945">
        <v>372</v>
      </c>
      <c r="C6" s="1946">
        <f>B6/B$4*100</f>
        <v>32.291666666666671</v>
      </c>
      <c r="D6" s="1969">
        <v>495</v>
      </c>
      <c r="E6" s="1946">
        <f t="shared" si="1"/>
        <v>25.050607287449395</v>
      </c>
      <c r="F6" s="1945">
        <v>593</v>
      </c>
      <c r="G6" s="1946">
        <f t="shared" si="2"/>
        <v>23.653769445552452</v>
      </c>
      <c r="H6" s="1969">
        <v>752</v>
      </c>
      <c r="I6" s="1946">
        <f t="shared" si="3"/>
        <v>22.774076317383404</v>
      </c>
      <c r="J6" s="1970">
        <v>558</v>
      </c>
      <c r="K6" s="1952">
        <f t="shared" si="4"/>
        <v>26.508313539192397</v>
      </c>
    </row>
    <row r="7" spans="1:11" ht="20.100000000000001" customHeight="1">
      <c r="A7" s="299" t="s">
        <v>3072</v>
      </c>
      <c r="B7" s="1938">
        <v>1</v>
      </c>
      <c r="C7" s="1936">
        <v>8.6805555555555552E-2</v>
      </c>
      <c r="D7" s="1938" t="s">
        <v>3009</v>
      </c>
      <c r="E7" s="1936" t="s">
        <v>3009</v>
      </c>
      <c r="F7" s="1938" t="s">
        <v>3009</v>
      </c>
      <c r="G7" s="1965" t="s">
        <v>3009</v>
      </c>
      <c r="H7" s="1935">
        <v>1</v>
      </c>
      <c r="I7" s="1965">
        <v>3.0284675953967291E-2</v>
      </c>
      <c r="J7" s="1942" t="s">
        <v>3009</v>
      </c>
      <c r="K7" s="1941" t="s">
        <v>2442</v>
      </c>
    </row>
    <row r="8" spans="1:11" ht="20.100000000000001" customHeight="1">
      <c r="A8" s="299" t="s">
        <v>3073</v>
      </c>
      <c r="B8" s="1938">
        <v>19</v>
      </c>
      <c r="C8" s="1936">
        <v>1.6493055555555556</v>
      </c>
      <c r="D8" s="1938">
        <v>18</v>
      </c>
      <c r="E8" s="1936">
        <v>0.91093117408906876</v>
      </c>
      <c r="F8" s="1938">
        <v>18</v>
      </c>
      <c r="G8" s="1965">
        <v>0.71798962903869168</v>
      </c>
      <c r="H8" s="1935">
        <v>19</v>
      </c>
      <c r="I8" s="1965">
        <v>0.57540884312537854</v>
      </c>
      <c r="J8" s="1942">
        <v>19</v>
      </c>
      <c r="K8" s="1941">
        <v>0.90261282660332542</v>
      </c>
    </row>
    <row r="9" spans="1:11" ht="20.100000000000001" customHeight="1">
      <c r="A9" s="299" t="s">
        <v>3074</v>
      </c>
      <c r="B9" s="1938">
        <v>84</v>
      </c>
      <c r="C9" s="1936">
        <v>7.291666666666667</v>
      </c>
      <c r="D9" s="1938">
        <v>116</v>
      </c>
      <c r="E9" s="1936">
        <v>5.8704453441295543</v>
      </c>
      <c r="F9" s="1938">
        <v>120</v>
      </c>
      <c r="G9" s="1965">
        <v>4.786597526924611</v>
      </c>
      <c r="H9" s="1935">
        <v>144</v>
      </c>
      <c r="I9" s="1965">
        <v>4.3609933373712906</v>
      </c>
      <c r="J9" s="1942">
        <v>104</v>
      </c>
      <c r="K9" s="1941">
        <v>4.9406175771971501</v>
      </c>
    </row>
    <row r="10" spans="1:11" ht="20.100000000000001" customHeight="1">
      <c r="A10" s="299" t="s">
        <v>3075</v>
      </c>
      <c r="B10" s="1938">
        <v>169</v>
      </c>
      <c r="C10" s="1936">
        <v>14.670138888888889</v>
      </c>
      <c r="D10" s="1938">
        <v>325</v>
      </c>
      <c r="E10" s="1936">
        <v>16.447368421052634</v>
      </c>
      <c r="F10" s="1938">
        <v>366</v>
      </c>
      <c r="G10" s="1965">
        <v>14.599122457120064</v>
      </c>
      <c r="H10" s="1935">
        <v>328</v>
      </c>
      <c r="I10" s="1965">
        <v>9.9333737129012718</v>
      </c>
      <c r="J10" s="1942">
        <v>227</v>
      </c>
      <c r="K10" s="1941">
        <v>10.783847980997626</v>
      </c>
    </row>
    <row r="11" spans="1:11" ht="20.100000000000001" customHeight="1">
      <c r="A11" s="299" t="s">
        <v>3076</v>
      </c>
      <c r="B11" s="1938">
        <v>245</v>
      </c>
      <c r="C11" s="1936">
        <v>21.267361111111111</v>
      </c>
      <c r="D11" s="1938">
        <v>384</v>
      </c>
      <c r="E11" s="1936">
        <v>19.4331983805668</v>
      </c>
      <c r="F11" s="1938">
        <v>515</v>
      </c>
      <c r="G11" s="1965">
        <v>20.542481053051457</v>
      </c>
      <c r="H11" s="1935">
        <v>639</v>
      </c>
      <c r="I11" s="1965">
        <v>19.3519079345851</v>
      </c>
      <c r="J11" s="1942">
        <v>353</v>
      </c>
      <c r="K11" s="1941">
        <v>16.769596199524941</v>
      </c>
    </row>
    <row r="12" spans="1:11" ht="20.100000000000001" customHeight="1">
      <c r="A12" s="299" t="s">
        <v>3077</v>
      </c>
      <c r="B12" s="1938">
        <v>260</v>
      </c>
      <c r="C12" s="1936">
        <v>22.569444444444446</v>
      </c>
      <c r="D12" s="1938">
        <v>432</v>
      </c>
      <c r="E12" s="1936">
        <v>21.862348178137651</v>
      </c>
      <c r="F12" s="1938">
        <v>648</v>
      </c>
      <c r="G12" s="1965">
        <v>25.8476266453929</v>
      </c>
      <c r="H12" s="1935">
        <v>906</v>
      </c>
      <c r="I12" s="1965">
        <v>27.437916414294367</v>
      </c>
      <c r="J12" s="1942">
        <v>557</v>
      </c>
      <c r="K12" s="1941">
        <v>26.460807600950119</v>
      </c>
    </row>
    <row r="13" spans="1:11" ht="20.100000000000001" customHeight="1" thickBot="1">
      <c r="A13" s="299" t="s">
        <v>3078</v>
      </c>
      <c r="B13" s="1938">
        <v>374</v>
      </c>
      <c r="C13" s="1936">
        <v>32.465277777777779</v>
      </c>
      <c r="D13" s="1938">
        <v>701</v>
      </c>
      <c r="E13" s="1936">
        <v>35.47570850202429</v>
      </c>
      <c r="F13" s="1938">
        <v>840</v>
      </c>
      <c r="G13" s="1965">
        <v>33.506182688472279</v>
      </c>
      <c r="H13" s="1935">
        <v>1265</v>
      </c>
      <c r="I13" s="1965">
        <v>38.310115081768629</v>
      </c>
      <c r="J13" s="1942">
        <v>845</v>
      </c>
      <c r="K13" s="1941">
        <v>40.142517814726844</v>
      </c>
    </row>
    <row r="14" spans="1:11" ht="20.100000000000001" customHeight="1">
      <c r="A14" s="1974"/>
      <c r="B14" s="3814" t="s">
        <v>3010</v>
      </c>
      <c r="C14" s="3830"/>
      <c r="D14" s="3813" t="s">
        <v>3011</v>
      </c>
      <c r="E14" s="3830"/>
      <c r="F14" s="3813" t="s">
        <v>3012</v>
      </c>
      <c r="G14" s="3814"/>
      <c r="H14" s="3813" t="s">
        <v>3013</v>
      </c>
      <c r="I14" s="3814"/>
      <c r="J14" s="3813" t="s">
        <v>3014</v>
      </c>
      <c r="K14" s="3814"/>
    </row>
    <row r="15" spans="1:11" s="1996" customFormat="1" ht="20.100000000000001" customHeight="1">
      <c r="A15" s="1833"/>
      <c r="B15" s="1927" t="s">
        <v>3001</v>
      </c>
      <c r="C15" s="1859" t="s">
        <v>3002</v>
      </c>
      <c r="D15" s="1927" t="s">
        <v>3001</v>
      </c>
      <c r="E15" s="1859" t="s">
        <v>3002</v>
      </c>
      <c r="F15" s="1927" t="s">
        <v>3001</v>
      </c>
      <c r="G15" s="1859" t="s">
        <v>2373</v>
      </c>
      <c r="H15" s="1927" t="s">
        <v>3001</v>
      </c>
      <c r="I15" s="1859" t="s">
        <v>3002</v>
      </c>
      <c r="J15" s="1927" t="s">
        <v>3001</v>
      </c>
      <c r="K15" s="1788" t="s">
        <v>3002</v>
      </c>
    </row>
    <row r="16" spans="1:11" s="1795" customFormat="1" ht="20.100000000000001" customHeight="1">
      <c r="A16" s="1961" t="s">
        <v>3017</v>
      </c>
      <c r="B16" s="1938">
        <f>SUM(B17:B18)</f>
        <v>2076</v>
      </c>
      <c r="C16" s="1971">
        <f>SUM(C17:C18)</f>
        <v>100</v>
      </c>
      <c r="D16" s="1938">
        <f t="shared" ref="D16:K16" si="5">SUM(D17:D18)</f>
        <v>1386</v>
      </c>
      <c r="E16" s="1971">
        <f t="shared" si="5"/>
        <v>100</v>
      </c>
      <c r="F16" s="1938">
        <f t="shared" si="5"/>
        <v>835</v>
      </c>
      <c r="G16" s="1971">
        <f t="shared" si="5"/>
        <v>100</v>
      </c>
      <c r="H16" s="1938">
        <f t="shared" si="5"/>
        <v>675</v>
      </c>
      <c r="I16" s="1971">
        <f t="shared" si="5"/>
        <v>100</v>
      </c>
      <c r="J16" s="1938">
        <f t="shared" si="5"/>
        <v>638</v>
      </c>
      <c r="K16" s="1965">
        <f t="shared" si="5"/>
        <v>100</v>
      </c>
    </row>
    <row r="17" spans="1:11" s="1795" customFormat="1" ht="16.5" customHeight="1">
      <c r="A17" s="1966" t="s">
        <v>3071</v>
      </c>
      <c r="B17" s="1938">
        <v>1528</v>
      </c>
      <c r="C17" s="1965">
        <f>B17/B$16*100</f>
        <v>73.603082851637765</v>
      </c>
      <c r="D17" s="1935">
        <v>1000</v>
      </c>
      <c r="E17" s="1936">
        <f t="shared" ref="E17:E18" si="6">D17/D$16*100</f>
        <v>72.150072150072148</v>
      </c>
      <c r="F17" s="1938">
        <v>596</v>
      </c>
      <c r="G17" s="1965">
        <f t="shared" ref="G17:G18" si="7">F17/F$16*100</f>
        <v>71.377245508982028</v>
      </c>
      <c r="H17" s="1935">
        <v>468</v>
      </c>
      <c r="I17" s="1965">
        <f t="shared" ref="I17:I18" si="8">H17/H$16*100</f>
        <v>69.333333333333343</v>
      </c>
      <c r="J17" s="1967">
        <v>502</v>
      </c>
      <c r="K17" s="1941">
        <f t="shared" ref="K17:K18" si="9">J17/J$16*100</f>
        <v>78.683385579937308</v>
      </c>
    </row>
    <row r="18" spans="1:11" s="1795" customFormat="1" ht="17.25" customHeight="1">
      <c r="A18" s="1968" t="s">
        <v>3079</v>
      </c>
      <c r="B18" s="1945">
        <v>548</v>
      </c>
      <c r="C18" s="1946">
        <f>B18/B$16*100</f>
        <v>26.396917148362238</v>
      </c>
      <c r="D18" s="1969">
        <v>386</v>
      </c>
      <c r="E18" s="1946">
        <f t="shared" si="6"/>
        <v>27.849927849927852</v>
      </c>
      <c r="F18" s="1945">
        <v>239</v>
      </c>
      <c r="G18" s="1946">
        <f t="shared" si="7"/>
        <v>28.622754491017965</v>
      </c>
      <c r="H18" s="1969">
        <v>207</v>
      </c>
      <c r="I18" s="1946">
        <f t="shared" si="8"/>
        <v>30.666666666666664</v>
      </c>
      <c r="J18" s="1970">
        <v>136</v>
      </c>
      <c r="K18" s="1952">
        <f t="shared" si="9"/>
        <v>21.316614420062695</v>
      </c>
    </row>
    <row r="19" spans="1:11" ht="20.100000000000001" customHeight="1">
      <c r="A19" s="299" t="s">
        <v>3072</v>
      </c>
      <c r="B19" s="1938" t="s">
        <v>3080</v>
      </c>
      <c r="C19" s="1971" t="s">
        <v>2442</v>
      </c>
      <c r="D19" s="1938" t="s">
        <v>3080</v>
      </c>
      <c r="E19" s="1971" t="s">
        <v>3009</v>
      </c>
      <c r="F19" s="1938" t="s">
        <v>3009</v>
      </c>
      <c r="G19" s="1971" t="s">
        <v>2430</v>
      </c>
      <c r="H19" s="1938" t="s">
        <v>3009</v>
      </c>
      <c r="I19" s="1971" t="s">
        <v>3009</v>
      </c>
      <c r="J19" s="1938" t="s">
        <v>3009</v>
      </c>
      <c r="K19" s="1965" t="s">
        <v>3009</v>
      </c>
    </row>
    <row r="20" spans="1:11" ht="20.100000000000001" customHeight="1">
      <c r="A20" s="299" t="s">
        <v>3081</v>
      </c>
      <c r="B20" s="1938">
        <v>19</v>
      </c>
      <c r="C20" s="1936">
        <v>0.91522157996146436</v>
      </c>
      <c r="D20" s="1938">
        <v>18</v>
      </c>
      <c r="E20" s="1936">
        <v>1.2987012987012987</v>
      </c>
      <c r="F20" s="1938">
        <v>7</v>
      </c>
      <c r="G20" s="1965">
        <v>0.83832335329341312</v>
      </c>
      <c r="H20" s="1935">
        <v>15</v>
      </c>
      <c r="I20" s="1965">
        <v>2.2222222222222223</v>
      </c>
      <c r="J20" s="1942">
        <v>7</v>
      </c>
      <c r="K20" s="1941">
        <v>1.0971786833855799</v>
      </c>
    </row>
    <row r="21" spans="1:11" ht="20.100000000000001" customHeight="1">
      <c r="A21" s="299" t="s">
        <v>2657</v>
      </c>
      <c r="B21" s="1938">
        <v>107</v>
      </c>
      <c r="C21" s="1936">
        <v>5.1541425818882463</v>
      </c>
      <c r="D21" s="1938">
        <v>66</v>
      </c>
      <c r="E21" s="1936">
        <v>4.7619047619047619</v>
      </c>
      <c r="F21" s="1938">
        <v>55</v>
      </c>
      <c r="G21" s="1965">
        <v>6.5868263473053901</v>
      </c>
      <c r="H21" s="1935">
        <v>42</v>
      </c>
      <c r="I21" s="1965">
        <v>6.2222222222222223</v>
      </c>
      <c r="J21" s="1942">
        <v>27</v>
      </c>
      <c r="K21" s="1941">
        <v>4.2319749216300941</v>
      </c>
    </row>
    <row r="22" spans="1:11" ht="20.100000000000001" customHeight="1">
      <c r="A22" s="299" t="s">
        <v>2903</v>
      </c>
      <c r="B22" s="1938">
        <v>248</v>
      </c>
      <c r="C22" s="1936">
        <v>11.946050096339114</v>
      </c>
      <c r="D22" s="1938">
        <v>185</v>
      </c>
      <c r="E22" s="1936">
        <v>13.347763347763347</v>
      </c>
      <c r="F22" s="1938">
        <v>119</v>
      </c>
      <c r="G22" s="1965">
        <v>14.251497005988023</v>
      </c>
      <c r="H22" s="1935">
        <v>81</v>
      </c>
      <c r="I22" s="1965">
        <v>12</v>
      </c>
      <c r="J22" s="1942">
        <v>84</v>
      </c>
      <c r="K22" s="1941">
        <v>13.166144200626958</v>
      </c>
    </row>
    <row r="23" spans="1:11" ht="20.100000000000001" customHeight="1">
      <c r="A23" s="299" t="s">
        <v>2670</v>
      </c>
      <c r="B23" s="1938">
        <v>304</v>
      </c>
      <c r="C23" s="1936">
        <v>14.64354527938343</v>
      </c>
      <c r="D23" s="1938">
        <v>209</v>
      </c>
      <c r="E23" s="1936">
        <v>15.079365079365079</v>
      </c>
      <c r="F23" s="1938">
        <v>112</v>
      </c>
      <c r="G23" s="1965">
        <v>13.41317365269461</v>
      </c>
      <c r="H23" s="1935">
        <v>115</v>
      </c>
      <c r="I23" s="1965">
        <v>17.037037037037038</v>
      </c>
      <c r="J23" s="1942">
        <v>94</v>
      </c>
      <c r="K23" s="1941">
        <v>14.733542319749215</v>
      </c>
    </row>
    <row r="24" spans="1:11" ht="20.100000000000001" customHeight="1">
      <c r="A24" s="299" t="s">
        <v>2897</v>
      </c>
      <c r="B24" s="1938">
        <v>539</v>
      </c>
      <c r="C24" s="1936">
        <v>25.96339113680154</v>
      </c>
      <c r="D24" s="1938">
        <v>345</v>
      </c>
      <c r="E24" s="1936">
        <v>24.891774891774894</v>
      </c>
      <c r="F24" s="1938">
        <v>217</v>
      </c>
      <c r="G24" s="1965">
        <v>25.988023952095809</v>
      </c>
      <c r="H24" s="1935">
        <v>173</v>
      </c>
      <c r="I24" s="1965">
        <v>25.62962962962963</v>
      </c>
      <c r="J24" s="1942">
        <v>175</v>
      </c>
      <c r="K24" s="1941">
        <v>27.429467084639498</v>
      </c>
    </row>
    <row r="25" spans="1:11" ht="20.100000000000001" customHeight="1">
      <c r="A25" s="299" t="s">
        <v>2905</v>
      </c>
      <c r="B25" s="1969">
        <v>859</v>
      </c>
      <c r="C25" s="1946">
        <v>41.377649325626201</v>
      </c>
      <c r="D25" s="1945">
        <v>563</v>
      </c>
      <c r="E25" s="1946">
        <v>40.620490620490621</v>
      </c>
      <c r="F25" s="1945">
        <v>325</v>
      </c>
      <c r="G25" s="2046">
        <v>38.922155688622759</v>
      </c>
      <c r="H25" s="1969">
        <v>249</v>
      </c>
      <c r="I25" s="2046">
        <v>36.888888888888886</v>
      </c>
      <c r="J25" s="1951">
        <v>251</v>
      </c>
      <c r="K25" s="1952">
        <v>39.341692789968654</v>
      </c>
    </row>
    <row r="26" spans="1:11" ht="15.75">
      <c r="A26" s="3868" t="s">
        <v>2673</v>
      </c>
      <c r="B26" s="3816"/>
      <c r="C26" s="3816"/>
      <c r="D26" s="3816"/>
      <c r="E26" s="3816"/>
    </row>
    <row r="27" spans="1:11" ht="15.75">
      <c r="A27" s="3837" t="s">
        <v>3082</v>
      </c>
      <c r="B27" s="3837"/>
      <c r="C27" s="3837"/>
      <c r="D27" s="3837"/>
      <c r="E27" s="3837"/>
      <c r="F27" s="3837"/>
      <c r="G27" s="3837"/>
      <c r="H27" s="3837"/>
      <c r="I27" s="3837"/>
      <c r="J27" s="3837"/>
      <c r="K27" s="3837"/>
    </row>
    <row r="28" spans="1:11" ht="15.75">
      <c r="A28" s="3837"/>
      <c r="B28" s="3837"/>
      <c r="C28" s="3837"/>
      <c r="D28" s="3837"/>
      <c r="E28" s="3837"/>
      <c r="F28" s="3837"/>
      <c r="G28" s="3837"/>
      <c r="H28" s="3837"/>
      <c r="I28" s="3837"/>
      <c r="J28" s="3837"/>
      <c r="K28" s="3837"/>
    </row>
  </sheetData>
  <mergeCells count="13">
    <mergeCell ref="A27:K28"/>
    <mergeCell ref="B14:C14"/>
    <mergeCell ref="D14:E14"/>
    <mergeCell ref="F14:G14"/>
    <mergeCell ref="H14:I14"/>
    <mergeCell ref="J14:K14"/>
    <mergeCell ref="A26:E26"/>
    <mergeCell ref="A1:K1"/>
    <mergeCell ref="B2:C2"/>
    <mergeCell ref="D2:E2"/>
    <mergeCell ref="F2:G2"/>
    <mergeCell ref="H2:I2"/>
    <mergeCell ref="J2:K2"/>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64"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U26"/>
  <sheetViews>
    <sheetView showGridLines="0" showRuler="0" zoomScaleNormal="100" zoomScalePageLayoutView="125" workbookViewId="0">
      <selection activeCell="B18" sqref="B18:D18"/>
    </sheetView>
  </sheetViews>
  <sheetFormatPr defaultColWidth="9" defaultRowHeight="15.75"/>
  <cols>
    <col min="1" max="1" width="26.875" style="1795" customWidth="1"/>
    <col min="2" max="11" width="8.625" style="1795" customWidth="1"/>
    <col min="12" max="16384" width="9" style="1795"/>
  </cols>
  <sheetData>
    <row r="1" spans="1:21" ht="25.5" customHeight="1">
      <c r="A1" s="3733" t="s">
        <v>3083</v>
      </c>
      <c r="B1" s="3733"/>
      <c r="C1" s="3733"/>
      <c r="D1" s="3733"/>
      <c r="E1" s="3733"/>
      <c r="F1" s="3733"/>
      <c r="G1" s="3733"/>
      <c r="H1" s="3733"/>
      <c r="I1" s="3733"/>
      <c r="J1" s="3733"/>
      <c r="K1" s="3733"/>
    </row>
    <row r="2" spans="1:21" ht="20.100000000000001" customHeight="1">
      <c r="A2" s="1832"/>
      <c r="B2" s="3799" t="s">
        <v>2477</v>
      </c>
      <c r="C2" s="3804"/>
      <c r="D2" s="3803" t="s">
        <v>3084</v>
      </c>
      <c r="E2" s="3804"/>
      <c r="F2" s="3803" t="s">
        <v>2975</v>
      </c>
      <c r="G2" s="3799"/>
      <c r="H2" s="3803" t="s">
        <v>2976</v>
      </c>
      <c r="I2" s="3799" t="s">
        <v>3085</v>
      </c>
      <c r="J2" s="3803" t="s">
        <v>3086</v>
      </c>
      <c r="K2" s="3799"/>
    </row>
    <row r="3" spans="1:21" s="1960" customFormat="1" ht="20.100000000000001" customHeight="1">
      <c r="A3" s="2056"/>
      <c r="B3" s="1927" t="s">
        <v>2652</v>
      </c>
      <c r="C3" s="1859" t="s">
        <v>3015</v>
      </c>
      <c r="D3" s="1927" t="s">
        <v>3016</v>
      </c>
      <c r="E3" s="1859" t="s">
        <v>2102</v>
      </c>
      <c r="F3" s="1927" t="s">
        <v>2652</v>
      </c>
      <c r="G3" s="1859" t="s">
        <v>2373</v>
      </c>
      <c r="H3" s="1927" t="s">
        <v>2652</v>
      </c>
      <c r="I3" s="1859" t="s">
        <v>2102</v>
      </c>
      <c r="J3" s="1927" t="s">
        <v>2652</v>
      </c>
      <c r="K3" s="1788" t="s">
        <v>2102</v>
      </c>
    </row>
    <row r="4" spans="1:21" ht="19.350000000000001" customHeight="1">
      <c r="A4" s="299" t="s">
        <v>3003</v>
      </c>
      <c r="B4" s="1839">
        <v>1152</v>
      </c>
      <c r="C4" s="2072">
        <v>100</v>
      </c>
      <c r="D4" s="1839">
        <v>1976</v>
      </c>
      <c r="E4" s="2072">
        <v>100.00000000000001</v>
      </c>
      <c r="F4" s="1839">
        <v>2507</v>
      </c>
      <c r="G4" s="2072">
        <v>100</v>
      </c>
      <c r="H4" s="1839">
        <v>3302</v>
      </c>
      <c r="I4" s="2014">
        <v>99.999999999999986</v>
      </c>
      <c r="J4" s="1839">
        <v>2105</v>
      </c>
      <c r="K4" s="2014">
        <v>100</v>
      </c>
      <c r="L4" s="2115"/>
      <c r="M4" s="2115"/>
      <c r="N4" s="2115"/>
      <c r="O4" s="2115"/>
      <c r="P4" s="2115"/>
      <c r="Q4" s="2115"/>
      <c r="R4" s="2115"/>
      <c r="S4" s="2115"/>
      <c r="T4" s="2115"/>
      <c r="U4" s="2115"/>
    </row>
    <row r="5" spans="1:21" ht="20.100000000000001" customHeight="1">
      <c r="A5" s="299" t="s">
        <v>3087</v>
      </c>
      <c r="B5" s="1942" t="s">
        <v>3080</v>
      </c>
      <c r="C5" s="1939" t="s">
        <v>5</v>
      </c>
      <c r="D5" s="1942">
        <v>7</v>
      </c>
      <c r="E5" s="2009">
        <v>0.354251012145749</v>
      </c>
      <c r="F5" s="1942">
        <v>3</v>
      </c>
      <c r="G5" s="2009">
        <v>0.11966493817311527</v>
      </c>
      <c r="H5" s="1942">
        <v>2</v>
      </c>
      <c r="I5" s="2009">
        <v>6.0569351907934582E-2</v>
      </c>
      <c r="J5" s="1942">
        <v>6</v>
      </c>
      <c r="K5" s="2009">
        <v>0.28503562945368172</v>
      </c>
    </row>
    <row r="6" spans="1:21" ht="20.100000000000001" customHeight="1">
      <c r="A6" s="299" t="s">
        <v>3088</v>
      </c>
      <c r="B6" s="1942">
        <v>6</v>
      </c>
      <c r="C6" s="2009">
        <v>0.52083333333333326</v>
      </c>
      <c r="D6" s="1942">
        <v>4</v>
      </c>
      <c r="E6" s="2009">
        <v>0.20242914979757085</v>
      </c>
      <c r="F6" s="1844">
        <v>6</v>
      </c>
      <c r="G6" s="2009">
        <v>0.23932987634623054</v>
      </c>
      <c r="H6" s="1942">
        <v>7</v>
      </c>
      <c r="I6" s="2009">
        <v>0.21199273167777105</v>
      </c>
      <c r="J6" s="1844">
        <v>8</v>
      </c>
      <c r="K6" s="2009">
        <v>0.38004750593824227</v>
      </c>
    </row>
    <row r="7" spans="1:21" ht="20.100000000000001" customHeight="1">
      <c r="A7" s="299" t="s">
        <v>2742</v>
      </c>
      <c r="B7" s="1942">
        <v>192</v>
      </c>
      <c r="C7" s="2009">
        <v>16.666666666666664</v>
      </c>
      <c r="D7" s="1844">
        <v>315</v>
      </c>
      <c r="E7" s="2009">
        <v>15.941295546558704</v>
      </c>
      <c r="F7" s="1844">
        <v>377</v>
      </c>
      <c r="G7" s="2009">
        <v>15.037893897088153</v>
      </c>
      <c r="H7" s="1844">
        <v>502</v>
      </c>
      <c r="I7" s="2009">
        <v>15.20290732889158</v>
      </c>
      <c r="J7" s="1942">
        <v>306</v>
      </c>
      <c r="K7" s="1938">
        <v>14.536817102137768</v>
      </c>
    </row>
    <row r="8" spans="1:21" ht="20.100000000000001" customHeight="1">
      <c r="A8" s="299" t="s">
        <v>2743</v>
      </c>
      <c r="B8" s="1844">
        <v>447</v>
      </c>
      <c r="C8" s="2009">
        <v>38.802083333333329</v>
      </c>
      <c r="D8" s="1844">
        <v>736</v>
      </c>
      <c r="E8" s="2009">
        <v>37.246963562753038</v>
      </c>
      <c r="F8" s="1844">
        <v>847</v>
      </c>
      <c r="G8" s="2009">
        <v>33.785400877542884</v>
      </c>
      <c r="H8" s="1844">
        <v>903</v>
      </c>
      <c r="I8" s="2009">
        <v>27.347062386432462</v>
      </c>
      <c r="J8" s="1844">
        <v>638</v>
      </c>
      <c r="K8" s="2073">
        <v>30.308788598574822</v>
      </c>
    </row>
    <row r="9" spans="1:21" ht="20.100000000000001" customHeight="1">
      <c r="A9" s="299" t="s">
        <v>3089</v>
      </c>
      <c r="B9" s="1844">
        <v>9</v>
      </c>
      <c r="C9" s="2009">
        <v>0.78125</v>
      </c>
      <c r="D9" s="1844">
        <v>15</v>
      </c>
      <c r="E9" s="2009">
        <v>0.75910931174089069</v>
      </c>
      <c r="F9" s="1844">
        <v>31</v>
      </c>
      <c r="G9" s="2009">
        <v>1.2365376944555246</v>
      </c>
      <c r="H9" s="1844">
        <v>24</v>
      </c>
      <c r="I9" s="2009">
        <v>0.7268322228952151</v>
      </c>
      <c r="J9" s="1844">
        <v>13</v>
      </c>
      <c r="K9" s="2073">
        <v>0.61757719714964376</v>
      </c>
    </row>
    <row r="10" spans="1:21" ht="16.5">
      <c r="A10" s="299" t="s">
        <v>3090</v>
      </c>
      <c r="B10" s="1844">
        <v>495</v>
      </c>
      <c r="C10" s="2009">
        <v>42.96875</v>
      </c>
      <c r="D10" s="1844">
        <v>891</v>
      </c>
      <c r="E10" s="2009">
        <v>45.09109311740891</v>
      </c>
      <c r="F10" s="1844">
        <v>1239</v>
      </c>
      <c r="G10" s="2009">
        <v>49.421619465496605</v>
      </c>
      <c r="H10" s="1844">
        <v>1857</v>
      </c>
      <c r="I10" s="2009">
        <v>56.238643246517263</v>
      </c>
      <c r="J10" s="1844">
        <v>1131</v>
      </c>
      <c r="K10" s="2073">
        <v>53.729216152018999</v>
      </c>
    </row>
    <row r="11" spans="1:21" ht="16.5">
      <c r="A11" s="299" t="s">
        <v>3091</v>
      </c>
      <c r="B11" s="1844">
        <v>3</v>
      </c>
      <c r="C11" s="2009">
        <v>0.26041666666666663</v>
      </c>
      <c r="D11" s="1844">
        <v>8</v>
      </c>
      <c r="E11" s="2009">
        <v>0.40485829959514169</v>
      </c>
      <c r="F11" s="1844">
        <v>4</v>
      </c>
      <c r="G11" s="2009">
        <v>0.15955325089748704</v>
      </c>
      <c r="H11" s="1844">
        <v>7</v>
      </c>
      <c r="I11" s="2009">
        <v>0.21199273167777105</v>
      </c>
      <c r="J11" s="1844">
        <v>3</v>
      </c>
      <c r="K11" s="2073">
        <v>0.14251781472684086</v>
      </c>
    </row>
    <row r="12" spans="1:21" ht="17.25" thickBot="1">
      <c r="A12" s="299" t="s">
        <v>2762</v>
      </c>
      <c r="B12" s="1844" t="s">
        <v>2430</v>
      </c>
      <c r="C12" s="2009" t="s">
        <v>3009</v>
      </c>
      <c r="D12" s="1844" t="s">
        <v>3080</v>
      </c>
      <c r="E12" s="2009" t="s">
        <v>3080</v>
      </c>
      <c r="F12" s="1844" t="s">
        <v>3080</v>
      </c>
      <c r="G12" s="2009" t="s">
        <v>2442</v>
      </c>
      <c r="H12" s="1844" t="s">
        <v>2430</v>
      </c>
      <c r="I12" s="2009" t="s">
        <v>2430</v>
      </c>
      <c r="J12" s="1951" t="s">
        <v>2430</v>
      </c>
      <c r="K12" s="1948" t="s">
        <v>2430</v>
      </c>
    </row>
    <row r="13" spans="1:21" ht="20.100000000000001" customHeight="1">
      <c r="A13" s="2116"/>
      <c r="B13" s="3814" t="s">
        <v>3092</v>
      </c>
      <c r="C13" s="3830"/>
      <c r="D13" s="3813" t="s">
        <v>2750</v>
      </c>
      <c r="E13" s="3830"/>
      <c r="F13" s="3813" t="s">
        <v>2751</v>
      </c>
      <c r="G13" s="3814"/>
      <c r="H13" s="3813" t="s">
        <v>2808</v>
      </c>
      <c r="I13" s="3814"/>
      <c r="J13" s="3813" t="s">
        <v>2969</v>
      </c>
      <c r="K13" s="3814"/>
    </row>
    <row r="14" spans="1:21" s="1960" customFormat="1" ht="20.100000000000001" customHeight="1">
      <c r="A14" s="2056"/>
      <c r="B14" s="1927" t="s">
        <v>2652</v>
      </c>
      <c r="C14" s="1859" t="s">
        <v>3015</v>
      </c>
      <c r="D14" s="1927" t="s">
        <v>2652</v>
      </c>
      <c r="E14" s="1859" t="s">
        <v>2102</v>
      </c>
      <c r="F14" s="1927" t="s">
        <v>2563</v>
      </c>
      <c r="G14" s="1859" t="s">
        <v>3015</v>
      </c>
      <c r="H14" s="1927" t="s">
        <v>2563</v>
      </c>
      <c r="I14" s="1859" t="s">
        <v>3015</v>
      </c>
      <c r="J14" s="1927" t="s">
        <v>2652</v>
      </c>
      <c r="K14" s="1788" t="s">
        <v>3015</v>
      </c>
    </row>
    <row r="15" spans="1:21" ht="18.600000000000001" customHeight="1">
      <c r="A15" s="299" t="s">
        <v>2496</v>
      </c>
      <c r="B15" s="1839">
        <v>2076</v>
      </c>
      <c r="C15" s="2072">
        <v>100</v>
      </c>
      <c r="D15" s="1839">
        <v>1386</v>
      </c>
      <c r="E15" s="2072">
        <v>100</v>
      </c>
      <c r="F15" s="1839">
        <v>835</v>
      </c>
      <c r="G15" s="2072">
        <v>100</v>
      </c>
      <c r="H15" s="1839">
        <v>675</v>
      </c>
      <c r="I15" s="2014">
        <v>100.00000000000001</v>
      </c>
      <c r="J15" s="1839">
        <v>638</v>
      </c>
      <c r="K15" s="2014">
        <f>SUM(K16:K23)</f>
        <v>100.00000000000001</v>
      </c>
      <c r="L15" s="2115"/>
      <c r="M15" s="2115"/>
      <c r="N15" s="2115"/>
      <c r="O15" s="2115"/>
      <c r="P15" s="2115"/>
      <c r="Q15" s="2115"/>
      <c r="R15" s="2115"/>
      <c r="S15" s="2115"/>
      <c r="T15" s="2115"/>
      <c r="U15" s="2115"/>
    </row>
    <row r="16" spans="1:21" ht="20.100000000000001" customHeight="1">
      <c r="A16" s="299" t="s">
        <v>3087</v>
      </c>
      <c r="B16" s="1942">
        <v>2</v>
      </c>
      <c r="C16" s="2009">
        <v>9.6339113680154145E-2</v>
      </c>
      <c r="D16" s="1942" t="s">
        <v>2430</v>
      </c>
      <c r="E16" s="1939" t="s">
        <v>2430</v>
      </c>
      <c r="F16" s="1942">
        <v>3</v>
      </c>
      <c r="G16" s="2009">
        <v>0.3592814371257485</v>
      </c>
      <c r="H16" s="1942">
        <v>1</v>
      </c>
      <c r="I16" s="2009">
        <v>0.14814814814814814</v>
      </c>
      <c r="J16" s="1942">
        <v>1</v>
      </c>
      <c r="K16" s="2009">
        <f>J16/J$15*100</f>
        <v>0.15673981191222569</v>
      </c>
    </row>
    <row r="17" spans="1:11" ht="20.100000000000001" customHeight="1">
      <c r="A17" s="299" t="s">
        <v>3093</v>
      </c>
      <c r="B17" s="1942">
        <v>4</v>
      </c>
      <c r="C17" s="2009">
        <v>0.19267822736030829</v>
      </c>
      <c r="D17" s="1942">
        <v>5</v>
      </c>
      <c r="E17" s="2009">
        <v>0.36075036075036077</v>
      </c>
      <c r="F17" s="1844">
        <v>6</v>
      </c>
      <c r="G17" s="2009">
        <v>0.71856287425149701</v>
      </c>
      <c r="H17" s="1942">
        <v>4</v>
      </c>
      <c r="I17" s="2009">
        <v>0.59259259259259256</v>
      </c>
      <c r="J17" s="1844">
        <v>2</v>
      </c>
      <c r="K17" s="2009">
        <f t="shared" ref="K17:K23" si="0">J17/J$15*100</f>
        <v>0.31347962382445138</v>
      </c>
    </row>
    <row r="18" spans="1:11" ht="20.100000000000001" customHeight="1">
      <c r="A18" s="299" t="s">
        <v>2757</v>
      </c>
      <c r="B18" s="1942">
        <v>263</v>
      </c>
      <c r="C18" s="1941">
        <v>12.668593448940268</v>
      </c>
      <c r="D18" s="1844">
        <v>138</v>
      </c>
      <c r="E18" s="2009">
        <v>9.9567099567099575</v>
      </c>
      <c r="F18" s="1844">
        <v>78</v>
      </c>
      <c r="G18" s="2009">
        <v>9.341317365269461</v>
      </c>
      <c r="H18" s="1844">
        <v>87</v>
      </c>
      <c r="I18" s="2009">
        <v>12.888888888888889</v>
      </c>
      <c r="J18" s="1942">
        <v>76</v>
      </c>
      <c r="K18" s="2009">
        <f t="shared" si="0"/>
        <v>11.912225705329153</v>
      </c>
    </row>
    <row r="19" spans="1:11" ht="20.100000000000001" customHeight="1">
      <c r="A19" s="299" t="s">
        <v>2743</v>
      </c>
      <c r="B19" s="1844">
        <v>582</v>
      </c>
      <c r="C19" s="2009">
        <v>28.034682080924856</v>
      </c>
      <c r="D19" s="1844">
        <v>417</v>
      </c>
      <c r="E19" s="2009">
        <v>30.086580086580089</v>
      </c>
      <c r="F19" s="1844">
        <v>255</v>
      </c>
      <c r="G19" s="2009">
        <v>30.538922155688624</v>
      </c>
      <c r="H19" s="1844">
        <v>234</v>
      </c>
      <c r="I19" s="2009">
        <v>34.666666666666671</v>
      </c>
      <c r="J19" s="1844">
        <v>204</v>
      </c>
      <c r="K19" s="2009">
        <f t="shared" si="0"/>
        <v>31.974921630094045</v>
      </c>
    </row>
    <row r="20" spans="1:11" ht="20.100000000000001" customHeight="1">
      <c r="A20" s="299" t="s">
        <v>3094</v>
      </c>
      <c r="B20" s="1844">
        <v>10</v>
      </c>
      <c r="C20" s="2009">
        <v>0.48169556840077066</v>
      </c>
      <c r="D20" s="1844">
        <v>19</v>
      </c>
      <c r="E20" s="2009">
        <v>1.3708513708513708</v>
      </c>
      <c r="F20" s="1844">
        <v>3</v>
      </c>
      <c r="G20" s="2009">
        <v>0.3592814371257485</v>
      </c>
      <c r="H20" s="1844">
        <v>5</v>
      </c>
      <c r="I20" s="2009">
        <v>0.74074074074074081</v>
      </c>
      <c r="J20" s="1844">
        <v>2</v>
      </c>
      <c r="K20" s="2009">
        <f t="shared" si="0"/>
        <v>0.31347962382445138</v>
      </c>
    </row>
    <row r="21" spans="1:11" ht="16.5">
      <c r="A21" s="299" t="s">
        <v>3095</v>
      </c>
      <c r="B21" s="1844">
        <v>1211</v>
      </c>
      <c r="C21" s="2009">
        <v>58.333333333333336</v>
      </c>
      <c r="D21" s="1844">
        <v>805</v>
      </c>
      <c r="E21" s="2009">
        <v>58.080808080808076</v>
      </c>
      <c r="F21" s="1844">
        <v>488</v>
      </c>
      <c r="G21" s="2009">
        <v>58.443113772455092</v>
      </c>
      <c r="H21" s="1844">
        <v>340</v>
      </c>
      <c r="I21" s="2009">
        <v>50.370370370370367</v>
      </c>
      <c r="J21" s="1844">
        <v>351</v>
      </c>
      <c r="K21" s="2009">
        <f t="shared" si="0"/>
        <v>55.015673981191227</v>
      </c>
    </row>
    <row r="22" spans="1:11" ht="16.5">
      <c r="A22" s="299" t="s">
        <v>2746</v>
      </c>
      <c r="B22" s="1844">
        <v>4</v>
      </c>
      <c r="C22" s="2009">
        <v>0.19267822736030829</v>
      </c>
      <c r="D22" s="1844">
        <v>2</v>
      </c>
      <c r="E22" s="2009">
        <v>0.14430014430014429</v>
      </c>
      <c r="F22" s="1844">
        <v>2</v>
      </c>
      <c r="G22" s="2009">
        <v>0.23952095808383234</v>
      </c>
      <c r="H22" s="1844">
        <v>4</v>
      </c>
      <c r="I22" s="2009">
        <v>0.59259259259259256</v>
      </c>
      <c r="J22" s="1844">
        <v>1</v>
      </c>
      <c r="K22" s="2009">
        <f t="shared" si="0"/>
        <v>0.15673981191222569</v>
      </c>
    </row>
    <row r="23" spans="1:11" ht="16.5">
      <c r="A23" s="299" t="s">
        <v>3096</v>
      </c>
      <c r="B23" s="2076" t="s">
        <v>2442</v>
      </c>
      <c r="C23" s="2077" t="s">
        <v>2430</v>
      </c>
      <c r="D23" s="2076" t="s">
        <v>2430</v>
      </c>
      <c r="E23" s="2077" t="s">
        <v>2430</v>
      </c>
      <c r="F23" s="2076" t="s">
        <v>3080</v>
      </c>
      <c r="G23" s="2077" t="s">
        <v>2430</v>
      </c>
      <c r="H23" s="2076" t="s">
        <v>3080</v>
      </c>
      <c r="I23" s="2117" t="s">
        <v>2430</v>
      </c>
      <c r="J23" s="1951">
        <v>1</v>
      </c>
      <c r="K23" s="2077">
        <f t="shared" si="0"/>
        <v>0.15673981191222569</v>
      </c>
    </row>
    <row r="24" spans="1:11">
      <c r="A24" s="3762" t="s">
        <v>3097</v>
      </c>
      <c r="B24" s="3759"/>
      <c r="C24" s="3759"/>
      <c r="D24" s="1829"/>
      <c r="E24" s="1829"/>
      <c r="F24" s="1829"/>
      <c r="G24" s="1829"/>
      <c r="H24" s="2118"/>
      <c r="I24" s="2051"/>
      <c r="J24" s="2119"/>
      <c r="K24" s="2049"/>
    </row>
    <row r="25" spans="1:11" ht="32.25" customHeight="1">
      <c r="A25" s="3845" t="s">
        <v>3098</v>
      </c>
      <c r="B25" s="3816"/>
      <c r="C25" s="3816"/>
      <c r="D25" s="3816"/>
      <c r="E25" s="3816"/>
    </row>
    <row r="26" spans="1:11">
      <c r="A26" s="3815"/>
      <c r="B26" s="3815"/>
      <c r="C26" s="3815"/>
      <c r="D26" s="3815"/>
      <c r="E26" s="3815"/>
    </row>
  </sheetData>
  <mergeCells count="14">
    <mergeCell ref="A25:E25"/>
    <mergeCell ref="A26:E26"/>
    <mergeCell ref="B13:C13"/>
    <mergeCell ref="D13:E13"/>
    <mergeCell ref="F13:G13"/>
    <mergeCell ref="H13:I13"/>
    <mergeCell ref="J13:K13"/>
    <mergeCell ref="A24:C24"/>
    <mergeCell ref="A1:K1"/>
    <mergeCell ref="B2:C2"/>
    <mergeCell ref="D2:E2"/>
    <mergeCell ref="F2:G2"/>
    <mergeCell ref="H2:I2"/>
    <mergeCell ref="J2:K2"/>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69"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U22"/>
  <sheetViews>
    <sheetView showGridLines="0" showRuler="0" zoomScaleNormal="100" zoomScalePageLayoutView="125" workbookViewId="0">
      <selection activeCell="B18" sqref="B18:D18"/>
    </sheetView>
  </sheetViews>
  <sheetFormatPr defaultColWidth="9" defaultRowHeight="15.75"/>
  <cols>
    <col min="1" max="1" width="15.625" style="1795" customWidth="1"/>
    <col min="2" max="21" width="7.625" style="1795" customWidth="1"/>
    <col min="22" max="16384" width="9" style="1795"/>
  </cols>
  <sheetData>
    <row r="1" spans="1:21" s="2024" customFormat="1" ht="28.5" customHeight="1">
      <c r="A1" s="3733" t="s">
        <v>3099</v>
      </c>
      <c r="B1" s="3733"/>
      <c r="C1" s="3733"/>
      <c r="D1" s="3733"/>
      <c r="E1" s="3733"/>
      <c r="F1" s="3733"/>
      <c r="G1" s="3733"/>
      <c r="H1" s="3733"/>
      <c r="I1" s="3733"/>
      <c r="J1" s="3733"/>
      <c r="K1" s="3733"/>
      <c r="L1" s="3733"/>
      <c r="M1" s="3733"/>
      <c r="N1" s="3733"/>
      <c r="O1" s="3733"/>
      <c r="P1" s="3733"/>
      <c r="Q1" s="3733"/>
      <c r="R1" s="3733"/>
      <c r="S1" s="3733"/>
      <c r="T1" s="3733"/>
      <c r="U1" s="3733"/>
    </row>
    <row r="2" spans="1:21" ht="20.100000000000001" customHeight="1">
      <c r="A2" s="3717"/>
      <c r="B2" s="3799" t="s">
        <v>2477</v>
      </c>
      <c r="C2" s="3799"/>
      <c r="D2" s="3799"/>
      <c r="E2" s="3804"/>
      <c r="F2" s="3803" t="s">
        <v>3084</v>
      </c>
      <c r="G2" s="3799"/>
      <c r="H2" s="3799"/>
      <c r="I2" s="3804"/>
      <c r="J2" s="3803" t="s">
        <v>2975</v>
      </c>
      <c r="K2" s="3799"/>
      <c r="L2" s="3799"/>
      <c r="M2" s="3804"/>
      <c r="N2" s="3803" t="s">
        <v>2976</v>
      </c>
      <c r="O2" s="3799"/>
      <c r="P2" s="3799"/>
      <c r="Q2" s="3804"/>
      <c r="R2" s="3803" t="s">
        <v>3000</v>
      </c>
      <c r="S2" s="3799"/>
      <c r="T2" s="3799"/>
      <c r="U2" s="3799"/>
    </row>
    <row r="3" spans="1:21" s="1960" customFormat="1" ht="20.100000000000001" customHeight="1">
      <c r="A3" s="3831"/>
      <c r="B3" s="3722" t="s">
        <v>3100</v>
      </c>
      <c r="C3" s="3722"/>
      <c r="D3" s="3734"/>
      <c r="E3" s="3719" t="s">
        <v>2769</v>
      </c>
      <c r="F3" s="3803" t="s">
        <v>2770</v>
      </c>
      <c r="G3" s="3799"/>
      <c r="H3" s="3804"/>
      <c r="I3" s="3807" t="s">
        <v>3101</v>
      </c>
      <c r="J3" s="3803" t="s">
        <v>3100</v>
      </c>
      <c r="K3" s="3799"/>
      <c r="L3" s="3804"/>
      <c r="M3" s="3807" t="s">
        <v>2769</v>
      </c>
      <c r="N3" s="3730" t="s">
        <v>2770</v>
      </c>
      <c r="O3" s="3722"/>
      <c r="P3" s="3734"/>
      <c r="Q3" s="3719" t="s">
        <v>3101</v>
      </c>
      <c r="R3" s="3730" t="s">
        <v>3100</v>
      </c>
      <c r="S3" s="3722"/>
      <c r="T3" s="3734"/>
      <c r="U3" s="3721" t="s">
        <v>3102</v>
      </c>
    </row>
    <row r="4" spans="1:21" s="1960" customFormat="1" ht="20.100000000000001" customHeight="1">
      <c r="A4" s="3522"/>
      <c r="B4" s="1927" t="s">
        <v>2496</v>
      </c>
      <c r="C4" s="1927" t="s">
        <v>3103</v>
      </c>
      <c r="D4" s="1927" t="s">
        <v>3104</v>
      </c>
      <c r="E4" s="3720"/>
      <c r="F4" s="1903" t="s">
        <v>3003</v>
      </c>
      <c r="G4" s="1902" t="s">
        <v>2775</v>
      </c>
      <c r="H4" s="1902" t="s">
        <v>3105</v>
      </c>
      <c r="I4" s="3808"/>
      <c r="J4" s="1903" t="s">
        <v>3003</v>
      </c>
      <c r="K4" s="1902" t="s">
        <v>2775</v>
      </c>
      <c r="L4" s="1902" t="s">
        <v>3105</v>
      </c>
      <c r="M4" s="3808"/>
      <c r="N4" s="1859" t="s">
        <v>3017</v>
      </c>
      <c r="O4" s="1927" t="s">
        <v>3103</v>
      </c>
      <c r="P4" s="1927" t="s">
        <v>3105</v>
      </c>
      <c r="Q4" s="3720"/>
      <c r="R4" s="1859" t="s">
        <v>2496</v>
      </c>
      <c r="S4" s="1927" t="s">
        <v>2775</v>
      </c>
      <c r="T4" s="1927" t="s">
        <v>3105</v>
      </c>
      <c r="U4" s="3836"/>
    </row>
    <row r="5" spans="1:21" s="1960" customFormat="1" ht="20.100000000000001" customHeight="1">
      <c r="A5" s="1997" t="s">
        <v>3017</v>
      </c>
      <c r="B5" s="2004">
        <f t="shared" ref="B5:B10" si="0">SUM(C5,D5)</f>
        <v>1152</v>
      </c>
      <c r="C5" s="2004">
        <f>SUM(C6:C10)</f>
        <v>780</v>
      </c>
      <c r="D5" s="2004">
        <f>SUM(D6:D10)</f>
        <v>372</v>
      </c>
      <c r="E5" s="1842">
        <f>SUM(E6:E10)</f>
        <v>100.00000000000001</v>
      </c>
      <c r="F5" s="1998">
        <f t="shared" ref="F5:F10" si="1">SUM(G5,H5)</f>
        <v>1976</v>
      </c>
      <c r="G5" s="2004">
        <f>SUM(G6:G10)</f>
        <v>1481</v>
      </c>
      <c r="H5" s="2004">
        <f>SUM(H6:H10)</f>
        <v>495</v>
      </c>
      <c r="I5" s="1842">
        <f>SUM(I6:I10)</f>
        <v>100</v>
      </c>
      <c r="J5" s="2004">
        <f t="shared" ref="J5:J10" si="2">SUM(K5,L5)</f>
        <v>2507</v>
      </c>
      <c r="K5" s="2004">
        <f>SUM(K6:K10)</f>
        <v>1914</v>
      </c>
      <c r="L5" s="2004">
        <f>SUM(L6:L10)</f>
        <v>593</v>
      </c>
      <c r="M5" s="1842">
        <f>SUM(M6:M10)</f>
        <v>100</v>
      </c>
      <c r="N5" s="1998">
        <f t="shared" ref="N5:N10" si="3">SUM(O5,P5)</f>
        <v>3302</v>
      </c>
      <c r="O5" s="2004">
        <f>SUM(O6:O10)</f>
        <v>2550</v>
      </c>
      <c r="P5" s="2004">
        <f>SUM(P6:P10)</f>
        <v>752</v>
      </c>
      <c r="Q5" s="1840">
        <f>SUM(Q6:Q10)</f>
        <v>99.999999999999986</v>
      </c>
      <c r="R5" s="1998">
        <f t="shared" ref="R5:R10" si="4">SUM(S5,T5)</f>
        <v>2105</v>
      </c>
      <c r="S5" s="2004">
        <f>SUM(S6:S10)</f>
        <v>1547</v>
      </c>
      <c r="T5" s="2004">
        <f>SUM(T6:T10)</f>
        <v>558</v>
      </c>
      <c r="U5" s="1840">
        <f>SUM(U6:U10)</f>
        <v>100.00000000000001</v>
      </c>
    </row>
    <row r="6" spans="1:21" ht="20.100000000000001" customHeight="1">
      <c r="A6" s="299" t="s">
        <v>3106</v>
      </c>
      <c r="B6" s="2004">
        <f t="shared" si="0"/>
        <v>540</v>
      </c>
      <c r="C6" s="2004">
        <v>349</v>
      </c>
      <c r="D6" s="2004">
        <v>191</v>
      </c>
      <c r="E6" s="1842">
        <f>B6/B$5*100</f>
        <v>46.875</v>
      </c>
      <c r="F6" s="2004">
        <f t="shared" si="1"/>
        <v>864</v>
      </c>
      <c r="G6" s="2004">
        <v>641</v>
      </c>
      <c r="H6" s="2004">
        <v>223</v>
      </c>
      <c r="I6" s="1842">
        <f>F6/F$5*100</f>
        <v>43.724696356275302</v>
      </c>
      <c r="J6" s="2004">
        <f t="shared" si="2"/>
        <v>1088</v>
      </c>
      <c r="K6" s="2004">
        <v>787</v>
      </c>
      <c r="L6" s="2004">
        <v>301</v>
      </c>
      <c r="M6" s="1842">
        <f>J6/J$5*100</f>
        <v>43.398484244116474</v>
      </c>
      <c r="N6" s="2004">
        <f t="shared" si="3"/>
        <v>1312</v>
      </c>
      <c r="O6" s="2004">
        <v>975</v>
      </c>
      <c r="P6" s="2004">
        <v>337</v>
      </c>
      <c r="Q6" s="1842">
        <f>N6/N$5*100</f>
        <v>39.733494851605087</v>
      </c>
      <c r="R6" s="2004">
        <f t="shared" si="4"/>
        <v>786</v>
      </c>
      <c r="S6" s="2004">
        <v>523</v>
      </c>
      <c r="T6" s="2004">
        <v>263</v>
      </c>
      <c r="U6" s="1845">
        <f>R6/R$5*100</f>
        <v>37.339667458432302</v>
      </c>
    </row>
    <row r="7" spans="1:21" ht="20.100000000000001" customHeight="1">
      <c r="A7" s="299" t="s">
        <v>3107</v>
      </c>
      <c r="B7" s="2004">
        <f t="shared" si="0"/>
        <v>281</v>
      </c>
      <c r="C7" s="2004">
        <v>192</v>
      </c>
      <c r="D7" s="2004">
        <v>89</v>
      </c>
      <c r="E7" s="1842">
        <f>B7/B$5*100</f>
        <v>24.392361111111111</v>
      </c>
      <c r="F7" s="2004">
        <f t="shared" si="1"/>
        <v>454</v>
      </c>
      <c r="G7" s="2004">
        <v>301</v>
      </c>
      <c r="H7" s="2004">
        <v>153</v>
      </c>
      <c r="I7" s="1842">
        <f>F7/F$5*100</f>
        <v>22.975708502024293</v>
      </c>
      <c r="J7" s="2004">
        <f t="shared" si="2"/>
        <v>583</v>
      </c>
      <c r="K7" s="2004">
        <v>425</v>
      </c>
      <c r="L7" s="2004">
        <v>158</v>
      </c>
      <c r="M7" s="1842">
        <f>J7/J$5*100</f>
        <v>23.254886318308735</v>
      </c>
      <c r="N7" s="2004">
        <f t="shared" si="3"/>
        <v>783</v>
      </c>
      <c r="O7" s="2004">
        <v>585</v>
      </c>
      <c r="P7" s="2004">
        <v>198</v>
      </c>
      <c r="Q7" s="1845">
        <f>N7/N$5*100</f>
        <v>23.71290127195639</v>
      </c>
      <c r="R7" s="2006">
        <f t="shared" si="4"/>
        <v>496</v>
      </c>
      <c r="S7" s="2004">
        <v>339</v>
      </c>
      <c r="T7" s="2004">
        <v>157</v>
      </c>
      <c r="U7" s="1845">
        <f>R7/R$5*100</f>
        <v>23.562945368171022</v>
      </c>
    </row>
    <row r="8" spans="1:21" ht="20.100000000000001" customHeight="1">
      <c r="A8" s="299" t="s">
        <v>2966</v>
      </c>
      <c r="B8" s="2004">
        <f t="shared" si="0"/>
        <v>153</v>
      </c>
      <c r="C8" s="2004">
        <v>116</v>
      </c>
      <c r="D8" s="2004">
        <v>37</v>
      </c>
      <c r="E8" s="1842">
        <f>B8/B$5*100</f>
        <v>13.28125</v>
      </c>
      <c r="F8" s="2004">
        <f t="shared" si="1"/>
        <v>336</v>
      </c>
      <c r="G8" s="2004">
        <v>279</v>
      </c>
      <c r="H8" s="2004">
        <v>57</v>
      </c>
      <c r="I8" s="1842">
        <f>F8/F$5*100</f>
        <v>17.004048582995949</v>
      </c>
      <c r="J8" s="2004">
        <f t="shared" si="2"/>
        <v>446</v>
      </c>
      <c r="K8" s="2004">
        <v>388</v>
      </c>
      <c r="L8" s="2004">
        <v>58</v>
      </c>
      <c r="M8" s="1842">
        <f>J8/J$5*100</f>
        <v>17.790187475069803</v>
      </c>
      <c r="N8" s="2004">
        <f t="shared" si="3"/>
        <v>734</v>
      </c>
      <c r="O8" s="2004">
        <v>622</v>
      </c>
      <c r="P8" s="2004">
        <v>112</v>
      </c>
      <c r="Q8" s="1845">
        <f>N8/N$5*100</f>
        <v>22.228952150211992</v>
      </c>
      <c r="R8" s="2006">
        <f t="shared" si="4"/>
        <v>499</v>
      </c>
      <c r="S8" s="2004">
        <v>431</v>
      </c>
      <c r="T8" s="2004">
        <v>68</v>
      </c>
      <c r="U8" s="1845">
        <f>R8/R$5*100</f>
        <v>23.705463182897862</v>
      </c>
    </row>
    <row r="9" spans="1:21" ht="20.100000000000001" customHeight="1">
      <c r="A9" s="299" t="s">
        <v>3108</v>
      </c>
      <c r="B9" s="2004">
        <f t="shared" si="0"/>
        <v>138</v>
      </c>
      <c r="C9" s="2004">
        <v>98</v>
      </c>
      <c r="D9" s="2004">
        <v>40</v>
      </c>
      <c r="E9" s="1842">
        <f>B9/B$5*100</f>
        <v>11.979166666666668</v>
      </c>
      <c r="F9" s="2004">
        <f t="shared" si="1"/>
        <v>224</v>
      </c>
      <c r="G9" s="2004">
        <v>174</v>
      </c>
      <c r="H9" s="2004">
        <v>50</v>
      </c>
      <c r="I9" s="1842">
        <f>F9/F$5*100</f>
        <v>11.336032388663968</v>
      </c>
      <c r="J9" s="2004">
        <f t="shared" si="2"/>
        <v>265</v>
      </c>
      <c r="K9" s="2004">
        <v>206</v>
      </c>
      <c r="L9" s="2004">
        <v>59</v>
      </c>
      <c r="M9" s="1842">
        <f>J9/J$5*100</f>
        <v>10.570402871958516</v>
      </c>
      <c r="N9" s="2004">
        <f t="shared" si="3"/>
        <v>302</v>
      </c>
      <c r="O9" s="2004">
        <v>228</v>
      </c>
      <c r="P9" s="2004">
        <v>74</v>
      </c>
      <c r="Q9" s="1845">
        <f>N9/N$5*100</f>
        <v>9.1459721380981218</v>
      </c>
      <c r="R9" s="2006">
        <f t="shared" si="4"/>
        <v>183</v>
      </c>
      <c r="S9" s="2004">
        <v>135</v>
      </c>
      <c r="T9" s="2004">
        <v>48</v>
      </c>
      <c r="U9" s="1845">
        <f>R9/R$5*100</f>
        <v>8.6935866983372918</v>
      </c>
    </row>
    <row r="10" spans="1:21" ht="20.100000000000001" customHeight="1" thickBot="1">
      <c r="A10" s="299" t="s">
        <v>2967</v>
      </c>
      <c r="B10" s="2004">
        <f t="shared" si="0"/>
        <v>40</v>
      </c>
      <c r="C10" s="2004">
        <v>25</v>
      </c>
      <c r="D10" s="2004">
        <v>15</v>
      </c>
      <c r="E10" s="1842">
        <f>B10/B$5*100</f>
        <v>3.4722222222222223</v>
      </c>
      <c r="F10" s="2004">
        <f t="shared" si="1"/>
        <v>98</v>
      </c>
      <c r="G10" s="2004">
        <v>86</v>
      </c>
      <c r="H10" s="2004">
        <v>12</v>
      </c>
      <c r="I10" s="1842">
        <f>F10/F$5*100</f>
        <v>4.9595141700404861</v>
      </c>
      <c r="J10" s="2004">
        <f t="shared" si="2"/>
        <v>125</v>
      </c>
      <c r="K10" s="2004">
        <v>108</v>
      </c>
      <c r="L10" s="2004">
        <v>17</v>
      </c>
      <c r="M10" s="1842">
        <f>J10/J$5*100</f>
        <v>4.9860390905464698</v>
      </c>
      <c r="N10" s="2004">
        <f t="shared" si="3"/>
        <v>171</v>
      </c>
      <c r="O10" s="2004">
        <v>140</v>
      </c>
      <c r="P10" s="2004">
        <v>31</v>
      </c>
      <c r="Q10" s="1845">
        <f>N10/N$5*100</f>
        <v>5.1786795881284071</v>
      </c>
      <c r="R10" s="2120">
        <f t="shared" si="4"/>
        <v>141</v>
      </c>
      <c r="S10" s="2004">
        <v>119</v>
      </c>
      <c r="T10" s="2004">
        <v>22</v>
      </c>
      <c r="U10" s="1845">
        <f>R10/R$5*100</f>
        <v>6.6983372921615203</v>
      </c>
    </row>
    <row r="11" spans="1:21" ht="20.100000000000001" customHeight="1">
      <c r="A11" s="3832"/>
      <c r="B11" s="3814" t="s">
        <v>2662</v>
      </c>
      <c r="C11" s="3814"/>
      <c r="D11" s="3814"/>
      <c r="E11" s="3830"/>
      <c r="F11" s="3813" t="s">
        <v>2806</v>
      </c>
      <c r="G11" s="3814"/>
      <c r="H11" s="3814"/>
      <c r="I11" s="3830"/>
      <c r="J11" s="3813" t="s">
        <v>3109</v>
      </c>
      <c r="K11" s="3814"/>
      <c r="L11" s="3814"/>
      <c r="M11" s="3830"/>
      <c r="N11" s="3835" t="s">
        <v>3110</v>
      </c>
      <c r="O11" s="3833"/>
      <c r="P11" s="3833"/>
      <c r="Q11" s="3834"/>
      <c r="R11" s="3835" t="s">
        <v>2969</v>
      </c>
      <c r="S11" s="3833"/>
      <c r="T11" s="3833"/>
      <c r="U11" s="3833"/>
    </row>
    <row r="12" spans="1:21" ht="20.100000000000001" customHeight="1">
      <c r="A12" s="3831"/>
      <c r="B12" s="3722" t="s">
        <v>2770</v>
      </c>
      <c r="C12" s="3722"/>
      <c r="D12" s="3734"/>
      <c r="E12" s="3719" t="s">
        <v>3111</v>
      </c>
      <c r="F12" s="3730" t="s">
        <v>3112</v>
      </c>
      <c r="G12" s="3722"/>
      <c r="H12" s="3734"/>
      <c r="I12" s="3719" t="s">
        <v>2769</v>
      </c>
      <c r="J12" s="3730" t="s">
        <v>3100</v>
      </c>
      <c r="K12" s="3722"/>
      <c r="L12" s="3734"/>
      <c r="M12" s="3719" t="s">
        <v>3111</v>
      </c>
      <c r="N12" s="3730" t="s">
        <v>2770</v>
      </c>
      <c r="O12" s="3722"/>
      <c r="P12" s="3734"/>
      <c r="Q12" s="3719" t="s">
        <v>3111</v>
      </c>
      <c r="R12" s="3730" t="s">
        <v>3100</v>
      </c>
      <c r="S12" s="3722"/>
      <c r="T12" s="3734"/>
      <c r="U12" s="3721" t="s">
        <v>3101</v>
      </c>
    </row>
    <row r="13" spans="1:21" ht="20.100000000000001" customHeight="1">
      <c r="A13" s="3522"/>
      <c r="B13" s="1927" t="s">
        <v>2496</v>
      </c>
      <c r="C13" s="1927" t="s">
        <v>3113</v>
      </c>
      <c r="D13" s="1927" t="s">
        <v>2774</v>
      </c>
      <c r="E13" s="3720"/>
      <c r="F13" s="1859" t="s">
        <v>2496</v>
      </c>
      <c r="G13" s="1927" t="s">
        <v>3114</v>
      </c>
      <c r="H13" s="1927" t="s">
        <v>3104</v>
      </c>
      <c r="I13" s="3720"/>
      <c r="J13" s="1859" t="s">
        <v>3003</v>
      </c>
      <c r="K13" s="1927" t="s">
        <v>2775</v>
      </c>
      <c r="L13" s="1927" t="s">
        <v>2774</v>
      </c>
      <c r="M13" s="3720"/>
      <c r="N13" s="1859" t="s">
        <v>2496</v>
      </c>
      <c r="O13" s="1927" t="s">
        <v>2775</v>
      </c>
      <c r="P13" s="1927" t="s">
        <v>3105</v>
      </c>
      <c r="Q13" s="3720"/>
      <c r="R13" s="1859" t="s">
        <v>3003</v>
      </c>
      <c r="S13" s="1927" t="s">
        <v>2775</v>
      </c>
      <c r="T13" s="1927" t="s">
        <v>3104</v>
      </c>
      <c r="U13" s="3836"/>
    </row>
    <row r="14" spans="1:21" s="1960" customFormat="1" ht="20.100000000000001" customHeight="1">
      <c r="A14" s="1997" t="s">
        <v>2496</v>
      </c>
      <c r="B14" s="2004">
        <f t="shared" ref="B14:B19" si="5">SUM(C14,D14)</f>
        <v>2076</v>
      </c>
      <c r="C14" s="2004">
        <f>SUM(C15:C19)</f>
        <v>1528</v>
      </c>
      <c r="D14" s="2004">
        <f>SUM(D15:D19)</f>
        <v>548</v>
      </c>
      <c r="E14" s="1842">
        <f>SUM(E15:E19)</f>
        <v>100</v>
      </c>
      <c r="F14" s="2004">
        <f t="shared" ref="F14:F19" si="6">SUM(G14,H14)</f>
        <v>1386</v>
      </c>
      <c r="G14" s="2004">
        <f>SUM(G15:G19)</f>
        <v>1000</v>
      </c>
      <c r="H14" s="2004">
        <f>SUM(H15:H19)</f>
        <v>386</v>
      </c>
      <c r="I14" s="1842">
        <f>SUM(I15:I19)</f>
        <v>99.999999999999986</v>
      </c>
      <c r="J14" s="2004">
        <f t="shared" ref="J14:J19" si="7">SUM(K14,L14)</f>
        <v>835</v>
      </c>
      <c r="K14" s="2004">
        <f>SUM(K15:K19)</f>
        <v>596</v>
      </c>
      <c r="L14" s="2004">
        <f>SUM(L15:L19)</f>
        <v>239</v>
      </c>
      <c r="M14" s="1842">
        <f>SUM(M15:M19)</f>
        <v>100.00000000000001</v>
      </c>
      <c r="N14" s="2004">
        <f t="shared" ref="N14:N19" si="8">SUM(O14,P14)</f>
        <v>675</v>
      </c>
      <c r="O14" s="2004">
        <f>SUM(O15:O19)</f>
        <v>468</v>
      </c>
      <c r="P14" s="2004">
        <f>SUM(P15:P19)</f>
        <v>207</v>
      </c>
      <c r="Q14" s="1840">
        <f>SUM(Q15:Q19)</f>
        <v>99.999999999999986</v>
      </c>
      <c r="R14" s="1998">
        <f t="shared" ref="R14:R19" si="9">SUM(S14,T14)</f>
        <v>638</v>
      </c>
      <c r="S14" s="2004">
        <f>SUM(S15:S19)</f>
        <v>502</v>
      </c>
      <c r="T14" s="2004">
        <f>SUM(T15:T19)</f>
        <v>136</v>
      </c>
      <c r="U14" s="1840">
        <f>SUM(U15:U19)</f>
        <v>100</v>
      </c>
    </row>
    <row r="15" spans="1:21" ht="20.100000000000001" customHeight="1">
      <c r="A15" s="299" t="s">
        <v>2965</v>
      </c>
      <c r="B15" s="2004">
        <f t="shared" si="5"/>
        <v>741</v>
      </c>
      <c r="C15" s="2004">
        <v>503</v>
      </c>
      <c r="D15" s="2004">
        <v>238</v>
      </c>
      <c r="E15" s="1842">
        <f>B15/B$14*100</f>
        <v>35.693641618497111</v>
      </c>
      <c r="F15" s="2004">
        <f t="shared" si="6"/>
        <v>452</v>
      </c>
      <c r="G15" s="2004">
        <v>293</v>
      </c>
      <c r="H15" s="2004">
        <v>159</v>
      </c>
      <c r="I15" s="1842">
        <f>F15/F$14*100</f>
        <v>32.611832611832611</v>
      </c>
      <c r="J15" s="2004">
        <f t="shared" si="7"/>
        <v>285</v>
      </c>
      <c r="K15" s="2004">
        <v>183</v>
      </c>
      <c r="L15" s="2004">
        <v>102</v>
      </c>
      <c r="M15" s="1842">
        <f>J15/J$14*100</f>
        <v>34.131736526946113</v>
      </c>
      <c r="N15" s="2004">
        <f t="shared" si="8"/>
        <v>236</v>
      </c>
      <c r="O15" s="2004">
        <v>146</v>
      </c>
      <c r="P15" s="2004">
        <v>90</v>
      </c>
      <c r="Q15" s="1842">
        <f>N15/N$14*100</f>
        <v>34.962962962962962</v>
      </c>
      <c r="R15" s="2004">
        <f t="shared" si="9"/>
        <v>209</v>
      </c>
      <c r="S15" s="2004">
        <v>161</v>
      </c>
      <c r="T15" s="2004">
        <v>48</v>
      </c>
      <c r="U15" s="1845">
        <f>R15/R$14*100</f>
        <v>32.758620689655174</v>
      </c>
    </row>
    <row r="16" spans="1:21" ht="20.100000000000001" customHeight="1">
      <c r="A16" s="299" t="s">
        <v>3107</v>
      </c>
      <c r="B16" s="2004">
        <f t="shared" si="5"/>
        <v>494</v>
      </c>
      <c r="C16" s="2004">
        <v>332</v>
      </c>
      <c r="D16" s="2004">
        <v>162</v>
      </c>
      <c r="E16" s="1842">
        <f>B16/B$14*100</f>
        <v>23.795761078998073</v>
      </c>
      <c r="F16" s="2004">
        <f t="shared" si="6"/>
        <v>412</v>
      </c>
      <c r="G16" s="2004">
        <v>286</v>
      </c>
      <c r="H16" s="2004">
        <v>126</v>
      </c>
      <c r="I16" s="1842">
        <f>F16/F$14*100</f>
        <v>29.725829725829726</v>
      </c>
      <c r="J16" s="2004">
        <f t="shared" si="7"/>
        <v>262</v>
      </c>
      <c r="K16" s="2004">
        <v>182</v>
      </c>
      <c r="L16" s="2004">
        <v>80</v>
      </c>
      <c r="M16" s="1842">
        <f>J16/J$14*100</f>
        <v>31.377245508982039</v>
      </c>
      <c r="N16" s="2004">
        <f t="shared" si="8"/>
        <v>181</v>
      </c>
      <c r="O16" s="2004">
        <v>116</v>
      </c>
      <c r="P16" s="2004">
        <v>65</v>
      </c>
      <c r="Q16" s="1845">
        <f>N16/N$14*100</f>
        <v>26.814814814814813</v>
      </c>
      <c r="R16" s="2006">
        <f t="shared" si="9"/>
        <v>179</v>
      </c>
      <c r="S16" s="2004">
        <v>136</v>
      </c>
      <c r="T16" s="2004">
        <v>43</v>
      </c>
      <c r="U16" s="1845">
        <f>R16/R$14*100</f>
        <v>28.056426332288403</v>
      </c>
    </row>
    <row r="17" spans="1:21" ht="20.100000000000001" customHeight="1">
      <c r="A17" s="299" t="s">
        <v>3115</v>
      </c>
      <c r="B17" s="2004">
        <f t="shared" si="5"/>
        <v>527</v>
      </c>
      <c r="C17" s="2004">
        <v>447</v>
      </c>
      <c r="D17" s="2004">
        <v>80</v>
      </c>
      <c r="E17" s="1842">
        <f>B17/B$14*100</f>
        <v>25.385356454720615</v>
      </c>
      <c r="F17" s="2004">
        <f t="shared" si="6"/>
        <v>361</v>
      </c>
      <c r="G17" s="2004">
        <v>302</v>
      </c>
      <c r="H17" s="2004">
        <v>59</v>
      </c>
      <c r="I17" s="1842">
        <f>F17/F$14*100</f>
        <v>26.046176046176043</v>
      </c>
      <c r="J17" s="2004">
        <f t="shared" si="7"/>
        <v>192</v>
      </c>
      <c r="K17" s="2004">
        <v>159</v>
      </c>
      <c r="L17" s="2004">
        <v>33</v>
      </c>
      <c r="M17" s="1842">
        <f>J17/J$14*100</f>
        <v>22.994011976047904</v>
      </c>
      <c r="N17" s="2004">
        <f t="shared" si="8"/>
        <v>174</v>
      </c>
      <c r="O17" s="2004">
        <v>143</v>
      </c>
      <c r="P17" s="2004">
        <v>31</v>
      </c>
      <c r="Q17" s="1842">
        <f>N17/N$14*100</f>
        <v>25.777777777777779</v>
      </c>
      <c r="R17" s="2004">
        <f t="shared" si="9"/>
        <v>160</v>
      </c>
      <c r="S17" s="2004">
        <v>135</v>
      </c>
      <c r="T17" s="2004">
        <v>25</v>
      </c>
      <c r="U17" s="1845">
        <f>R17/R$14*100</f>
        <v>25.078369905956109</v>
      </c>
    </row>
    <row r="18" spans="1:21" ht="20.100000000000001" customHeight="1">
      <c r="A18" s="299" t="s">
        <v>2787</v>
      </c>
      <c r="B18" s="2004">
        <f t="shared" si="5"/>
        <v>159</v>
      </c>
      <c r="C18" s="2004">
        <v>119</v>
      </c>
      <c r="D18" s="2004">
        <v>40</v>
      </c>
      <c r="E18" s="1842">
        <f>B18/B$14*100</f>
        <v>7.6589595375722546</v>
      </c>
      <c r="F18" s="2004">
        <f t="shared" si="6"/>
        <v>90</v>
      </c>
      <c r="G18" s="2004">
        <v>66</v>
      </c>
      <c r="H18" s="2004">
        <v>24</v>
      </c>
      <c r="I18" s="1842">
        <f>F18/F$14*100</f>
        <v>6.4935064935064926</v>
      </c>
      <c r="J18" s="2004">
        <f t="shared" si="7"/>
        <v>51</v>
      </c>
      <c r="K18" s="2004">
        <v>38</v>
      </c>
      <c r="L18" s="2004">
        <v>13</v>
      </c>
      <c r="M18" s="1842">
        <f>J18/J$14*100</f>
        <v>6.1077844311377243</v>
      </c>
      <c r="N18" s="2004">
        <f t="shared" si="8"/>
        <v>51</v>
      </c>
      <c r="O18" s="2004">
        <v>38</v>
      </c>
      <c r="P18" s="2004">
        <v>13</v>
      </c>
      <c r="Q18" s="1845">
        <f>N18/N$14*100</f>
        <v>7.5555555555555554</v>
      </c>
      <c r="R18" s="2006">
        <f t="shared" si="9"/>
        <v>50</v>
      </c>
      <c r="S18" s="2004">
        <v>37</v>
      </c>
      <c r="T18" s="2004">
        <v>13</v>
      </c>
      <c r="U18" s="1845">
        <f>R18/R$14*100</f>
        <v>7.8369905956112857</v>
      </c>
    </row>
    <row r="19" spans="1:21" ht="20.100000000000001" customHeight="1">
      <c r="A19" s="299" t="s">
        <v>2967</v>
      </c>
      <c r="B19" s="2027">
        <f t="shared" si="5"/>
        <v>155</v>
      </c>
      <c r="C19" s="2028">
        <v>127</v>
      </c>
      <c r="D19" s="2028">
        <v>28</v>
      </c>
      <c r="E19" s="1854">
        <f>B19/B$14*100</f>
        <v>7.4662813102119463</v>
      </c>
      <c r="F19" s="2028">
        <f t="shared" si="6"/>
        <v>71</v>
      </c>
      <c r="G19" s="2028">
        <v>53</v>
      </c>
      <c r="H19" s="2028">
        <v>18</v>
      </c>
      <c r="I19" s="1854">
        <f>F19/F$14*100</f>
        <v>5.1226551226551225</v>
      </c>
      <c r="J19" s="2028">
        <f t="shared" si="7"/>
        <v>45</v>
      </c>
      <c r="K19" s="2028">
        <v>34</v>
      </c>
      <c r="L19" s="2028">
        <v>11</v>
      </c>
      <c r="M19" s="1854">
        <f>J19/J$14*100</f>
        <v>5.3892215568862278</v>
      </c>
      <c r="N19" s="2028">
        <f t="shared" si="8"/>
        <v>33</v>
      </c>
      <c r="O19" s="2028">
        <v>25</v>
      </c>
      <c r="P19" s="2028">
        <v>8</v>
      </c>
      <c r="Q19" s="1855">
        <f>N19/N$14*100</f>
        <v>4.8888888888888893</v>
      </c>
      <c r="R19" s="2027">
        <f t="shared" si="9"/>
        <v>40</v>
      </c>
      <c r="S19" s="2028">
        <v>33</v>
      </c>
      <c r="T19" s="2028">
        <v>7</v>
      </c>
      <c r="U19" s="1855">
        <f>R19/R$14*100</f>
        <v>6.2695924764890272</v>
      </c>
    </row>
    <row r="20" spans="1:21" ht="31.5" customHeight="1">
      <c r="A20" s="3841" t="s">
        <v>3116</v>
      </c>
      <c r="B20" s="3762"/>
      <c r="C20" s="3762"/>
      <c r="D20" s="3762"/>
      <c r="N20" s="2081"/>
      <c r="O20" s="2081"/>
      <c r="P20" s="2081"/>
    </row>
    <row r="21" spans="1:21" ht="20.100000000000001" customHeight="1">
      <c r="C21" s="2058"/>
    </row>
    <row r="22" spans="1:21" ht="20.100000000000001" customHeight="1"/>
  </sheetData>
  <mergeCells count="34">
    <mergeCell ref="A20:D20"/>
    <mergeCell ref="I12:I13"/>
    <mergeCell ref="J12:L12"/>
    <mergeCell ref="M12:M13"/>
    <mergeCell ref="N12:P12"/>
    <mergeCell ref="R11:U11"/>
    <mergeCell ref="B12:D12"/>
    <mergeCell ref="E12:E13"/>
    <mergeCell ref="F12:H12"/>
    <mergeCell ref="I3:I4"/>
    <mergeCell ref="J3:L3"/>
    <mergeCell ref="M3:M4"/>
    <mergeCell ref="N3:P3"/>
    <mergeCell ref="Q3:Q4"/>
    <mergeCell ref="R3:T3"/>
    <mergeCell ref="U12:U13"/>
    <mergeCell ref="Q12:Q13"/>
    <mergeCell ref="R12:T12"/>
    <mergeCell ref="A11:A13"/>
    <mergeCell ref="B11:E11"/>
    <mergeCell ref="F11:I11"/>
    <mergeCell ref="J11:M11"/>
    <mergeCell ref="N11:Q11"/>
    <mergeCell ref="A1:U1"/>
    <mergeCell ref="A2:A4"/>
    <mergeCell ref="B2:E2"/>
    <mergeCell ref="F2:I2"/>
    <mergeCell ref="J2:M2"/>
    <mergeCell ref="N2:Q2"/>
    <mergeCell ref="R2:U2"/>
    <mergeCell ref="B3:D3"/>
    <mergeCell ref="E3:E4"/>
    <mergeCell ref="F3:H3"/>
    <mergeCell ref="U3:U4"/>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51"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M24"/>
  <sheetViews>
    <sheetView showGridLines="0" showRuler="0" zoomScaleNormal="100" zoomScalePageLayoutView="125" workbookViewId="0">
      <selection activeCell="B18" sqref="B18:D18"/>
    </sheetView>
  </sheetViews>
  <sheetFormatPr defaultColWidth="9" defaultRowHeight="15.75"/>
  <cols>
    <col min="1" max="1" width="18.125" style="1795" customWidth="1"/>
    <col min="2" max="2" width="9" style="1858" customWidth="1"/>
    <col min="3" max="3" width="9" style="1795" customWidth="1"/>
    <col min="4" max="4" width="9" style="1858" customWidth="1"/>
    <col min="5" max="5" width="9" style="1795" customWidth="1"/>
    <col min="6" max="6" width="9" style="1858" customWidth="1"/>
    <col min="7" max="7" width="9" style="1795" customWidth="1"/>
    <col min="8" max="8" width="9" style="1858" customWidth="1"/>
    <col min="9" max="9" width="9" style="1795" customWidth="1"/>
    <col min="10" max="10" width="9" style="1858" customWidth="1"/>
    <col min="11" max="11" width="9" style="1795" customWidth="1"/>
    <col min="12" max="12" width="5.5" style="1795" customWidth="1"/>
    <col min="13" max="13" width="6.875" style="1795" customWidth="1"/>
    <col min="14" max="16384" width="9" style="1795"/>
  </cols>
  <sheetData>
    <row r="1" spans="1:11" ht="25.5" customHeight="1">
      <c r="A1" s="3733" t="s">
        <v>3117</v>
      </c>
      <c r="B1" s="3733"/>
      <c r="C1" s="3733"/>
      <c r="D1" s="3733"/>
      <c r="E1" s="3733"/>
      <c r="F1" s="3733"/>
      <c r="G1" s="3733"/>
      <c r="H1" s="3733"/>
      <c r="I1" s="3733"/>
      <c r="J1" s="3733"/>
      <c r="K1" s="3733"/>
    </row>
    <row r="2" spans="1:11" ht="20.100000000000001" customHeight="1">
      <c r="A2" s="1832"/>
      <c r="B2" s="3722" t="s">
        <v>3118</v>
      </c>
      <c r="C2" s="3734"/>
      <c r="D2" s="3730" t="s">
        <v>3084</v>
      </c>
      <c r="E2" s="3734"/>
      <c r="F2" s="3730" t="s">
        <v>2975</v>
      </c>
      <c r="G2" s="3722"/>
      <c r="H2" s="3803" t="s">
        <v>3119</v>
      </c>
      <c r="I2" s="3799" t="s">
        <v>3085</v>
      </c>
      <c r="J2" s="3803" t="s">
        <v>2977</v>
      </c>
      <c r="K2" s="3799"/>
    </row>
    <row r="3" spans="1:11" s="1960" customFormat="1" ht="20.100000000000001" customHeight="1">
      <c r="A3" s="1833"/>
      <c r="B3" s="1927" t="s">
        <v>2652</v>
      </c>
      <c r="C3" s="1859" t="s">
        <v>3002</v>
      </c>
      <c r="D3" s="1927" t="s">
        <v>3001</v>
      </c>
      <c r="E3" s="1859" t="s">
        <v>2102</v>
      </c>
      <c r="F3" s="1927" t="s">
        <v>3001</v>
      </c>
      <c r="G3" s="1859" t="s">
        <v>2102</v>
      </c>
      <c r="H3" s="1927" t="s">
        <v>2652</v>
      </c>
      <c r="I3" s="1859" t="s">
        <v>2102</v>
      </c>
      <c r="J3" s="1927" t="s">
        <v>3016</v>
      </c>
      <c r="K3" s="1788" t="s">
        <v>3015</v>
      </c>
    </row>
    <row r="4" spans="1:11" ht="20.100000000000001" customHeight="1">
      <c r="A4" s="1849" t="s">
        <v>3017</v>
      </c>
      <c r="B4" s="1839">
        <f t="shared" ref="B4:I4" si="0">SUM(B7:B11)</f>
        <v>1146</v>
      </c>
      <c r="C4" s="2072">
        <f t="shared" si="0"/>
        <v>99.999999999999986</v>
      </c>
      <c r="D4" s="1839">
        <f t="shared" si="0"/>
        <v>1960</v>
      </c>
      <c r="E4" s="2072">
        <f t="shared" si="0"/>
        <v>100</v>
      </c>
      <c r="F4" s="1839">
        <f t="shared" si="0"/>
        <v>2502</v>
      </c>
      <c r="G4" s="2072">
        <f t="shared" si="0"/>
        <v>100.00000000000001</v>
      </c>
      <c r="H4" s="1839">
        <f t="shared" si="0"/>
        <v>3289</v>
      </c>
      <c r="I4" s="2014">
        <f t="shared" si="0"/>
        <v>99.999999999999986</v>
      </c>
      <c r="J4" s="1839">
        <f t="shared" ref="J4:K4" si="1">SUM(J7:J11)</f>
        <v>2099</v>
      </c>
      <c r="K4" s="2014">
        <f t="shared" si="1"/>
        <v>99.999999999999986</v>
      </c>
    </row>
    <row r="5" spans="1:11" ht="20.100000000000001" customHeight="1">
      <c r="A5" s="2036" t="s">
        <v>3120</v>
      </c>
      <c r="B5" s="1942">
        <v>776</v>
      </c>
      <c r="C5" s="2009">
        <f t="shared" ref="C5:C6" si="2">B5/B$4*100</f>
        <v>67.713787085514838</v>
      </c>
      <c r="D5" s="1942">
        <v>1474</v>
      </c>
      <c r="E5" s="2009">
        <f t="shared" ref="E5:E6" si="3">D5/D$4*100</f>
        <v>75.204081632653057</v>
      </c>
      <c r="F5" s="1942">
        <v>1913</v>
      </c>
      <c r="G5" s="2009">
        <f t="shared" ref="G5:G6" si="4">F5/F$4*100</f>
        <v>76.458832933653071</v>
      </c>
      <c r="H5" s="1942">
        <v>2546</v>
      </c>
      <c r="I5" s="2009">
        <f t="shared" ref="I5:I6" si="5">H5/H$4*100</f>
        <v>77.409546974764368</v>
      </c>
      <c r="J5" s="1942">
        <v>1544</v>
      </c>
      <c r="K5" s="2009">
        <f t="shared" ref="K5:K6" si="6">J5/J$4*100</f>
        <v>73.558837541686515</v>
      </c>
    </row>
    <row r="6" spans="1:11" ht="20.100000000000001" customHeight="1">
      <c r="A6" s="2039" t="s">
        <v>2799</v>
      </c>
      <c r="B6" s="1951">
        <v>370</v>
      </c>
      <c r="C6" s="2077">
        <f t="shared" si="2"/>
        <v>32.286212914485169</v>
      </c>
      <c r="D6" s="1951">
        <v>486</v>
      </c>
      <c r="E6" s="2077">
        <f t="shared" si="3"/>
        <v>24.795918367346939</v>
      </c>
      <c r="F6" s="2076">
        <v>589</v>
      </c>
      <c r="G6" s="2077">
        <f t="shared" si="4"/>
        <v>23.541167066346922</v>
      </c>
      <c r="H6" s="1951">
        <v>743</v>
      </c>
      <c r="I6" s="2077">
        <f t="shared" si="5"/>
        <v>22.590453025235636</v>
      </c>
      <c r="J6" s="2076">
        <v>555</v>
      </c>
      <c r="K6" s="2077">
        <f t="shared" si="6"/>
        <v>26.441162458313482</v>
      </c>
    </row>
    <row r="7" spans="1:11" ht="20.100000000000001" customHeight="1">
      <c r="A7" s="1997" t="s">
        <v>3121</v>
      </c>
      <c r="B7" s="1984">
        <v>597</v>
      </c>
      <c r="C7" s="1943">
        <f>B7/B$4*100</f>
        <v>52.09424083769634</v>
      </c>
      <c r="D7" s="1984">
        <v>1046</v>
      </c>
      <c r="E7" s="2015">
        <f>D7/D$4*100</f>
        <v>53.367346938775505</v>
      </c>
      <c r="F7" s="1984">
        <v>1336</v>
      </c>
      <c r="G7" s="2015">
        <f>F7/F$4*100</f>
        <v>53.397282174260596</v>
      </c>
      <c r="H7" s="1984">
        <v>1714</v>
      </c>
      <c r="I7" s="2003">
        <f>H7/H$4*100</f>
        <v>52.113104287017329</v>
      </c>
      <c r="J7" s="1984">
        <v>1097</v>
      </c>
      <c r="K7" s="2003">
        <f>J7/J$4*100</f>
        <v>52.262982372558362</v>
      </c>
    </row>
    <row r="8" spans="1:11" ht="20.100000000000001" customHeight="1">
      <c r="A8" s="299" t="s">
        <v>3122</v>
      </c>
      <c r="B8" s="1942">
        <v>434</v>
      </c>
      <c r="C8" s="2009">
        <f>B8/B$4*100</f>
        <v>37.870855148342059</v>
      </c>
      <c r="D8" s="1942">
        <v>782</v>
      </c>
      <c r="E8" s="2009">
        <f>D8/D$4*100</f>
        <v>39.897959183673471</v>
      </c>
      <c r="F8" s="1844">
        <v>953</v>
      </c>
      <c r="G8" s="2009">
        <f>F8/F$4*100</f>
        <v>38.089528377298159</v>
      </c>
      <c r="H8" s="1942">
        <v>1284</v>
      </c>
      <c r="I8" s="2009">
        <f>H8/H$4*100</f>
        <v>39.039221647917302</v>
      </c>
      <c r="J8" s="1844">
        <v>801</v>
      </c>
      <c r="K8" s="2009">
        <f>J8/J$4*100</f>
        <v>38.161029061457832</v>
      </c>
    </row>
    <row r="9" spans="1:11" ht="20.100000000000001" customHeight="1">
      <c r="A9" s="299" t="s">
        <v>3123</v>
      </c>
      <c r="B9" s="1844">
        <v>94</v>
      </c>
      <c r="C9" s="2073">
        <f>B9/B$4*100</f>
        <v>8.2024432809773113</v>
      </c>
      <c r="D9" s="1844">
        <v>108</v>
      </c>
      <c r="E9" s="2073">
        <f>D9/D$4*100</f>
        <v>5.5102040816326534</v>
      </c>
      <c r="F9" s="1844">
        <v>169</v>
      </c>
      <c r="G9" s="2073">
        <f>F9/F$4*100</f>
        <v>6.754596322941647</v>
      </c>
      <c r="H9" s="1844">
        <v>233</v>
      </c>
      <c r="I9" s="2073">
        <f>H9/H$4*100</f>
        <v>7.0842201276983889</v>
      </c>
      <c r="J9" s="1844">
        <v>183</v>
      </c>
      <c r="K9" s="2073">
        <f>J9/J$4*100</f>
        <v>8.7184373511195812</v>
      </c>
    </row>
    <row r="10" spans="1:11" ht="20.100000000000001" customHeight="1">
      <c r="A10" s="299" t="s">
        <v>3124</v>
      </c>
      <c r="B10" s="1844">
        <v>21</v>
      </c>
      <c r="C10" s="2072">
        <f>B10/B$4*100</f>
        <v>1.832460732984293</v>
      </c>
      <c r="D10" s="1844">
        <v>24</v>
      </c>
      <c r="E10" s="2072">
        <f>D10/D$4*100</f>
        <v>1.2244897959183674</v>
      </c>
      <c r="F10" s="1844">
        <v>44</v>
      </c>
      <c r="G10" s="2072">
        <f>F10/F$4*100</f>
        <v>1.7585931254996003</v>
      </c>
      <c r="H10" s="1844">
        <v>58</v>
      </c>
      <c r="I10" s="2073">
        <f>H10/H$4*100</f>
        <v>1.7634539373669809</v>
      </c>
      <c r="J10" s="1844">
        <v>18</v>
      </c>
      <c r="K10" s="2073">
        <f>J10/J$4*100</f>
        <v>0.85755121486422103</v>
      </c>
    </row>
    <row r="11" spans="1:11" ht="20.100000000000001" customHeight="1" thickBot="1">
      <c r="A11" s="299" t="s">
        <v>3125</v>
      </c>
      <c r="B11" s="1942" t="s">
        <v>2430</v>
      </c>
      <c r="C11" s="1939" t="s">
        <v>3080</v>
      </c>
      <c r="D11" s="1942" t="s">
        <v>2430</v>
      </c>
      <c r="E11" s="1939" t="s">
        <v>2430</v>
      </c>
      <c r="F11" s="1942" t="s">
        <v>2442</v>
      </c>
      <c r="G11" s="1939" t="s">
        <v>3009</v>
      </c>
      <c r="H11" s="1942" t="s">
        <v>2442</v>
      </c>
      <c r="I11" s="1939" t="s">
        <v>2442</v>
      </c>
      <c r="J11" s="1942" t="s">
        <v>3080</v>
      </c>
      <c r="K11" s="1939" t="s">
        <v>2430</v>
      </c>
    </row>
    <row r="12" spans="1:11" ht="20.100000000000001" customHeight="1">
      <c r="A12" s="1974"/>
      <c r="B12" s="3814" t="s">
        <v>2749</v>
      </c>
      <c r="C12" s="3830"/>
      <c r="D12" s="3813" t="s">
        <v>2750</v>
      </c>
      <c r="E12" s="3830"/>
      <c r="F12" s="3813" t="s">
        <v>3109</v>
      </c>
      <c r="G12" s="3814"/>
      <c r="H12" s="3813" t="s">
        <v>2808</v>
      </c>
      <c r="I12" s="3814"/>
      <c r="J12" s="3813" t="s">
        <v>3126</v>
      </c>
      <c r="K12" s="3814"/>
    </row>
    <row r="13" spans="1:11" s="1960" customFormat="1" ht="20.100000000000001" customHeight="1">
      <c r="A13" s="1833"/>
      <c r="B13" s="1927" t="s">
        <v>2652</v>
      </c>
      <c r="C13" s="1859" t="s">
        <v>2102</v>
      </c>
      <c r="D13" s="1927" t="s">
        <v>2652</v>
      </c>
      <c r="E13" s="1859" t="s">
        <v>2102</v>
      </c>
      <c r="F13" s="1927" t="s">
        <v>3001</v>
      </c>
      <c r="G13" s="1859" t="s">
        <v>2373</v>
      </c>
      <c r="H13" s="1927" t="s">
        <v>2652</v>
      </c>
      <c r="I13" s="1859" t="s">
        <v>2373</v>
      </c>
      <c r="J13" s="1927" t="s">
        <v>2652</v>
      </c>
      <c r="K13" s="1788" t="s">
        <v>2102</v>
      </c>
    </row>
    <row r="14" spans="1:11" ht="20.100000000000001" customHeight="1">
      <c r="A14" s="1849" t="s">
        <v>2375</v>
      </c>
      <c r="B14" s="1839">
        <f t="shared" ref="B14:I14" si="7">SUM(B17:B21)</f>
        <v>2066</v>
      </c>
      <c r="C14" s="2072">
        <f t="shared" si="7"/>
        <v>99.999999999999986</v>
      </c>
      <c r="D14" s="1839">
        <f t="shared" si="7"/>
        <v>1380</v>
      </c>
      <c r="E14" s="2072">
        <f t="shared" si="7"/>
        <v>100</v>
      </c>
      <c r="F14" s="1839">
        <f t="shared" si="7"/>
        <v>833</v>
      </c>
      <c r="G14" s="2072">
        <f t="shared" si="7"/>
        <v>100</v>
      </c>
      <c r="H14" s="1839">
        <f t="shared" si="7"/>
        <v>671</v>
      </c>
      <c r="I14" s="2014">
        <f t="shared" si="7"/>
        <v>100</v>
      </c>
      <c r="J14" s="1839">
        <f t="shared" ref="J14:K14" si="8">SUM(J17:J21)</f>
        <v>636</v>
      </c>
      <c r="K14" s="2014">
        <f t="shared" si="8"/>
        <v>100.00000000000001</v>
      </c>
    </row>
    <row r="15" spans="1:11" ht="20.100000000000001" customHeight="1">
      <c r="A15" s="2036" t="s">
        <v>3071</v>
      </c>
      <c r="B15" s="1942">
        <v>1522</v>
      </c>
      <c r="C15" s="2009">
        <f t="shared" ref="C15:C20" si="9">B15/B$14*100</f>
        <v>73.668925459825758</v>
      </c>
      <c r="D15" s="1942">
        <v>997</v>
      </c>
      <c r="E15" s="2009">
        <f t="shared" ref="E15:E20" si="10">D15/D$14*100</f>
        <v>72.246376811594203</v>
      </c>
      <c r="F15" s="1942">
        <v>596</v>
      </c>
      <c r="G15" s="2009">
        <f t="shared" ref="G15:G20" si="11">F15/F$14*100</f>
        <v>71.548619447779117</v>
      </c>
      <c r="H15" s="1942">
        <v>464</v>
      </c>
      <c r="I15" s="2009">
        <f t="shared" ref="I15:I21" si="12">H15/H$14*100</f>
        <v>69.150521609538004</v>
      </c>
      <c r="J15" s="1942">
        <v>502</v>
      </c>
      <c r="K15" s="2009">
        <f t="shared" ref="K15:K21" si="13">J15/J$14*100</f>
        <v>78.930817610062903</v>
      </c>
    </row>
    <row r="16" spans="1:11" ht="20.100000000000001" customHeight="1">
      <c r="A16" s="2039" t="s">
        <v>3079</v>
      </c>
      <c r="B16" s="1951">
        <v>544</v>
      </c>
      <c r="C16" s="2117">
        <f t="shared" si="9"/>
        <v>26.331074540174249</v>
      </c>
      <c r="D16" s="1951">
        <v>383</v>
      </c>
      <c r="E16" s="2077">
        <f t="shared" si="10"/>
        <v>27.753623188405797</v>
      </c>
      <c r="F16" s="2076">
        <v>238</v>
      </c>
      <c r="G16" s="2077">
        <f t="shared" si="11"/>
        <v>28.571428571428569</v>
      </c>
      <c r="H16" s="1951">
        <v>207</v>
      </c>
      <c r="I16" s="2077">
        <f t="shared" si="12"/>
        <v>30.849478390462</v>
      </c>
      <c r="J16" s="2076">
        <v>134</v>
      </c>
      <c r="K16" s="2077">
        <f t="shared" si="13"/>
        <v>21.069182389937108</v>
      </c>
    </row>
    <row r="17" spans="1:13" ht="20.100000000000001" customHeight="1">
      <c r="A17" s="1997" t="s">
        <v>3121</v>
      </c>
      <c r="B17" s="1984">
        <v>1163</v>
      </c>
      <c r="C17" s="1943">
        <f t="shared" si="9"/>
        <v>56.292352371732811</v>
      </c>
      <c r="D17" s="1984">
        <v>776</v>
      </c>
      <c r="E17" s="2015">
        <f t="shared" si="10"/>
        <v>56.231884057971016</v>
      </c>
      <c r="F17" s="1984">
        <v>457</v>
      </c>
      <c r="G17" s="2015">
        <f t="shared" si="11"/>
        <v>54.861944777911162</v>
      </c>
      <c r="H17" s="1984">
        <v>375</v>
      </c>
      <c r="I17" s="2003">
        <f t="shared" si="12"/>
        <v>55.886736214605072</v>
      </c>
      <c r="J17" s="1984">
        <v>381</v>
      </c>
      <c r="K17" s="2003">
        <f t="shared" si="13"/>
        <v>59.905660377358494</v>
      </c>
    </row>
    <row r="18" spans="1:13" ht="20.100000000000001" customHeight="1">
      <c r="A18" s="299" t="s">
        <v>3122</v>
      </c>
      <c r="B18" s="1942">
        <v>705</v>
      </c>
      <c r="C18" s="2009">
        <f t="shared" si="9"/>
        <v>34.123910939012589</v>
      </c>
      <c r="D18" s="1942">
        <v>481</v>
      </c>
      <c r="E18" s="2009">
        <f t="shared" si="10"/>
        <v>34.855072463768117</v>
      </c>
      <c r="F18" s="1844">
        <v>282</v>
      </c>
      <c r="G18" s="2009">
        <f t="shared" si="11"/>
        <v>33.853541416566628</v>
      </c>
      <c r="H18" s="1942">
        <v>211</v>
      </c>
      <c r="I18" s="2009">
        <f t="shared" si="12"/>
        <v>31.445603576751118</v>
      </c>
      <c r="J18" s="1844">
        <v>201</v>
      </c>
      <c r="K18" s="2009">
        <f t="shared" si="13"/>
        <v>31.60377358490566</v>
      </c>
    </row>
    <row r="19" spans="1:13" ht="20.100000000000001" customHeight="1">
      <c r="A19" s="299" t="s">
        <v>3127</v>
      </c>
      <c r="B19" s="1844">
        <v>165</v>
      </c>
      <c r="C19" s="2073">
        <f t="shared" si="9"/>
        <v>7.9864472410454983</v>
      </c>
      <c r="D19" s="1844">
        <v>96</v>
      </c>
      <c r="E19" s="2073">
        <f t="shared" si="10"/>
        <v>6.9565217391304346</v>
      </c>
      <c r="F19" s="1844">
        <v>75</v>
      </c>
      <c r="G19" s="2073">
        <f t="shared" si="11"/>
        <v>9.0036014405762312</v>
      </c>
      <c r="H19" s="1844">
        <v>71</v>
      </c>
      <c r="I19" s="2073">
        <f t="shared" si="12"/>
        <v>10.581222056631892</v>
      </c>
      <c r="J19" s="1844">
        <v>40</v>
      </c>
      <c r="K19" s="2073">
        <f t="shared" si="13"/>
        <v>6.2893081761006293</v>
      </c>
    </row>
    <row r="20" spans="1:13" ht="20.100000000000001" customHeight="1">
      <c r="A20" s="299" t="s">
        <v>3124</v>
      </c>
      <c r="B20" s="1844">
        <v>33</v>
      </c>
      <c r="C20" s="2072">
        <f t="shared" si="9"/>
        <v>1.5972894482090998</v>
      </c>
      <c r="D20" s="1844">
        <v>27</v>
      </c>
      <c r="E20" s="2072">
        <f t="shared" si="10"/>
        <v>1.956521739130435</v>
      </c>
      <c r="F20" s="1844">
        <v>19</v>
      </c>
      <c r="G20" s="2072">
        <f t="shared" si="11"/>
        <v>2.2809123649459786</v>
      </c>
      <c r="H20" s="1844">
        <v>13</v>
      </c>
      <c r="I20" s="2073">
        <f t="shared" si="12"/>
        <v>1.9374068554396422</v>
      </c>
      <c r="J20" s="1844">
        <v>10</v>
      </c>
      <c r="K20" s="2073">
        <f t="shared" si="13"/>
        <v>1.5723270440251573</v>
      </c>
    </row>
    <row r="21" spans="1:13" ht="20.100000000000001" customHeight="1">
      <c r="A21" s="1944" t="s">
        <v>3128</v>
      </c>
      <c r="B21" s="1951" t="s">
        <v>2442</v>
      </c>
      <c r="C21" s="1948" t="s">
        <v>2430</v>
      </c>
      <c r="D21" s="1951" t="s">
        <v>3080</v>
      </c>
      <c r="E21" s="1948" t="s">
        <v>2430</v>
      </c>
      <c r="F21" s="1951" t="s">
        <v>2442</v>
      </c>
      <c r="G21" s="1948" t="s">
        <v>2442</v>
      </c>
      <c r="H21" s="1951">
        <v>1</v>
      </c>
      <c r="I21" s="2077">
        <f t="shared" si="12"/>
        <v>0.14903129657228018</v>
      </c>
      <c r="J21" s="1951">
        <v>4</v>
      </c>
      <c r="K21" s="2077">
        <f t="shared" si="13"/>
        <v>0.62893081761006298</v>
      </c>
    </row>
    <row r="22" spans="1:13" s="1785" customFormat="1">
      <c r="A22" s="3869" t="s">
        <v>2673</v>
      </c>
      <c r="B22" s="3870"/>
      <c r="C22" s="3871"/>
      <c r="D22" s="3870"/>
      <c r="F22" s="2022"/>
      <c r="G22" s="2021"/>
      <c r="H22" s="2022"/>
      <c r="I22" s="2021"/>
      <c r="J22" s="2121"/>
      <c r="K22" s="2122"/>
      <c r="L22" s="1826"/>
      <c r="M22" s="1826"/>
    </row>
    <row r="23" spans="1:13" ht="27" customHeight="1">
      <c r="A23" s="3845" t="s">
        <v>3129</v>
      </c>
      <c r="B23" s="3816"/>
      <c r="C23" s="3816"/>
      <c r="D23" s="3816"/>
      <c r="E23" s="3816"/>
    </row>
    <row r="24" spans="1:13">
      <c r="A24" s="1794"/>
    </row>
  </sheetData>
  <mergeCells count="13">
    <mergeCell ref="A23:E23"/>
    <mergeCell ref="B12:C12"/>
    <mergeCell ref="D12:E12"/>
    <mergeCell ref="F12:G12"/>
    <mergeCell ref="H12:I12"/>
    <mergeCell ref="J12:K12"/>
    <mergeCell ref="A22:D22"/>
    <mergeCell ref="A1:K1"/>
    <mergeCell ref="B2:C2"/>
    <mergeCell ref="D2:E2"/>
    <mergeCell ref="F2:G2"/>
    <mergeCell ref="H2:I2"/>
    <mergeCell ref="J2:K2"/>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71"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K18"/>
  <sheetViews>
    <sheetView showGridLines="0" showRuler="0" zoomScaleNormal="100" zoomScalePageLayoutView="125" workbookViewId="0">
      <selection activeCell="B18" sqref="B18:D18"/>
    </sheetView>
  </sheetViews>
  <sheetFormatPr defaultColWidth="9" defaultRowHeight="15.75"/>
  <cols>
    <col min="1" max="1" width="18.125" style="1795" customWidth="1"/>
    <col min="2" max="9" width="9" style="1795" customWidth="1"/>
    <col min="10" max="16384" width="9" style="1795"/>
  </cols>
  <sheetData>
    <row r="1" spans="1:11" ht="24.75" customHeight="1">
      <c r="A1" s="3733" t="s">
        <v>3130</v>
      </c>
      <c r="B1" s="3733"/>
      <c r="C1" s="3733"/>
      <c r="D1" s="3733"/>
      <c r="E1" s="3733"/>
      <c r="F1" s="3733"/>
      <c r="G1" s="3733"/>
      <c r="H1" s="3733"/>
      <c r="I1" s="3733"/>
      <c r="J1" s="3733"/>
      <c r="K1" s="3733"/>
    </row>
    <row r="2" spans="1:11" ht="19.350000000000001" customHeight="1">
      <c r="A2" s="1832"/>
      <c r="B2" s="3722" t="s">
        <v>2477</v>
      </c>
      <c r="C2" s="3734"/>
      <c r="D2" s="3730" t="s">
        <v>2478</v>
      </c>
      <c r="E2" s="3734"/>
      <c r="F2" s="3734" t="s">
        <v>3131</v>
      </c>
      <c r="G2" s="3730" t="s">
        <v>2998</v>
      </c>
      <c r="H2" s="3803" t="s">
        <v>2999</v>
      </c>
      <c r="I2" s="3799" t="s">
        <v>2998</v>
      </c>
      <c r="J2" s="3803" t="s">
        <v>3086</v>
      </c>
      <c r="K2" s="3799"/>
    </row>
    <row r="3" spans="1:11" s="1960" customFormat="1" ht="19.350000000000001" customHeight="1">
      <c r="A3" s="1833"/>
      <c r="B3" s="1927" t="s">
        <v>2652</v>
      </c>
      <c r="C3" s="1859" t="s">
        <v>3015</v>
      </c>
      <c r="D3" s="1927" t="s">
        <v>3001</v>
      </c>
      <c r="E3" s="1859" t="s">
        <v>3002</v>
      </c>
      <c r="F3" s="1927" t="s">
        <v>3016</v>
      </c>
      <c r="G3" s="1859" t="s">
        <v>3015</v>
      </c>
      <c r="H3" s="1927" t="s">
        <v>3016</v>
      </c>
      <c r="I3" s="1859" t="s">
        <v>2102</v>
      </c>
      <c r="J3" s="1927" t="s">
        <v>3016</v>
      </c>
      <c r="K3" s="1788" t="s">
        <v>3015</v>
      </c>
    </row>
    <row r="4" spans="1:11" ht="19.350000000000001" customHeight="1">
      <c r="A4" s="1997" t="s">
        <v>2496</v>
      </c>
      <c r="B4" s="2002">
        <v>1152</v>
      </c>
      <c r="C4" s="2009">
        <v>100</v>
      </c>
      <c r="D4" s="2002">
        <v>1976</v>
      </c>
      <c r="E4" s="2009">
        <v>100</v>
      </c>
      <c r="F4" s="2002">
        <v>2507</v>
      </c>
      <c r="G4" s="2009">
        <v>100.00000000000001</v>
      </c>
      <c r="H4" s="2002">
        <v>3302</v>
      </c>
      <c r="I4" s="2009">
        <v>100</v>
      </c>
      <c r="J4" s="2002">
        <v>2105</v>
      </c>
      <c r="K4" s="2009">
        <v>99.999999999999986</v>
      </c>
    </row>
    <row r="5" spans="1:11" ht="19.350000000000001" customHeight="1">
      <c r="A5" s="299" t="s">
        <v>3132</v>
      </c>
      <c r="B5" s="2032">
        <v>987</v>
      </c>
      <c r="C5" s="2009">
        <v>85.677083333333343</v>
      </c>
      <c r="D5" s="2032">
        <v>1700</v>
      </c>
      <c r="E5" s="2009">
        <v>86.032388663967609</v>
      </c>
      <c r="F5" s="2032">
        <v>2147</v>
      </c>
      <c r="G5" s="2009">
        <v>85.640207419226172</v>
      </c>
      <c r="H5" s="2032">
        <v>2838</v>
      </c>
      <c r="I5" s="2009">
        <v>85.947910357359177</v>
      </c>
      <c r="J5" s="2032">
        <v>1782</v>
      </c>
      <c r="K5" s="2009">
        <v>84.655581947743457</v>
      </c>
    </row>
    <row r="6" spans="1:11" ht="19.350000000000001" customHeight="1">
      <c r="A6" s="299" t="s">
        <v>3005</v>
      </c>
      <c r="B6" s="2032">
        <v>104</v>
      </c>
      <c r="C6" s="2009">
        <v>9.0277777777777768</v>
      </c>
      <c r="D6" s="2032">
        <v>179</v>
      </c>
      <c r="E6" s="2009">
        <v>9.0587044534412957</v>
      </c>
      <c r="F6" s="2032">
        <v>215</v>
      </c>
      <c r="G6" s="2009">
        <v>8.5759872357399285</v>
      </c>
      <c r="H6" s="2032">
        <v>280</v>
      </c>
      <c r="I6" s="2009">
        <v>8.4797092671108416</v>
      </c>
      <c r="J6" s="2032">
        <v>215</v>
      </c>
      <c r="K6" s="2009">
        <v>10.213776722090261</v>
      </c>
    </row>
    <row r="7" spans="1:11" ht="19.350000000000001" customHeight="1">
      <c r="A7" s="299" t="s">
        <v>2832</v>
      </c>
      <c r="B7" s="2032">
        <v>24</v>
      </c>
      <c r="C7" s="2009">
        <v>2.083333333333333</v>
      </c>
      <c r="D7" s="2032">
        <v>44</v>
      </c>
      <c r="E7" s="2009">
        <v>2.2267206477732793</v>
      </c>
      <c r="F7" s="2032">
        <v>48</v>
      </c>
      <c r="G7" s="2009">
        <v>1.9146390107698443</v>
      </c>
      <c r="H7" s="2032">
        <v>83</v>
      </c>
      <c r="I7" s="2009">
        <v>2.5136281041792854</v>
      </c>
      <c r="J7" s="2032">
        <v>28</v>
      </c>
      <c r="K7" s="2009">
        <v>1.330166270783848</v>
      </c>
    </row>
    <row r="8" spans="1:11" ht="19.350000000000001" customHeight="1">
      <c r="A8" s="299" t="s">
        <v>3133</v>
      </c>
      <c r="B8" s="2032">
        <v>33</v>
      </c>
      <c r="C8" s="2009">
        <v>2.864583333333333</v>
      </c>
      <c r="D8" s="2032">
        <v>46</v>
      </c>
      <c r="E8" s="2009">
        <v>2.3279352226720649</v>
      </c>
      <c r="F8" s="2032">
        <v>85</v>
      </c>
      <c r="G8" s="2009">
        <v>3.3905065815715991</v>
      </c>
      <c r="H8" s="2032">
        <v>94</v>
      </c>
      <c r="I8" s="2009">
        <v>2.8467595396729255</v>
      </c>
      <c r="J8" s="2032">
        <v>69</v>
      </c>
      <c r="K8" s="2009">
        <v>3.2779097387173399</v>
      </c>
    </row>
    <row r="9" spans="1:11" ht="19.350000000000001" customHeight="1" thickBot="1">
      <c r="A9" s="299" t="s">
        <v>2840</v>
      </c>
      <c r="B9" s="2032">
        <v>4</v>
      </c>
      <c r="C9" s="2009">
        <v>0.34722222222222221</v>
      </c>
      <c r="D9" s="2032">
        <v>7</v>
      </c>
      <c r="E9" s="2009">
        <v>0.354251012145749</v>
      </c>
      <c r="F9" s="2032">
        <v>12</v>
      </c>
      <c r="G9" s="2009">
        <v>0.47865975269246108</v>
      </c>
      <c r="H9" s="2032">
        <v>7</v>
      </c>
      <c r="I9" s="2009">
        <v>0.21199273167777105</v>
      </c>
      <c r="J9" s="2032">
        <v>11</v>
      </c>
      <c r="K9" s="2009">
        <v>0.5225653206650831</v>
      </c>
    </row>
    <row r="10" spans="1:11" ht="19.350000000000001" customHeight="1">
      <c r="A10" s="1974"/>
      <c r="B10" s="3814" t="s">
        <v>2662</v>
      </c>
      <c r="C10" s="3830"/>
      <c r="D10" s="3813" t="s">
        <v>2806</v>
      </c>
      <c r="E10" s="3830"/>
      <c r="F10" s="3813" t="s">
        <v>2835</v>
      </c>
      <c r="G10" s="3814"/>
      <c r="H10" s="3813" t="s">
        <v>3110</v>
      </c>
      <c r="I10" s="3814"/>
      <c r="J10" s="3813" t="s">
        <v>3014</v>
      </c>
      <c r="K10" s="3814"/>
    </row>
    <row r="11" spans="1:11" s="1960" customFormat="1" ht="19.350000000000001" customHeight="1">
      <c r="A11" s="1833"/>
      <c r="B11" s="1927" t="s">
        <v>3001</v>
      </c>
      <c r="C11" s="1859" t="s">
        <v>2102</v>
      </c>
      <c r="D11" s="1927" t="s">
        <v>2563</v>
      </c>
      <c r="E11" s="1859" t="s">
        <v>2102</v>
      </c>
      <c r="F11" s="1927" t="s">
        <v>3001</v>
      </c>
      <c r="G11" s="1859" t="s">
        <v>2373</v>
      </c>
      <c r="H11" s="1927" t="s">
        <v>3016</v>
      </c>
      <c r="I11" s="1859" t="s">
        <v>3002</v>
      </c>
      <c r="J11" s="1927" t="s">
        <v>3016</v>
      </c>
      <c r="K11" s="1788" t="s">
        <v>3002</v>
      </c>
    </row>
    <row r="12" spans="1:11" ht="19.350000000000001" customHeight="1">
      <c r="A12" s="1997" t="s">
        <v>3003</v>
      </c>
      <c r="B12" s="2002">
        <v>2076</v>
      </c>
      <c r="C12" s="2009">
        <v>99.999999999999986</v>
      </c>
      <c r="D12" s="2002">
        <v>1386</v>
      </c>
      <c r="E12" s="2009">
        <v>100.00000000000001</v>
      </c>
      <c r="F12" s="2002">
        <v>835</v>
      </c>
      <c r="G12" s="2009">
        <v>99.999999999999986</v>
      </c>
      <c r="H12" s="2002">
        <v>675</v>
      </c>
      <c r="I12" s="2009">
        <v>100.00000000000001</v>
      </c>
      <c r="J12" s="2002">
        <v>638</v>
      </c>
      <c r="K12" s="2009">
        <v>100</v>
      </c>
    </row>
    <row r="13" spans="1:11" ht="19.350000000000001" customHeight="1">
      <c r="A13" s="299" t="s">
        <v>3004</v>
      </c>
      <c r="B13" s="2032">
        <v>1796</v>
      </c>
      <c r="C13" s="2009">
        <v>86.51252408477842</v>
      </c>
      <c r="D13" s="2032">
        <v>1220</v>
      </c>
      <c r="E13" s="2009">
        <v>88.023088023088022</v>
      </c>
      <c r="F13" s="2032">
        <v>733</v>
      </c>
      <c r="G13" s="2009">
        <v>87.784431137724553</v>
      </c>
      <c r="H13" s="2032">
        <v>590</v>
      </c>
      <c r="I13" s="2009">
        <v>87.407407407407405</v>
      </c>
      <c r="J13" s="2032">
        <v>547</v>
      </c>
      <c r="K13" s="2009">
        <v>85.736677115987462</v>
      </c>
    </row>
    <row r="14" spans="1:11" ht="19.350000000000001" customHeight="1">
      <c r="A14" s="299" t="s">
        <v>3134</v>
      </c>
      <c r="B14" s="2032">
        <v>190</v>
      </c>
      <c r="C14" s="2009">
        <v>9.1522157996146429</v>
      </c>
      <c r="D14" s="2032">
        <v>109</v>
      </c>
      <c r="E14" s="2009">
        <v>7.8643578643578644</v>
      </c>
      <c r="F14" s="2032">
        <v>69</v>
      </c>
      <c r="G14" s="2009">
        <v>8.2634730538922163</v>
      </c>
      <c r="H14" s="2032">
        <v>55</v>
      </c>
      <c r="I14" s="2009">
        <v>8.1481481481481488</v>
      </c>
      <c r="J14" s="2032">
        <v>67</v>
      </c>
      <c r="K14" s="2009">
        <v>10.501567398119123</v>
      </c>
    </row>
    <row r="15" spans="1:11" ht="19.350000000000001" customHeight="1">
      <c r="A15" s="299" t="s">
        <v>2832</v>
      </c>
      <c r="B15" s="2032">
        <v>22</v>
      </c>
      <c r="C15" s="2009">
        <v>1.0597302504816954</v>
      </c>
      <c r="D15" s="2032">
        <v>18</v>
      </c>
      <c r="E15" s="2009">
        <v>1.2987012987012987</v>
      </c>
      <c r="F15" s="2032">
        <v>5</v>
      </c>
      <c r="G15" s="2009">
        <v>0.5988023952095809</v>
      </c>
      <c r="H15" s="2032">
        <v>8</v>
      </c>
      <c r="I15" s="2009">
        <v>1.1851851851851851</v>
      </c>
      <c r="J15" s="2032">
        <v>13</v>
      </c>
      <c r="K15" s="2009">
        <v>2.0376175548589339</v>
      </c>
    </row>
    <row r="16" spans="1:11" ht="19.350000000000001" customHeight="1">
      <c r="A16" s="299" t="s">
        <v>2839</v>
      </c>
      <c r="B16" s="2032">
        <v>59</v>
      </c>
      <c r="C16" s="2009">
        <v>2.8420038535645471</v>
      </c>
      <c r="D16" s="2032">
        <v>32</v>
      </c>
      <c r="E16" s="2009">
        <v>2.3088023088023086</v>
      </c>
      <c r="F16" s="2032">
        <v>26</v>
      </c>
      <c r="G16" s="2009">
        <v>3.1137724550898205</v>
      </c>
      <c r="H16" s="2032">
        <v>21</v>
      </c>
      <c r="I16" s="2009">
        <v>3.1111111111111112</v>
      </c>
      <c r="J16" s="2032">
        <v>9</v>
      </c>
      <c r="K16" s="2009">
        <v>1.4106583072100314</v>
      </c>
    </row>
    <row r="17" spans="1:11" ht="19.350000000000001" customHeight="1">
      <c r="A17" s="299" t="s">
        <v>3135</v>
      </c>
      <c r="B17" s="2040">
        <v>9</v>
      </c>
      <c r="C17" s="2077">
        <v>0.43352601156069359</v>
      </c>
      <c r="D17" s="2040">
        <v>7</v>
      </c>
      <c r="E17" s="2077">
        <v>0.50505050505050508</v>
      </c>
      <c r="F17" s="2040">
        <v>2</v>
      </c>
      <c r="G17" s="2077">
        <v>0.23952095808383234</v>
      </c>
      <c r="H17" s="2040">
        <v>1</v>
      </c>
      <c r="I17" s="2077">
        <v>0.14814814814814814</v>
      </c>
      <c r="J17" s="2040">
        <v>2</v>
      </c>
      <c r="K17" s="2077">
        <v>0.31347962382445138</v>
      </c>
    </row>
    <row r="18" spans="1:11" ht="31.5" customHeight="1">
      <c r="A18" s="3872" t="s">
        <v>3136</v>
      </c>
      <c r="B18" s="3847"/>
      <c r="C18" s="3848"/>
      <c r="D18" s="3847"/>
      <c r="H18" s="2049"/>
      <c r="I18" s="2049"/>
      <c r="J18" s="2123"/>
      <c r="K18" s="2123"/>
    </row>
  </sheetData>
  <mergeCells count="12">
    <mergeCell ref="A18:D18"/>
    <mergeCell ref="A1:K1"/>
    <mergeCell ref="B2:C2"/>
    <mergeCell ref="D2:E2"/>
    <mergeCell ref="F2:G2"/>
    <mergeCell ref="H2:I2"/>
    <mergeCell ref="J2:K2"/>
    <mergeCell ref="B10:C10"/>
    <mergeCell ref="D10:E10"/>
    <mergeCell ref="F10:G10"/>
    <mergeCell ref="H10:I10"/>
    <mergeCell ref="J10:K10"/>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79"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S24"/>
  <sheetViews>
    <sheetView showGridLines="0" showRuler="0" zoomScaleNormal="100" zoomScalePageLayoutView="125" workbookViewId="0">
      <selection activeCell="B18" sqref="B18:D18"/>
    </sheetView>
  </sheetViews>
  <sheetFormatPr defaultColWidth="9" defaultRowHeight="15.75"/>
  <cols>
    <col min="1" max="1" width="15.875" style="1795" customWidth="1"/>
    <col min="2" max="3" width="9" style="1795"/>
    <col min="4" max="4" width="8.875" style="1795" customWidth="1"/>
    <col min="5" max="7" width="9" style="1795"/>
    <col min="8" max="8" width="10" style="1795" bestFit="1" customWidth="1"/>
    <col min="9" max="9" width="10.125" style="1795" customWidth="1"/>
    <col min="10" max="16384" width="9" style="1795"/>
  </cols>
  <sheetData>
    <row r="1" spans="1:19" ht="24.75" customHeight="1">
      <c r="A1" s="3733" t="s">
        <v>3137</v>
      </c>
      <c r="B1" s="3733"/>
      <c r="C1" s="3733"/>
      <c r="D1" s="3733"/>
      <c r="E1" s="3733"/>
      <c r="F1" s="3733"/>
      <c r="G1" s="3733"/>
      <c r="H1" s="3733"/>
      <c r="I1" s="3733"/>
      <c r="J1" s="3733"/>
      <c r="K1" s="3733"/>
      <c r="L1" s="2052"/>
      <c r="M1" s="2052"/>
      <c r="N1" s="2052"/>
      <c r="O1" s="2052"/>
      <c r="P1" s="2052"/>
      <c r="Q1" s="2052"/>
      <c r="R1" s="2052"/>
      <c r="S1" s="2052"/>
    </row>
    <row r="2" spans="1:19" ht="19.350000000000001" customHeight="1">
      <c r="A2" s="1832"/>
      <c r="B2" s="3722" t="s">
        <v>2995</v>
      </c>
      <c r="C2" s="3734"/>
      <c r="D2" s="3730" t="s">
        <v>2996</v>
      </c>
      <c r="E2" s="3734"/>
      <c r="F2" s="3730" t="s">
        <v>2997</v>
      </c>
      <c r="G2" s="3722"/>
      <c r="H2" s="3803" t="s">
        <v>2999</v>
      </c>
      <c r="I2" s="3799" t="s">
        <v>2998</v>
      </c>
      <c r="J2" s="3803" t="s">
        <v>3000</v>
      </c>
      <c r="K2" s="3799"/>
    </row>
    <row r="3" spans="1:19" s="1960" customFormat="1" ht="19.350000000000001" customHeight="1">
      <c r="A3" s="1833"/>
      <c r="B3" s="1927" t="s">
        <v>3001</v>
      </c>
      <c r="C3" s="1859" t="s">
        <v>3002</v>
      </c>
      <c r="D3" s="1927" t="s">
        <v>3001</v>
      </c>
      <c r="E3" s="1859" t="s">
        <v>3002</v>
      </c>
      <c r="F3" s="1927" t="s">
        <v>3001</v>
      </c>
      <c r="G3" s="1859" t="s">
        <v>3002</v>
      </c>
      <c r="H3" s="1927" t="s">
        <v>3001</v>
      </c>
      <c r="I3" s="1859" t="s">
        <v>3002</v>
      </c>
      <c r="J3" s="1927" t="s">
        <v>3001</v>
      </c>
      <c r="K3" s="1788" t="s">
        <v>3002</v>
      </c>
    </row>
    <row r="4" spans="1:19" ht="19.350000000000001" customHeight="1">
      <c r="A4" s="1997" t="s">
        <v>3017</v>
      </c>
      <c r="B4" s="2002">
        <v>1152</v>
      </c>
      <c r="C4" s="2003">
        <v>100.00000000000001</v>
      </c>
      <c r="D4" s="2002">
        <v>1976</v>
      </c>
      <c r="E4" s="2003">
        <v>100</v>
      </c>
      <c r="F4" s="2002">
        <v>2507</v>
      </c>
      <c r="G4" s="2003">
        <v>100</v>
      </c>
      <c r="H4" s="2002">
        <v>3302</v>
      </c>
      <c r="I4" s="2003">
        <v>99.999999999999986</v>
      </c>
      <c r="J4" s="2002">
        <v>2105</v>
      </c>
      <c r="K4" s="2003">
        <v>99.999999999999986</v>
      </c>
    </row>
    <row r="5" spans="1:19" ht="19.350000000000001" customHeight="1">
      <c r="A5" s="299" t="s">
        <v>3025</v>
      </c>
      <c r="B5" s="2032">
        <v>433</v>
      </c>
      <c r="C5" s="2015">
        <v>37.586805555555557</v>
      </c>
      <c r="D5" s="2032">
        <v>777</v>
      </c>
      <c r="E5" s="2015">
        <v>39.321862348178136</v>
      </c>
      <c r="F5" s="2032">
        <v>929</v>
      </c>
      <c r="G5" s="2015">
        <v>37.05624252094136</v>
      </c>
      <c r="H5" s="2032">
        <v>1220</v>
      </c>
      <c r="I5" s="2009">
        <v>36.9473046638401</v>
      </c>
      <c r="J5" s="2032">
        <v>866</v>
      </c>
      <c r="K5" s="2009">
        <v>41.140142517814724</v>
      </c>
    </row>
    <row r="6" spans="1:19" ht="19.350000000000001" customHeight="1">
      <c r="A6" s="299" t="s">
        <v>3026</v>
      </c>
      <c r="B6" s="2032">
        <v>428</v>
      </c>
      <c r="C6" s="2015">
        <v>37.152777777777779</v>
      </c>
      <c r="D6" s="2032">
        <v>772</v>
      </c>
      <c r="E6" s="2015">
        <v>39.068825910931174</v>
      </c>
      <c r="F6" s="2032">
        <v>1016</v>
      </c>
      <c r="G6" s="2015">
        <v>40.526525727961712</v>
      </c>
      <c r="H6" s="2032">
        <v>1361</v>
      </c>
      <c r="I6" s="2009">
        <v>41.217443973349482</v>
      </c>
      <c r="J6" s="2032">
        <v>781</v>
      </c>
      <c r="K6" s="2009">
        <v>37.102137767220903</v>
      </c>
    </row>
    <row r="7" spans="1:19" ht="19.350000000000001" customHeight="1">
      <c r="A7" s="299" t="s">
        <v>3022</v>
      </c>
      <c r="B7" s="2032">
        <v>82</v>
      </c>
      <c r="C7" s="2015">
        <v>7.1180555555555554</v>
      </c>
      <c r="D7" s="2032">
        <v>164</v>
      </c>
      <c r="E7" s="2015">
        <v>8.2995951417004061</v>
      </c>
      <c r="F7" s="2032">
        <v>195</v>
      </c>
      <c r="G7" s="2015">
        <v>7.7782209812524927</v>
      </c>
      <c r="H7" s="2032">
        <v>265</v>
      </c>
      <c r="I7" s="2009">
        <v>8.0254391278013326</v>
      </c>
      <c r="J7" s="2032">
        <v>175</v>
      </c>
      <c r="K7" s="2009">
        <v>8.31353919239905</v>
      </c>
    </row>
    <row r="8" spans="1:19" ht="19.350000000000001" customHeight="1">
      <c r="A8" s="299" t="s">
        <v>3023</v>
      </c>
      <c r="B8" s="2032">
        <v>85</v>
      </c>
      <c r="C8" s="2015">
        <v>7.3784722222222223</v>
      </c>
      <c r="D8" s="2032">
        <v>118</v>
      </c>
      <c r="E8" s="2015">
        <v>5.9716599190283404</v>
      </c>
      <c r="F8" s="2032">
        <v>145</v>
      </c>
      <c r="G8" s="2015">
        <v>5.7838053450339055</v>
      </c>
      <c r="H8" s="2032">
        <v>198</v>
      </c>
      <c r="I8" s="2009">
        <v>5.9963658388855245</v>
      </c>
      <c r="J8" s="2032">
        <v>110</v>
      </c>
      <c r="K8" s="2009">
        <v>5.225653206650831</v>
      </c>
    </row>
    <row r="9" spans="1:19" ht="19.350000000000001" customHeight="1">
      <c r="A9" s="299" t="s">
        <v>3138</v>
      </c>
      <c r="B9" s="2032">
        <v>45</v>
      </c>
      <c r="C9" s="2015">
        <v>3.90625</v>
      </c>
      <c r="D9" s="2032">
        <v>42</v>
      </c>
      <c r="E9" s="2015">
        <v>2.1255060728744937</v>
      </c>
      <c r="F9" s="2032">
        <v>81</v>
      </c>
      <c r="G9" s="2015">
        <v>3.2309533306741125</v>
      </c>
      <c r="H9" s="2032">
        <v>79</v>
      </c>
      <c r="I9" s="2009">
        <v>2.3924894003634161</v>
      </c>
      <c r="J9" s="2032">
        <v>48</v>
      </c>
      <c r="K9" s="2009">
        <v>2.2802850356294537</v>
      </c>
    </row>
    <row r="10" spans="1:19" ht="19.350000000000001" customHeight="1">
      <c r="A10" s="299" t="s">
        <v>3139</v>
      </c>
      <c r="B10" s="2032">
        <v>11</v>
      </c>
      <c r="C10" s="2015">
        <v>0.95486111111111116</v>
      </c>
      <c r="D10" s="2032">
        <v>13</v>
      </c>
      <c r="E10" s="2015">
        <v>0.6578947368421052</v>
      </c>
      <c r="F10" s="2032">
        <v>22</v>
      </c>
      <c r="G10" s="2015">
        <v>0.87754287993617863</v>
      </c>
      <c r="H10" s="2032">
        <v>24</v>
      </c>
      <c r="I10" s="2009">
        <v>0.7268322228952151</v>
      </c>
      <c r="J10" s="2032">
        <v>8</v>
      </c>
      <c r="K10" s="2009">
        <v>0.38004750593824227</v>
      </c>
    </row>
    <row r="11" spans="1:19" ht="19.350000000000001" customHeight="1" thickBot="1">
      <c r="A11" s="299" t="s">
        <v>3029</v>
      </c>
      <c r="B11" s="2124">
        <v>68</v>
      </c>
      <c r="C11" s="2125">
        <v>5.9027777777777777</v>
      </c>
      <c r="D11" s="2124">
        <v>90</v>
      </c>
      <c r="E11" s="2125">
        <v>4.5546558704453437</v>
      </c>
      <c r="F11" s="2124">
        <v>119</v>
      </c>
      <c r="G11" s="2125">
        <v>4.7467092142002389</v>
      </c>
      <c r="H11" s="2124">
        <v>155</v>
      </c>
      <c r="I11" s="2126">
        <v>4.6941247728649307</v>
      </c>
      <c r="J11" s="2124">
        <v>117</v>
      </c>
      <c r="K11" s="2126">
        <v>5.5581947743467932</v>
      </c>
    </row>
    <row r="12" spans="1:19" ht="19.350000000000001" customHeight="1">
      <c r="A12" s="1974"/>
      <c r="B12" s="3814" t="s">
        <v>2662</v>
      </c>
      <c r="C12" s="3830"/>
      <c r="D12" s="3813" t="s">
        <v>3011</v>
      </c>
      <c r="E12" s="3830"/>
      <c r="F12" s="3813" t="s">
        <v>2968</v>
      </c>
      <c r="G12" s="3814"/>
      <c r="H12" s="3813" t="s">
        <v>3013</v>
      </c>
      <c r="I12" s="3814"/>
      <c r="J12" s="3813" t="s">
        <v>2753</v>
      </c>
      <c r="K12" s="3814"/>
    </row>
    <row r="13" spans="1:19" s="1960" customFormat="1" ht="19.350000000000001" customHeight="1">
      <c r="A13" s="1833"/>
      <c r="B13" s="1927" t="s">
        <v>3001</v>
      </c>
      <c r="C13" s="1859" t="s">
        <v>2102</v>
      </c>
      <c r="D13" s="1927" t="s">
        <v>3001</v>
      </c>
      <c r="E13" s="1859" t="s">
        <v>3002</v>
      </c>
      <c r="F13" s="1927" t="s">
        <v>2652</v>
      </c>
      <c r="G13" s="1859" t="s">
        <v>2102</v>
      </c>
      <c r="H13" s="1927" t="s">
        <v>2652</v>
      </c>
      <c r="I13" s="1859" t="s">
        <v>2373</v>
      </c>
      <c r="J13" s="1927" t="s">
        <v>2652</v>
      </c>
      <c r="K13" s="1788" t="s">
        <v>3002</v>
      </c>
    </row>
    <row r="14" spans="1:19" ht="19.350000000000001" customHeight="1">
      <c r="A14" s="1997" t="s">
        <v>2375</v>
      </c>
      <c r="B14" s="2002">
        <v>2076</v>
      </c>
      <c r="C14" s="2003">
        <v>100.00000000000001</v>
      </c>
      <c r="D14" s="2002">
        <v>1386</v>
      </c>
      <c r="E14" s="2003">
        <v>99.999999999999986</v>
      </c>
      <c r="F14" s="2002">
        <v>835</v>
      </c>
      <c r="G14" s="2003">
        <v>100</v>
      </c>
      <c r="H14" s="2002">
        <v>675</v>
      </c>
      <c r="I14" s="2003">
        <v>100</v>
      </c>
      <c r="J14" s="2002">
        <v>638</v>
      </c>
      <c r="K14" s="2003">
        <v>100</v>
      </c>
    </row>
    <row r="15" spans="1:19" ht="19.350000000000001" customHeight="1">
      <c r="A15" s="299" t="s">
        <v>3021</v>
      </c>
      <c r="B15" s="2032">
        <v>894</v>
      </c>
      <c r="C15" s="2015">
        <v>43.063583815028899</v>
      </c>
      <c r="D15" s="2032">
        <v>596</v>
      </c>
      <c r="E15" s="2015">
        <v>43.001443001443</v>
      </c>
      <c r="F15" s="2032">
        <v>381</v>
      </c>
      <c r="G15" s="2015">
        <v>45.628742514970064</v>
      </c>
      <c r="H15" s="2032">
        <v>312</v>
      </c>
      <c r="I15" s="2009">
        <v>46.222222222222221</v>
      </c>
      <c r="J15" s="2032">
        <v>281</v>
      </c>
      <c r="K15" s="2009">
        <v>44.043887147335425</v>
      </c>
    </row>
    <row r="16" spans="1:19" ht="19.350000000000001" customHeight="1">
      <c r="A16" s="299" t="s">
        <v>3026</v>
      </c>
      <c r="B16" s="2032">
        <v>728</v>
      </c>
      <c r="C16" s="2015">
        <v>35.067437379576106</v>
      </c>
      <c r="D16" s="2032">
        <v>487</v>
      </c>
      <c r="E16" s="2015">
        <v>35.137085137085137</v>
      </c>
      <c r="F16" s="2032">
        <v>272</v>
      </c>
      <c r="G16" s="2015">
        <v>32.574850299401199</v>
      </c>
      <c r="H16" s="2032">
        <v>217</v>
      </c>
      <c r="I16" s="2009">
        <v>32.148148148148145</v>
      </c>
      <c r="J16" s="2032">
        <v>210</v>
      </c>
      <c r="K16" s="2009">
        <v>32.915360501567399</v>
      </c>
    </row>
    <row r="17" spans="1:11" ht="19.350000000000001" customHeight="1">
      <c r="A17" s="299" t="s">
        <v>3022</v>
      </c>
      <c r="B17" s="2032">
        <v>136</v>
      </c>
      <c r="C17" s="2015">
        <v>6.5510597302504818</v>
      </c>
      <c r="D17" s="2032">
        <v>92</v>
      </c>
      <c r="E17" s="2015">
        <v>6.637806637806638</v>
      </c>
      <c r="F17" s="2032">
        <v>60</v>
      </c>
      <c r="G17" s="2015">
        <v>7.1856287425149699</v>
      </c>
      <c r="H17" s="2032">
        <v>45</v>
      </c>
      <c r="I17" s="2009">
        <v>6.666666666666667</v>
      </c>
      <c r="J17" s="2032">
        <v>52</v>
      </c>
      <c r="K17" s="2009">
        <v>8.1504702194357357</v>
      </c>
    </row>
    <row r="18" spans="1:11" ht="19.350000000000001" customHeight="1">
      <c r="A18" s="299" t="s">
        <v>3023</v>
      </c>
      <c r="B18" s="2032">
        <v>129</v>
      </c>
      <c r="C18" s="2015">
        <v>6.2138728323699421</v>
      </c>
      <c r="D18" s="2032">
        <v>85</v>
      </c>
      <c r="E18" s="2015">
        <v>6.1327561327561328</v>
      </c>
      <c r="F18" s="2032">
        <v>55</v>
      </c>
      <c r="G18" s="2015">
        <v>6.5868263473053901</v>
      </c>
      <c r="H18" s="2032">
        <v>39</v>
      </c>
      <c r="I18" s="2009">
        <v>5.7777777777777777</v>
      </c>
      <c r="J18" s="2032">
        <v>37</v>
      </c>
      <c r="K18" s="2009">
        <v>5.7993730407523509</v>
      </c>
    </row>
    <row r="19" spans="1:11" ht="19.350000000000001" customHeight="1">
      <c r="A19" s="299" t="s">
        <v>3140</v>
      </c>
      <c r="B19" s="2032">
        <v>53</v>
      </c>
      <c r="C19" s="2015">
        <v>2.5529865125240847</v>
      </c>
      <c r="D19" s="2032">
        <v>31</v>
      </c>
      <c r="E19" s="2015">
        <v>2.2366522366522368</v>
      </c>
      <c r="F19" s="2032">
        <v>16</v>
      </c>
      <c r="G19" s="2015">
        <v>1.9161676646706587</v>
      </c>
      <c r="H19" s="2032">
        <v>18</v>
      </c>
      <c r="I19" s="2009">
        <v>2.666666666666667</v>
      </c>
      <c r="J19" s="2032">
        <v>19</v>
      </c>
      <c r="K19" s="2009">
        <v>2.9780564263322882</v>
      </c>
    </row>
    <row r="20" spans="1:11" ht="19.350000000000001" customHeight="1">
      <c r="A20" s="299" t="s">
        <v>2855</v>
      </c>
      <c r="B20" s="2032">
        <v>19</v>
      </c>
      <c r="C20" s="2015">
        <v>0.91522157996146436</v>
      </c>
      <c r="D20" s="2032">
        <v>10</v>
      </c>
      <c r="E20" s="2015">
        <v>0.72150072150072153</v>
      </c>
      <c r="F20" s="2032">
        <v>5</v>
      </c>
      <c r="G20" s="2015">
        <v>0.5988023952095809</v>
      </c>
      <c r="H20" s="2032">
        <v>5</v>
      </c>
      <c r="I20" s="2009">
        <v>0.74074074074074081</v>
      </c>
      <c r="J20" s="2032">
        <v>4</v>
      </c>
      <c r="K20" s="2009">
        <v>0.62695924764890276</v>
      </c>
    </row>
    <row r="21" spans="1:11" ht="19.350000000000001" customHeight="1">
      <c r="A21" s="1944" t="s">
        <v>2526</v>
      </c>
      <c r="B21" s="2040">
        <v>117</v>
      </c>
      <c r="C21" s="2117">
        <v>5.6358381502890174</v>
      </c>
      <c r="D21" s="2040">
        <v>85</v>
      </c>
      <c r="E21" s="2117">
        <v>6.1327561327561328</v>
      </c>
      <c r="F21" s="2040">
        <v>46</v>
      </c>
      <c r="G21" s="2117">
        <v>5.5089820359281436</v>
      </c>
      <c r="H21" s="2040">
        <v>39</v>
      </c>
      <c r="I21" s="2077">
        <v>5.7777777777777777</v>
      </c>
      <c r="J21" s="2040">
        <v>35</v>
      </c>
      <c r="K21" s="2077">
        <v>5.4858934169279001</v>
      </c>
    </row>
    <row r="22" spans="1:11" ht="30.75" customHeight="1">
      <c r="A22" s="3841" t="s">
        <v>3136</v>
      </c>
      <c r="B22" s="3762"/>
      <c r="C22" s="3762"/>
      <c r="D22" s="3762"/>
      <c r="E22" s="3762"/>
      <c r="F22" s="3762"/>
      <c r="J22" s="2049"/>
      <c r="K22" s="2049"/>
    </row>
    <row r="23" spans="1:11">
      <c r="A23" s="3840"/>
      <c r="B23" s="3820"/>
      <c r="C23" s="3820"/>
      <c r="D23" s="3820"/>
      <c r="E23" s="3820"/>
      <c r="I23" s="2051"/>
    </row>
    <row r="24" spans="1:11">
      <c r="A24" s="3840"/>
      <c r="B24" s="3820"/>
      <c r="C24" s="3820"/>
      <c r="D24" s="3820"/>
      <c r="E24" s="3820"/>
    </row>
  </sheetData>
  <mergeCells count="14">
    <mergeCell ref="A23:E23"/>
    <mergeCell ref="A24:E24"/>
    <mergeCell ref="B12:C12"/>
    <mergeCell ref="D12:E12"/>
    <mergeCell ref="F12:G12"/>
    <mergeCell ref="H12:I12"/>
    <mergeCell ref="J12:K12"/>
    <mergeCell ref="A22:F22"/>
    <mergeCell ref="A1:K1"/>
    <mergeCell ref="B2:C2"/>
    <mergeCell ref="D2:E2"/>
    <mergeCell ref="F2:G2"/>
    <mergeCell ref="H2:I2"/>
    <mergeCell ref="J2:K2"/>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77"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R17"/>
  <sheetViews>
    <sheetView showGridLines="0" showRuler="0" zoomScaleNormal="100" zoomScalePageLayoutView="125" workbookViewId="0">
      <selection activeCell="B18" sqref="B18:D18"/>
    </sheetView>
  </sheetViews>
  <sheetFormatPr defaultColWidth="9" defaultRowHeight="15.75"/>
  <cols>
    <col min="1" max="1" width="6.625" style="1795" customWidth="1"/>
    <col min="2" max="2" width="8.5" style="1795" customWidth="1"/>
    <col min="3" max="3" width="8.5" style="1795" bestFit="1" customWidth="1"/>
    <col min="4" max="4" width="8.5" style="1795" customWidth="1"/>
    <col min="5" max="5" width="8.875" style="1795" bestFit="1" customWidth="1"/>
    <col min="6" max="17" width="8.5" style="1795" customWidth="1"/>
    <col min="18" max="16384" width="9" style="1795"/>
  </cols>
  <sheetData>
    <row r="1" spans="1:18" ht="30" customHeight="1">
      <c r="A1" s="3733" t="s">
        <v>3141</v>
      </c>
      <c r="B1" s="3733"/>
      <c r="C1" s="3733"/>
      <c r="D1" s="3733"/>
      <c r="E1" s="3733"/>
      <c r="F1" s="3733"/>
      <c r="G1" s="3733"/>
      <c r="H1" s="3733"/>
      <c r="I1" s="3733"/>
      <c r="J1" s="3733"/>
      <c r="K1" s="3733"/>
      <c r="L1" s="3733"/>
      <c r="M1" s="3733"/>
      <c r="N1" s="3733"/>
      <c r="O1" s="3733"/>
      <c r="P1" s="3733"/>
      <c r="Q1" s="3733"/>
    </row>
    <row r="2" spans="1:18" ht="30" customHeight="1">
      <c r="A2" s="3717"/>
      <c r="B2" s="3722" t="s">
        <v>3142</v>
      </c>
      <c r="C2" s="3722"/>
      <c r="D2" s="3722"/>
      <c r="E2" s="3719" t="s">
        <v>3102</v>
      </c>
      <c r="F2" s="3730" t="s">
        <v>3143</v>
      </c>
      <c r="G2" s="3734"/>
      <c r="H2" s="3722" t="s">
        <v>3144</v>
      </c>
      <c r="I2" s="3734"/>
      <c r="J2" s="3717" t="s">
        <v>3145</v>
      </c>
      <c r="K2" s="3717"/>
      <c r="L2" s="3721" t="s">
        <v>3146</v>
      </c>
      <c r="M2" s="3876"/>
      <c r="N2" s="3721" t="s">
        <v>3147</v>
      </c>
      <c r="O2" s="3876"/>
      <c r="P2" s="3721" t="s">
        <v>3148</v>
      </c>
      <c r="Q2" s="3763"/>
    </row>
    <row r="3" spans="1:18" ht="30" customHeight="1">
      <c r="A3" s="3522"/>
      <c r="B3" s="1927" t="s">
        <v>3017</v>
      </c>
      <c r="C3" s="1903" t="s">
        <v>2986</v>
      </c>
      <c r="D3" s="2127" t="s">
        <v>3079</v>
      </c>
      <c r="E3" s="3720"/>
      <c r="F3" s="1927" t="s">
        <v>3001</v>
      </c>
      <c r="G3" s="1859" t="s">
        <v>3002</v>
      </c>
      <c r="H3" s="1927" t="s">
        <v>3001</v>
      </c>
      <c r="I3" s="1859" t="s">
        <v>2373</v>
      </c>
      <c r="J3" s="1927" t="s">
        <v>3001</v>
      </c>
      <c r="K3" s="1859" t="s">
        <v>3002</v>
      </c>
      <c r="L3" s="1927" t="s">
        <v>3001</v>
      </c>
      <c r="M3" s="1859" t="s">
        <v>3002</v>
      </c>
      <c r="N3" s="1927" t="s">
        <v>3001</v>
      </c>
      <c r="O3" s="1859" t="s">
        <v>2102</v>
      </c>
      <c r="P3" s="1927" t="s">
        <v>2563</v>
      </c>
      <c r="Q3" s="1788" t="s">
        <v>2102</v>
      </c>
    </row>
    <row r="4" spans="1:18" ht="30" hidden="1" customHeight="1">
      <c r="A4" s="1876" t="s">
        <v>3149</v>
      </c>
      <c r="B4" s="2035">
        <f>372+8691</f>
        <v>9063</v>
      </c>
      <c r="C4" s="2035">
        <f>356+7320</f>
        <v>7676</v>
      </c>
      <c r="D4" s="2035">
        <f>16+1371</f>
        <v>1387</v>
      </c>
      <c r="E4" s="2128">
        <v>100</v>
      </c>
      <c r="F4" s="2035">
        <f>34+215-2-3</f>
        <v>244</v>
      </c>
      <c r="G4" s="2128">
        <f t="shared" ref="G4:G15" si="0">F4/B4*100</f>
        <v>2.6922652543307954</v>
      </c>
      <c r="H4" s="2035">
        <f>115+3609-4-1-6-122-101-2-5-24-16-1-1</f>
        <v>3441</v>
      </c>
      <c r="I4" s="2128">
        <f t="shared" ref="I4:I15" si="1">H4/B4*100</f>
        <v>37.967560410460109</v>
      </c>
      <c r="J4" s="2035">
        <f>84+1896-3-1-2-3-110-166-1-7-1-5-3-2</f>
        <v>1676</v>
      </c>
      <c r="K4" s="2128">
        <f t="shared" ref="K4:K15" si="2">J4/B4*100</f>
        <v>18.492772812534479</v>
      </c>
      <c r="L4" s="2035">
        <f>104+1743-3-3-1-25-76-2-10-9-7-4-5</f>
        <v>1702</v>
      </c>
      <c r="M4" s="2128">
        <f t="shared" ref="M4:M15" si="3">L4/B4*100</f>
        <v>18.779653536356612</v>
      </c>
      <c r="N4" s="2030">
        <f>1+85-26-15-1</f>
        <v>44</v>
      </c>
      <c r="O4" s="2129">
        <f t="shared" ref="O4:O15" si="4">N4/B4*100</f>
        <v>0.48549045569899596</v>
      </c>
      <c r="P4" s="2018">
        <f>34+2033-6-1-1-1-44-35-1-1-3-11-6-1</f>
        <v>1956</v>
      </c>
      <c r="Q4" s="2129">
        <f t="shared" ref="Q4:Q15" si="5">P4/B4*100</f>
        <v>21.582257530619</v>
      </c>
    </row>
    <row r="5" spans="1:18" ht="30" hidden="1" customHeight="1">
      <c r="A5" s="1876" t="s">
        <v>3150</v>
      </c>
      <c r="B5" s="2035">
        <v>9064</v>
      </c>
      <c r="C5" s="2035">
        <v>7734</v>
      </c>
      <c r="D5" s="2035">
        <v>1330</v>
      </c>
      <c r="E5" s="2128">
        <v>100</v>
      </c>
      <c r="F5" s="2035">
        <v>239</v>
      </c>
      <c r="G5" s="2128">
        <f t="shared" si="0"/>
        <v>2.6368049426301852</v>
      </c>
      <c r="H5" s="2035">
        <v>3495</v>
      </c>
      <c r="I5" s="2128">
        <f t="shared" si="1"/>
        <v>38.55913503971756</v>
      </c>
      <c r="J5" s="2035">
        <v>1399</v>
      </c>
      <c r="K5" s="2128">
        <f t="shared" si="2"/>
        <v>15.434686672550752</v>
      </c>
      <c r="L5" s="2035">
        <v>1700</v>
      </c>
      <c r="M5" s="2128">
        <f t="shared" si="3"/>
        <v>18.755516328331861</v>
      </c>
      <c r="N5" s="2030">
        <v>99</v>
      </c>
      <c r="O5" s="2129">
        <f t="shared" si="4"/>
        <v>1.0922330097087378</v>
      </c>
      <c r="P5" s="2018">
        <v>2132</v>
      </c>
      <c r="Q5" s="2129">
        <f t="shared" si="5"/>
        <v>23.5216240070609</v>
      </c>
    </row>
    <row r="6" spans="1:18" ht="30" customHeight="1">
      <c r="A6" s="1876" t="s">
        <v>3151</v>
      </c>
      <c r="B6" s="1935">
        <v>9716</v>
      </c>
      <c r="C6" s="1938">
        <v>8335</v>
      </c>
      <c r="D6" s="1938">
        <v>1381</v>
      </c>
      <c r="E6" s="1965">
        <v>100</v>
      </c>
      <c r="F6" s="1935">
        <v>415</v>
      </c>
      <c r="G6" s="1965">
        <f t="shared" si="0"/>
        <v>4.2713050638122683</v>
      </c>
      <c r="H6" s="1935">
        <v>4322</v>
      </c>
      <c r="I6" s="1936">
        <f t="shared" si="1"/>
        <v>44.483326471799096</v>
      </c>
      <c r="J6" s="1938">
        <v>1276</v>
      </c>
      <c r="K6" s="1936">
        <f t="shared" si="2"/>
        <v>13.132976533552904</v>
      </c>
      <c r="L6" s="1938">
        <v>1635</v>
      </c>
      <c r="M6" s="1936">
        <f t="shared" si="3"/>
        <v>16.827912721284481</v>
      </c>
      <c r="N6" s="1938">
        <v>32</v>
      </c>
      <c r="O6" s="1936">
        <f t="shared" si="4"/>
        <v>0.32935364347468093</v>
      </c>
      <c r="P6" s="1938">
        <v>2036</v>
      </c>
      <c r="Q6" s="1965">
        <f t="shared" si="5"/>
        <v>20.955125566076575</v>
      </c>
      <c r="R6" s="2130"/>
    </row>
    <row r="7" spans="1:18" ht="30" customHeight="1">
      <c r="A7" s="1876" t="s">
        <v>2545</v>
      </c>
      <c r="B7" s="1935">
        <v>11155</v>
      </c>
      <c r="C7" s="1939">
        <v>9646</v>
      </c>
      <c r="D7" s="1939">
        <v>1509</v>
      </c>
      <c r="E7" s="2131">
        <v>100</v>
      </c>
      <c r="F7" s="2132">
        <v>491</v>
      </c>
      <c r="G7" s="1936">
        <f t="shared" si="0"/>
        <v>4.4016136261766023</v>
      </c>
      <c r="H7" s="1938">
        <v>5142</v>
      </c>
      <c r="I7" s="1936">
        <f t="shared" si="1"/>
        <v>46.095921111609144</v>
      </c>
      <c r="J7" s="2132">
        <v>1402</v>
      </c>
      <c r="K7" s="1936">
        <f t="shared" si="2"/>
        <v>12.568354997758851</v>
      </c>
      <c r="L7" s="2132">
        <v>1902</v>
      </c>
      <c r="M7" s="1936">
        <f t="shared" si="3"/>
        <v>17.050649932765577</v>
      </c>
      <c r="N7" s="2132">
        <v>48</v>
      </c>
      <c r="O7" s="1936">
        <f t="shared" si="4"/>
        <v>0.43030031376064548</v>
      </c>
      <c r="P7" s="2132">
        <v>2170</v>
      </c>
      <c r="Q7" s="1965">
        <f t="shared" si="5"/>
        <v>19.453160017929179</v>
      </c>
      <c r="R7" s="2130"/>
    </row>
    <row r="8" spans="1:18" ht="30" customHeight="1">
      <c r="A8" s="1876" t="s">
        <v>2479</v>
      </c>
      <c r="B8" s="1935">
        <v>11761</v>
      </c>
      <c r="C8" s="1938">
        <v>10206</v>
      </c>
      <c r="D8" s="1938">
        <v>1555</v>
      </c>
      <c r="E8" s="2131">
        <v>100</v>
      </c>
      <c r="F8" s="2132">
        <v>579</v>
      </c>
      <c r="G8" s="1936">
        <f t="shared" si="0"/>
        <v>4.9230507609897121</v>
      </c>
      <c r="H8" s="1938">
        <v>5414</v>
      </c>
      <c r="I8" s="1936">
        <f t="shared" si="1"/>
        <v>46.033500552674091</v>
      </c>
      <c r="J8" s="1938">
        <v>1433</v>
      </c>
      <c r="K8" s="1936">
        <f t="shared" si="2"/>
        <v>12.184338066490945</v>
      </c>
      <c r="L8" s="1938">
        <v>1993</v>
      </c>
      <c r="M8" s="1936">
        <f t="shared" si="3"/>
        <v>16.945837938950771</v>
      </c>
      <c r="N8" s="2132">
        <v>35</v>
      </c>
      <c r="O8" s="1936">
        <f t="shared" si="4"/>
        <v>0.29759374202873906</v>
      </c>
      <c r="P8" s="2132">
        <v>2307</v>
      </c>
      <c r="Q8" s="1965">
        <f t="shared" si="5"/>
        <v>19.615678938865745</v>
      </c>
      <c r="R8" s="2130"/>
    </row>
    <row r="9" spans="1:18" ht="30" customHeight="1">
      <c r="A9" s="2133" t="s">
        <v>2480</v>
      </c>
      <c r="B9" s="1935">
        <v>10762</v>
      </c>
      <c r="C9" s="1938">
        <v>9309</v>
      </c>
      <c r="D9" s="1938">
        <v>1453</v>
      </c>
      <c r="E9" s="1943">
        <v>100</v>
      </c>
      <c r="F9" s="2134">
        <v>596</v>
      </c>
      <c r="G9" s="1936">
        <f t="shared" si="0"/>
        <v>5.5380040884593935</v>
      </c>
      <c r="H9" s="1938">
        <v>5183</v>
      </c>
      <c r="I9" s="1936">
        <f t="shared" si="1"/>
        <v>48.160193272625904</v>
      </c>
      <c r="J9" s="2132">
        <v>1227</v>
      </c>
      <c r="K9" s="1936">
        <f t="shared" si="2"/>
        <v>11.40122653781825</v>
      </c>
      <c r="L9" s="2132">
        <v>1723</v>
      </c>
      <c r="M9" s="1936">
        <f t="shared" si="3"/>
        <v>16.01003530942204</v>
      </c>
      <c r="N9" s="2134">
        <v>33</v>
      </c>
      <c r="O9" s="1936">
        <f t="shared" si="4"/>
        <v>0.306634454562349</v>
      </c>
      <c r="P9" s="2132">
        <v>2000</v>
      </c>
      <c r="Q9" s="1965">
        <f t="shared" si="5"/>
        <v>18.583906337112062</v>
      </c>
      <c r="R9" s="2130"/>
    </row>
    <row r="10" spans="1:18" ht="30" customHeight="1">
      <c r="A10" s="2133" t="s">
        <v>3000</v>
      </c>
      <c r="B10" s="1935">
        <v>9768</v>
      </c>
      <c r="C10" s="1938">
        <v>8520</v>
      </c>
      <c r="D10" s="1938">
        <v>1248</v>
      </c>
      <c r="E10" s="1943">
        <v>100</v>
      </c>
      <c r="F10" s="2134">
        <v>551</v>
      </c>
      <c r="G10" s="1936">
        <f t="shared" si="0"/>
        <v>5.6408681408681414</v>
      </c>
      <c r="H10" s="1938">
        <v>4890</v>
      </c>
      <c r="I10" s="1936">
        <f t="shared" si="1"/>
        <v>50.061425061425055</v>
      </c>
      <c r="J10" s="1938">
        <v>1105</v>
      </c>
      <c r="K10" s="1936">
        <f t="shared" si="2"/>
        <v>11.312448812448812</v>
      </c>
      <c r="L10" s="1938">
        <v>1449</v>
      </c>
      <c r="M10" s="1936">
        <f t="shared" si="3"/>
        <v>14.834152334152334</v>
      </c>
      <c r="N10" s="2134">
        <v>25</v>
      </c>
      <c r="O10" s="1936">
        <f t="shared" si="4"/>
        <v>0.25593775593775592</v>
      </c>
      <c r="P10" s="2132">
        <v>1748</v>
      </c>
      <c r="Q10" s="1965">
        <f t="shared" si="5"/>
        <v>17.895167895167894</v>
      </c>
      <c r="R10" s="2130"/>
    </row>
    <row r="11" spans="1:18" ht="30" customHeight="1">
      <c r="A11" s="2133" t="s">
        <v>3010</v>
      </c>
      <c r="B11" s="1935">
        <v>8847</v>
      </c>
      <c r="C11" s="1938">
        <v>7671</v>
      </c>
      <c r="D11" s="1938">
        <v>1176</v>
      </c>
      <c r="E11" s="1943">
        <v>100</v>
      </c>
      <c r="F11" s="2134">
        <v>528</v>
      </c>
      <c r="G11" s="1936">
        <f t="shared" si="0"/>
        <v>5.9681247880637507</v>
      </c>
      <c r="H11" s="1938">
        <v>4334</v>
      </c>
      <c r="I11" s="1936">
        <f t="shared" si="1"/>
        <v>48.988357635356614</v>
      </c>
      <c r="J11" s="1938">
        <v>951</v>
      </c>
      <c r="K11" s="1936">
        <f t="shared" si="2"/>
        <v>10.749406578501187</v>
      </c>
      <c r="L11" s="1938">
        <v>1358</v>
      </c>
      <c r="M11" s="1936">
        <f t="shared" si="3"/>
        <v>15.34983610263366</v>
      </c>
      <c r="N11" s="2134">
        <v>24</v>
      </c>
      <c r="O11" s="1936">
        <f t="shared" si="4"/>
        <v>0.2712783994574432</v>
      </c>
      <c r="P11" s="2132">
        <v>1652</v>
      </c>
      <c r="Q11" s="1965">
        <f t="shared" si="5"/>
        <v>18.672996495987341</v>
      </c>
      <c r="R11" s="2130"/>
    </row>
    <row r="12" spans="1:18" s="1882" customFormat="1" ht="30" customHeight="1">
      <c r="A12" s="2133" t="s">
        <v>3152</v>
      </c>
      <c r="B12" s="1935">
        <v>8393</v>
      </c>
      <c r="C12" s="1938">
        <v>7286</v>
      </c>
      <c r="D12" s="1938">
        <v>1107</v>
      </c>
      <c r="E12" s="1943">
        <v>100</v>
      </c>
      <c r="F12" s="2134">
        <v>506</v>
      </c>
      <c r="G12" s="1936">
        <f t="shared" si="0"/>
        <v>6.0288335517693321</v>
      </c>
      <c r="H12" s="1938">
        <v>4190</v>
      </c>
      <c r="I12" s="1936">
        <f t="shared" si="1"/>
        <v>49.922554509710473</v>
      </c>
      <c r="J12" s="1938">
        <v>865</v>
      </c>
      <c r="K12" s="1936">
        <f t="shared" si="2"/>
        <v>10.306207553913977</v>
      </c>
      <c r="L12" s="1938">
        <v>1234</v>
      </c>
      <c r="M12" s="1936">
        <f t="shared" si="3"/>
        <v>14.702728464196355</v>
      </c>
      <c r="N12" s="2134">
        <f>29-4-5</f>
        <v>20</v>
      </c>
      <c r="O12" s="1936">
        <f t="shared" si="4"/>
        <v>0.23829381627546764</v>
      </c>
      <c r="P12" s="2132">
        <v>1578</v>
      </c>
      <c r="Q12" s="1965">
        <f t="shared" si="5"/>
        <v>18.801382104134397</v>
      </c>
      <c r="R12" s="2130"/>
    </row>
    <row r="13" spans="1:18" s="1882" customFormat="1" ht="30" customHeight="1">
      <c r="A13" s="2133" t="s">
        <v>3153</v>
      </c>
      <c r="B13" s="1935">
        <v>8741</v>
      </c>
      <c r="C13" s="1938">
        <v>7621</v>
      </c>
      <c r="D13" s="1938">
        <v>1120</v>
      </c>
      <c r="E13" s="1943">
        <v>100</v>
      </c>
      <c r="F13" s="2134">
        <v>502</v>
      </c>
      <c r="G13" s="1936">
        <f t="shared" si="0"/>
        <v>5.743049994279831</v>
      </c>
      <c r="H13" s="1938">
        <v>4416</v>
      </c>
      <c r="I13" s="1936">
        <f t="shared" si="1"/>
        <v>50.52053540784808</v>
      </c>
      <c r="J13" s="1938">
        <v>858</v>
      </c>
      <c r="K13" s="1936">
        <f t="shared" si="2"/>
        <v>9.8158105479922213</v>
      </c>
      <c r="L13" s="1938">
        <v>1304</v>
      </c>
      <c r="M13" s="1936">
        <f t="shared" si="3"/>
        <v>14.918201578766732</v>
      </c>
      <c r="N13" s="2134">
        <f>52-22</f>
        <v>30</v>
      </c>
      <c r="O13" s="1936">
        <f t="shared" si="4"/>
        <v>0.34321015902070701</v>
      </c>
      <c r="P13" s="2132">
        <v>1631</v>
      </c>
      <c r="Q13" s="1965">
        <f t="shared" si="5"/>
        <v>18.659192312092436</v>
      </c>
      <c r="R13" s="2130"/>
    </row>
    <row r="14" spans="1:18" s="1882" customFormat="1" ht="30" customHeight="1">
      <c r="A14" s="2133" t="s">
        <v>3013</v>
      </c>
      <c r="B14" s="1935">
        <v>8269</v>
      </c>
      <c r="C14" s="2134">
        <v>7207</v>
      </c>
      <c r="D14" s="2134">
        <v>1062</v>
      </c>
      <c r="E14" s="1943">
        <v>100</v>
      </c>
      <c r="F14" s="2135">
        <v>506</v>
      </c>
      <c r="G14" s="1936">
        <f t="shared" si="0"/>
        <v>6.1192405369452167</v>
      </c>
      <c r="H14" s="1938">
        <v>4217</v>
      </c>
      <c r="I14" s="1936">
        <f t="shared" si="1"/>
        <v>50.997702261458457</v>
      </c>
      <c r="J14" s="1935">
        <v>778</v>
      </c>
      <c r="K14" s="1936">
        <f t="shared" si="2"/>
        <v>9.408634659571895</v>
      </c>
      <c r="L14" s="1935">
        <v>1160</v>
      </c>
      <c r="M14" s="1936">
        <f t="shared" si="3"/>
        <v>14.028298464143186</v>
      </c>
      <c r="N14" s="2135">
        <v>17</v>
      </c>
      <c r="O14" s="1936">
        <f t="shared" si="4"/>
        <v>0.20558713266416737</v>
      </c>
      <c r="P14" s="1978">
        <v>1591</v>
      </c>
      <c r="Q14" s="1965">
        <f t="shared" si="5"/>
        <v>19.240536945217077</v>
      </c>
      <c r="R14" s="2130"/>
    </row>
    <row r="15" spans="1:18" s="1889" customFormat="1" ht="30" customHeight="1">
      <c r="A15" s="2136" t="s">
        <v>3014</v>
      </c>
      <c r="B15" s="1969">
        <v>8065</v>
      </c>
      <c r="C15" s="2137">
        <v>7013</v>
      </c>
      <c r="D15" s="2137">
        <v>1052</v>
      </c>
      <c r="E15" s="1950">
        <v>100</v>
      </c>
      <c r="F15" s="2137">
        <v>516</v>
      </c>
      <c r="G15" s="1946">
        <f t="shared" si="0"/>
        <v>6.3980161190328584</v>
      </c>
      <c r="H15" s="1969">
        <v>4122</v>
      </c>
      <c r="I15" s="1946">
        <f t="shared" si="1"/>
        <v>51.109733415995038</v>
      </c>
      <c r="J15" s="1945">
        <v>646</v>
      </c>
      <c r="K15" s="1946">
        <f t="shared" si="2"/>
        <v>8.0099194048357099</v>
      </c>
      <c r="L15" s="1945">
        <v>1104</v>
      </c>
      <c r="M15" s="1946">
        <f t="shared" si="3"/>
        <v>13.688778673279604</v>
      </c>
      <c r="N15" s="2137">
        <v>18</v>
      </c>
      <c r="O15" s="1946">
        <f t="shared" si="4"/>
        <v>0.2231866088034718</v>
      </c>
      <c r="P15" s="1979">
        <v>1659</v>
      </c>
      <c r="Q15" s="2046">
        <f t="shared" si="5"/>
        <v>20.570365778053318</v>
      </c>
      <c r="R15" s="2138"/>
    </row>
    <row r="16" spans="1:18">
      <c r="A16" s="3759" t="s">
        <v>3154</v>
      </c>
      <c r="B16" s="3815"/>
      <c r="C16" s="3815"/>
      <c r="D16" s="3815"/>
      <c r="E16" s="3815"/>
      <c r="F16" s="3815"/>
      <c r="G16" s="3815"/>
      <c r="H16" s="3815"/>
      <c r="I16" s="3815"/>
      <c r="J16" s="3815"/>
      <c r="K16" s="3815"/>
      <c r="L16" s="3815"/>
      <c r="M16" s="3815"/>
      <c r="N16" s="3815"/>
      <c r="O16" s="2049"/>
      <c r="Q16" s="2130"/>
    </row>
    <row r="17" spans="1:14" ht="99.75" customHeight="1">
      <c r="A17" s="3873" t="s">
        <v>3155</v>
      </c>
      <c r="B17" s="3874"/>
      <c r="C17" s="3874"/>
      <c r="D17" s="3874"/>
      <c r="E17" s="3874"/>
      <c r="F17" s="3874"/>
      <c r="G17" s="3874"/>
      <c r="H17" s="3874"/>
      <c r="I17" s="3874"/>
      <c r="J17" s="3874"/>
      <c r="K17" s="3874"/>
      <c r="L17" s="3875"/>
      <c r="M17" s="3875"/>
      <c r="N17" s="3875"/>
    </row>
  </sheetData>
  <mergeCells count="12">
    <mergeCell ref="A16:N16"/>
    <mergeCell ref="A17:N17"/>
    <mergeCell ref="A1:Q1"/>
    <mergeCell ref="A2:A3"/>
    <mergeCell ref="B2:D2"/>
    <mergeCell ref="E2:E3"/>
    <mergeCell ref="F2:G2"/>
    <mergeCell ref="H2:I2"/>
    <mergeCell ref="J2:K2"/>
    <mergeCell ref="L2:M2"/>
    <mergeCell ref="N2:O2"/>
    <mergeCell ref="P2:Q2"/>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62"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N22"/>
  <sheetViews>
    <sheetView showGridLines="0" zoomScaleNormal="100" workbookViewId="0">
      <selection activeCell="B18" sqref="B18:D18"/>
    </sheetView>
  </sheetViews>
  <sheetFormatPr defaultColWidth="9" defaultRowHeight="16.5"/>
  <cols>
    <col min="1" max="13" width="10.125" style="2151" customWidth="1"/>
    <col min="14" max="16384" width="9" style="2151"/>
  </cols>
  <sheetData>
    <row r="1" spans="1:14" s="2139" customFormat="1" ht="20.25">
      <c r="A1" s="3877" t="s">
        <v>3156</v>
      </c>
      <c r="B1" s="3877"/>
      <c r="C1" s="3877"/>
      <c r="D1" s="3877"/>
      <c r="E1" s="3877"/>
      <c r="F1" s="3877"/>
      <c r="G1" s="3877"/>
      <c r="H1" s="3877"/>
      <c r="I1" s="3877"/>
      <c r="J1" s="3877"/>
      <c r="K1" s="3877"/>
      <c r="L1" s="3877"/>
      <c r="M1" s="3877"/>
    </row>
    <row r="2" spans="1:14" s="2139" customFormat="1" ht="17.25" thickBot="1">
      <c r="M2" s="2139" t="s">
        <v>3157</v>
      </c>
    </row>
    <row r="3" spans="1:14" s="2140" customFormat="1" ht="32.1" customHeight="1" thickTop="1" thickBot="1">
      <c r="A3" s="3878" t="s">
        <v>3158</v>
      </c>
      <c r="B3" s="3879"/>
      <c r="C3" s="3879"/>
      <c r="D3" s="3879"/>
      <c r="E3" s="3879"/>
      <c r="F3" s="3879"/>
      <c r="G3" s="3879"/>
      <c r="H3" s="3879" t="s">
        <v>3159</v>
      </c>
      <c r="I3" s="3879"/>
      <c r="J3" s="3879"/>
      <c r="K3" s="3879"/>
      <c r="L3" s="3879"/>
      <c r="M3" s="3880"/>
    </row>
    <row r="4" spans="1:14" s="2140" customFormat="1" ht="32.1" customHeight="1" thickTop="1">
      <c r="A4" s="2141" t="s">
        <v>3160</v>
      </c>
      <c r="B4" s="2142" t="s">
        <v>3161</v>
      </c>
      <c r="C4" s="2142" t="s">
        <v>3162</v>
      </c>
      <c r="D4" s="2142" t="s">
        <v>3163</v>
      </c>
      <c r="E4" s="2142" t="s">
        <v>3164</v>
      </c>
      <c r="F4" s="2142" t="s">
        <v>3165</v>
      </c>
      <c r="G4" s="2142" t="s">
        <v>3166</v>
      </c>
      <c r="H4" s="2142" t="s">
        <v>3160</v>
      </c>
      <c r="I4" s="2142" t="s">
        <v>3167</v>
      </c>
      <c r="J4" s="2142" t="s">
        <v>3168</v>
      </c>
      <c r="K4" s="2142" t="s">
        <v>3169</v>
      </c>
      <c r="L4" s="2142" t="s">
        <v>3170</v>
      </c>
      <c r="M4" s="2143" t="s">
        <v>3166</v>
      </c>
    </row>
    <row r="5" spans="1:14" s="2140" customFormat="1" ht="32.1" customHeight="1" thickBot="1">
      <c r="A5" s="2144">
        <v>516</v>
      </c>
      <c r="B5" s="2144" t="s">
        <v>3049</v>
      </c>
      <c r="C5" s="2144" t="s">
        <v>1</v>
      </c>
      <c r="D5" s="2144">
        <v>1</v>
      </c>
      <c r="E5" s="2144">
        <v>422</v>
      </c>
      <c r="F5" s="2144">
        <v>85</v>
      </c>
      <c r="G5" s="2144">
        <v>8</v>
      </c>
      <c r="H5" s="2145">
        <v>4122</v>
      </c>
      <c r="I5" s="2144">
        <v>191</v>
      </c>
      <c r="J5" s="2144">
        <v>3842</v>
      </c>
      <c r="K5" s="2144">
        <v>20</v>
      </c>
      <c r="L5" s="2144">
        <v>40</v>
      </c>
      <c r="M5" s="2144">
        <v>29</v>
      </c>
    </row>
    <row r="6" spans="1:14" s="2140" customFormat="1" ht="32.1" customHeight="1" thickTop="1" thickBot="1">
      <c r="A6" s="3878" t="s">
        <v>3171</v>
      </c>
      <c r="B6" s="3879"/>
      <c r="C6" s="3879"/>
      <c r="D6" s="3879"/>
      <c r="E6" s="3879"/>
      <c r="F6" s="3879"/>
      <c r="G6" s="3879"/>
      <c r="H6" s="3879"/>
      <c r="I6" s="3879"/>
      <c r="J6" s="3879"/>
      <c r="K6" s="3879"/>
      <c r="L6" s="3879"/>
      <c r="M6" s="3880"/>
    </row>
    <row r="7" spans="1:14" s="2140" customFormat="1" ht="32.1" customHeight="1" thickTop="1">
      <c r="A7" s="3881" t="s">
        <v>3160</v>
      </c>
      <c r="B7" s="3882"/>
      <c r="C7" s="2142" t="s">
        <v>3172</v>
      </c>
      <c r="D7" s="2142" t="s">
        <v>3173</v>
      </c>
      <c r="E7" s="3883" t="s">
        <v>3174</v>
      </c>
      <c r="F7" s="3884"/>
      <c r="G7" s="3883" t="s">
        <v>3175</v>
      </c>
      <c r="H7" s="3884"/>
      <c r="I7" s="2142" t="s">
        <v>3176</v>
      </c>
      <c r="J7" s="2142" t="s">
        <v>3177</v>
      </c>
      <c r="K7" s="2142" t="s">
        <v>3178</v>
      </c>
      <c r="L7" s="3882" t="s">
        <v>3166</v>
      </c>
      <c r="M7" s="3885"/>
    </row>
    <row r="8" spans="1:14" s="2140" customFormat="1" ht="32.1" customHeight="1" thickBot="1">
      <c r="A8" s="3886">
        <v>646</v>
      </c>
      <c r="B8" s="3886"/>
      <c r="C8" s="2144">
        <v>20</v>
      </c>
      <c r="D8" s="2144">
        <v>110</v>
      </c>
      <c r="E8" s="3886">
        <v>68</v>
      </c>
      <c r="F8" s="3886"/>
      <c r="G8" s="3886">
        <v>20</v>
      </c>
      <c r="H8" s="3886"/>
      <c r="I8" s="2144">
        <v>1</v>
      </c>
      <c r="J8" s="2144">
        <v>387</v>
      </c>
      <c r="K8" s="2144">
        <v>36</v>
      </c>
      <c r="L8" s="3886">
        <v>4</v>
      </c>
      <c r="M8" s="3886"/>
    </row>
    <row r="9" spans="1:14" s="2140" customFormat="1" ht="32.1" customHeight="1" thickTop="1" thickBot="1">
      <c r="A9" s="3878" t="s">
        <v>3179</v>
      </c>
      <c r="B9" s="3879"/>
      <c r="C9" s="3879"/>
      <c r="D9" s="3879"/>
      <c r="E9" s="3879"/>
      <c r="F9" s="3879"/>
      <c r="G9" s="3879"/>
      <c r="H9" s="3879"/>
      <c r="I9" s="3879"/>
      <c r="J9" s="3879"/>
      <c r="K9" s="3879"/>
      <c r="L9" s="3879"/>
      <c r="M9" s="3880"/>
    </row>
    <row r="10" spans="1:14" s="2140" customFormat="1" ht="32.1" customHeight="1" thickTop="1">
      <c r="A10" s="3881" t="s">
        <v>3160</v>
      </c>
      <c r="B10" s="3882"/>
      <c r="C10" s="3882" t="s">
        <v>3180</v>
      </c>
      <c r="D10" s="3882"/>
      <c r="E10" s="3882" t="s">
        <v>3181</v>
      </c>
      <c r="F10" s="3882"/>
      <c r="G10" s="3882" t="s">
        <v>3182</v>
      </c>
      <c r="H10" s="3882"/>
      <c r="I10" s="3882" t="s">
        <v>3183</v>
      </c>
      <c r="J10" s="3882"/>
      <c r="K10" s="3882"/>
      <c r="L10" s="2142" t="s">
        <v>3184</v>
      </c>
      <c r="M10" s="2143" t="s">
        <v>3185</v>
      </c>
    </row>
    <row r="11" spans="1:14" s="2140" customFormat="1" ht="32.1" customHeight="1" thickBot="1">
      <c r="A11" s="3886">
        <v>1104</v>
      </c>
      <c r="B11" s="3886"/>
      <c r="C11" s="3886">
        <v>51</v>
      </c>
      <c r="D11" s="3886"/>
      <c r="E11" s="3886">
        <v>18</v>
      </c>
      <c r="F11" s="3886"/>
      <c r="G11" s="3886">
        <v>1003</v>
      </c>
      <c r="H11" s="3886"/>
      <c r="I11" s="3886">
        <v>30</v>
      </c>
      <c r="J11" s="3886"/>
      <c r="K11" s="3886"/>
      <c r="L11" s="2144">
        <v>1</v>
      </c>
      <c r="M11" s="2144">
        <v>1</v>
      </c>
    </row>
    <row r="12" spans="1:14" s="2140" customFormat="1" ht="32.1" customHeight="1" thickTop="1" thickBot="1">
      <c r="A12" s="3887" t="s">
        <v>3186</v>
      </c>
      <c r="B12" s="3887"/>
      <c r="C12" s="3887"/>
      <c r="D12" s="3887"/>
      <c r="E12" s="3887"/>
      <c r="F12" s="3878"/>
      <c r="G12" s="3880" t="s">
        <v>3187</v>
      </c>
      <c r="H12" s="3887"/>
      <c r="I12" s="3887"/>
      <c r="J12" s="3887"/>
      <c r="K12" s="3887"/>
      <c r="L12" s="3887"/>
      <c r="M12" s="3887"/>
    </row>
    <row r="13" spans="1:14" s="2140" customFormat="1" ht="32.1" customHeight="1" thickTop="1">
      <c r="A13" s="3888" t="s">
        <v>3160</v>
      </c>
      <c r="B13" s="3889"/>
      <c r="C13" s="2142" t="s">
        <v>3188</v>
      </c>
      <c r="D13" s="2142" t="s">
        <v>3189</v>
      </c>
      <c r="E13" s="2142" t="s">
        <v>3190</v>
      </c>
      <c r="F13" s="2142" t="s">
        <v>3166</v>
      </c>
      <c r="G13" s="2142" t="s">
        <v>3160</v>
      </c>
      <c r="H13" s="2146" t="s">
        <v>3191</v>
      </c>
      <c r="I13" s="2142" t="s">
        <v>3192</v>
      </c>
      <c r="J13" s="2142" t="s">
        <v>3193</v>
      </c>
      <c r="K13" s="2142" t="s">
        <v>3194</v>
      </c>
      <c r="L13" s="2142" t="s">
        <v>3195</v>
      </c>
      <c r="M13" s="2143" t="s">
        <v>3196</v>
      </c>
    </row>
    <row r="14" spans="1:14" s="2140" customFormat="1" ht="32.1" customHeight="1">
      <c r="A14" s="3890">
        <v>18</v>
      </c>
      <c r="B14" s="3890"/>
      <c r="C14" s="2147">
        <v>13</v>
      </c>
      <c r="D14" s="2147">
        <v>3</v>
      </c>
      <c r="E14" s="2147">
        <v>2</v>
      </c>
      <c r="F14" s="2148" t="s">
        <v>1</v>
      </c>
      <c r="G14" s="2149">
        <v>1659</v>
      </c>
      <c r="H14" s="2147">
        <v>254</v>
      </c>
      <c r="I14" s="2147">
        <v>122</v>
      </c>
      <c r="J14" s="2147">
        <v>112</v>
      </c>
      <c r="K14" s="2147">
        <v>53</v>
      </c>
      <c r="L14" s="2147">
        <v>683</v>
      </c>
      <c r="M14" s="2147">
        <v>435</v>
      </c>
    </row>
    <row r="15" spans="1:14">
      <c r="A15" s="3891" t="s">
        <v>3154</v>
      </c>
      <c r="B15" s="3891"/>
      <c r="C15" s="3891"/>
      <c r="D15" s="3891"/>
      <c r="E15" s="3891"/>
      <c r="F15" s="2150"/>
      <c r="G15" s="2150"/>
      <c r="H15" s="2150"/>
      <c r="I15" s="2150"/>
      <c r="J15" s="2150"/>
      <c r="K15" s="2150"/>
      <c r="L15" s="2150"/>
      <c r="M15" s="2150"/>
      <c r="N15" s="2150"/>
    </row>
    <row r="22" spans="3:3">
      <c r="C22" s="2152"/>
    </row>
  </sheetData>
  <mergeCells count="28">
    <mergeCell ref="A13:B13"/>
    <mergeCell ref="A14:B14"/>
    <mergeCell ref="A15:E15"/>
    <mergeCell ref="A11:B11"/>
    <mergeCell ref="C11:D11"/>
    <mergeCell ref="E11:F11"/>
    <mergeCell ref="G11:H11"/>
    <mergeCell ref="I11:K11"/>
    <mergeCell ref="A12:F12"/>
    <mergeCell ref="G12:M12"/>
    <mergeCell ref="A8:B8"/>
    <mergeCell ref="E8:F8"/>
    <mergeCell ref="G8:H8"/>
    <mergeCell ref="L8:M8"/>
    <mergeCell ref="A9:M9"/>
    <mergeCell ref="A10:B10"/>
    <mergeCell ref="C10:D10"/>
    <mergeCell ref="E10:F10"/>
    <mergeCell ref="G10:H10"/>
    <mergeCell ref="I10:K10"/>
    <mergeCell ref="A1:M1"/>
    <mergeCell ref="A3:G3"/>
    <mergeCell ref="H3:M3"/>
    <mergeCell ref="A6:M6"/>
    <mergeCell ref="A7:B7"/>
    <mergeCell ref="E7:F7"/>
    <mergeCell ref="G7:H7"/>
    <mergeCell ref="L7:M7"/>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65"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AE41"/>
  <sheetViews>
    <sheetView showGridLines="0" tabSelected="1" zoomScaleNormal="100" zoomScalePageLayoutView="90" workbookViewId="0">
      <selection activeCell="M6" sqref="M6:N14"/>
    </sheetView>
  </sheetViews>
  <sheetFormatPr defaultColWidth="9" defaultRowHeight="15"/>
  <cols>
    <col min="1" max="1" width="11.125" style="27" customWidth="1"/>
    <col min="2" max="2" width="12.375" style="27" customWidth="1"/>
    <col min="3" max="4" width="8" style="27" customWidth="1"/>
    <col min="5" max="5" width="7" style="27" customWidth="1"/>
    <col min="6" max="7" width="12.625" style="27" customWidth="1"/>
    <col min="8" max="8" width="11.5" style="27" bestFit="1" customWidth="1"/>
    <col min="9" max="9" width="11.125" style="27" bestFit="1" customWidth="1"/>
    <col min="10" max="10" width="8" style="27" customWidth="1"/>
    <col min="11" max="11" width="9.5" style="27" bestFit="1" customWidth="1"/>
    <col min="12" max="12" width="13.625" style="27" customWidth="1"/>
    <col min="13" max="13" width="11.625" style="27" customWidth="1"/>
    <col min="14" max="14" width="7.625" style="27" customWidth="1"/>
    <col min="15" max="15" width="8.125" style="27" customWidth="1"/>
    <col min="16" max="16" width="9.5" style="27" bestFit="1" customWidth="1"/>
    <col min="17" max="17" width="16.625" style="27" customWidth="1"/>
    <col min="18" max="18" width="15.125" style="27" customWidth="1"/>
    <col min="19" max="16384" width="9" style="27"/>
  </cols>
  <sheetData>
    <row r="1" spans="1:31" ht="20.25">
      <c r="A1" s="2897" t="s">
        <v>281</v>
      </c>
      <c r="B1" s="2897"/>
      <c r="C1" s="2897"/>
      <c r="D1" s="2897"/>
      <c r="E1" s="2897"/>
      <c r="F1" s="2897"/>
      <c r="G1" s="2897"/>
      <c r="H1" s="2897"/>
      <c r="I1" s="2897"/>
      <c r="J1" s="2897"/>
      <c r="K1" s="2897"/>
      <c r="L1" s="2897"/>
      <c r="M1" s="2897"/>
      <c r="N1" s="2897"/>
      <c r="O1" s="2897"/>
      <c r="P1" s="2897"/>
      <c r="Q1" s="31"/>
      <c r="R1" s="31"/>
      <c r="S1" s="113"/>
      <c r="T1" s="113"/>
      <c r="U1" s="113"/>
      <c r="V1" s="113"/>
      <c r="W1" s="113"/>
      <c r="X1" s="113"/>
      <c r="Y1" s="113"/>
      <c r="Z1" s="113"/>
      <c r="AA1" s="113"/>
      <c r="AB1" s="113"/>
      <c r="AC1" s="113"/>
      <c r="AD1" s="113"/>
    </row>
    <row r="2" spans="1:31" ht="18.75" customHeight="1">
      <c r="A2" s="2775"/>
      <c r="B2" s="2776" t="s">
        <v>282</v>
      </c>
      <c r="C2" s="2898"/>
      <c r="D2" s="2898"/>
      <c r="E2" s="2898"/>
      <c r="F2" s="2898"/>
      <c r="G2" s="2898" t="s">
        <v>283</v>
      </c>
      <c r="H2" s="2898"/>
      <c r="I2" s="2898"/>
      <c r="J2" s="2898"/>
      <c r="K2" s="2898"/>
      <c r="L2" s="2898"/>
      <c r="M2" s="2774" t="s">
        <v>284</v>
      </c>
      <c r="N2" s="2775"/>
      <c r="O2" s="31"/>
      <c r="P2" s="31"/>
      <c r="Q2" s="31"/>
      <c r="R2" s="31"/>
      <c r="S2" s="112"/>
      <c r="T2" s="112"/>
      <c r="U2" s="112"/>
      <c r="V2" s="112"/>
      <c r="W2" s="112"/>
      <c r="X2" s="112"/>
      <c r="Y2" s="112"/>
      <c r="Z2" s="112"/>
      <c r="AA2" s="112"/>
      <c r="AB2" s="112"/>
      <c r="AC2" s="112"/>
      <c r="AD2" s="112"/>
      <c r="AE2" s="34"/>
    </row>
    <row r="3" spans="1:31" ht="18.75" customHeight="1">
      <c r="A3" s="2775"/>
      <c r="B3" s="494" t="s">
        <v>518</v>
      </c>
      <c r="C3" s="2774" t="s">
        <v>220</v>
      </c>
      <c r="D3" s="2775"/>
      <c r="E3" s="2776"/>
      <c r="F3" s="309" t="s">
        <v>221</v>
      </c>
      <c r="G3" s="309" t="s">
        <v>218</v>
      </c>
      <c r="H3" s="342" t="s">
        <v>519</v>
      </c>
      <c r="I3" s="2774" t="s">
        <v>220</v>
      </c>
      <c r="J3" s="2775"/>
      <c r="K3" s="2776"/>
      <c r="L3" s="309" t="s">
        <v>221</v>
      </c>
      <c r="M3" s="309" t="s">
        <v>285</v>
      </c>
      <c r="N3" s="304" t="s">
        <v>220</v>
      </c>
      <c r="O3" s="31"/>
      <c r="P3" s="31"/>
      <c r="Q3" s="31"/>
      <c r="R3" s="31"/>
      <c r="S3" s="112"/>
      <c r="T3" s="112"/>
      <c r="U3" s="112"/>
      <c r="V3" s="112"/>
      <c r="W3" s="112"/>
      <c r="X3" s="112"/>
      <c r="Y3" s="112"/>
      <c r="Z3" s="112"/>
      <c r="AA3" s="112"/>
      <c r="AB3" s="112"/>
      <c r="AC3" s="112"/>
      <c r="AD3" s="112"/>
      <c r="AE3" s="34"/>
    </row>
    <row r="4" spans="1:31" ht="18.75" customHeight="1">
      <c r="A4" s="2775"/>
      <c r="B4" s="351" t="s">
        <v>286</v>
      </c>
      <c r="C4" s="309" t="s">
        <v>287</v>
      </c>
      <c r="D4" s="309" t="s">
        <v>170</v>
      </c>
      <c r="E4" s="309" t="s">
        <v>171</v>
      </c>
      <c r="F4" s="309" t="s">
        <v>288</v>
      </c>
      <c r="G4" s="309" t="s">
        <v>286</v>
      </c>
      <c r="H4" s="309" t="s">
        <v>286</v>
      </c>
      <c r="I4" s="309" t="s">
        <v>287</v>
      </c>
      <c r="J4" s="309" t="s">
        <v>170</v>
      </c>
      <c r="K4" s="309" t="s">
        <v>171</v>
      </c>
      <c r="L4" s="309" t="s">
        <v>289</v>
      </c>
      <c r="M4" s="309" t="s">
        <v>286</v>
      </c>
      <c r="N4" s="304" t="s">
        <v>290</v>
      </c>
      <c r="O4" s="31"/>
      <c r="P4" s="31"/>
      <c r="Q4" s="31"/>
      <c r="R4" s="31"/>
      <c r="S4" s="112"/>
      <c r="T4" s="112"/>
      <c r="U4" s="112"/>
      <c r="V4" s="112"/>
      <c r="W4" s="112"/>
      <c r="X4" s="112"/>
      <c r="Y4" s="112"/>
      <c r="Z4" s="112"/>
      <c r="AA4" s="112"/>
      <c r="AB4" s="112"/>
      <c r="AC4" s="112"/>
      <c r="AD4" s="112"/>
      <c r="AE4" s="34"/>
    </row>
    <row r="5" spans="1:31" ht="18.75" customHeight="1">
      <c r="A5" s="118" t="s">
        <v>17</v>
      </c>
      <c r="B5" s="119">
        <v>48318</v>
      </c>
      <c r="C5" s="119">
        <v>51078</v>
      </c>
      <c r="D5" s="119">
        <v>43401</v>
      </c>
      <c r="E5" s="119">
        <v>7677</v>
      </c>
      <c r="F5" s="120">
        <v>208.79870608585264</v>
      </c>
      <c r="G5" s="121">
        <v>238</v>
      </c>
      <c r="H5" s="121">
        <v>237</v>
      </c>
      <c r="I5" s="121">
        <v>2127</v>
      </c>
      <c r="J5" s="121">
        <v>1935</v>
      </c>
      <c r="K5" s="121">
        <v>192</v>
      </c>
      <c r="L5" s="120">
        <v>1.028479904971914</v>
      </c>
      <c r="M5" s="119">
        <v>217</v>
      </c>
      <c r="N5" s="122">
        <v>764</v>
      </c>
      <c r="O5" s="31"/>
      <c r="P5" s="31"/>
      <c r="Q5" s="31"/>
      <c r="R5" s="31"/>
      <c r="S5" s="112"/>
      <c r="T5" s="112"/>
      <c r="U5" s="112"/>
      <c r="V5" s="112"/>
      <c r="W5" s="112"/>
      <c r="X5" s="112"/>
      <c r="Y5" s="112"/>
      <c r="Z5" s="112"/>
      <c r="AA5" s="112"/>
      <c r="AB5" s="112"/>
      <c r="AC5" s="112"/>
      <c r="AD5" s="112"/>
      <c r="AE5" s="34"/>
    </row>
    <row r="6" spans="1:31" ht="18.75" customHeight="1">
      <c r="A6" s="118" t="s">
        <v>18</v>
      </c>
      <c r="B6" s="119">
        <v>45999</v>
      </c>
      <c r="C6" s="119">
        <v>48875</v>
      </c>
      <c r="D6" s="119">
        <v>41453</v>
      </c>
      <c r="E6" s="119">
        <v>7422</v>
      </c>
      <c r="F6" s="120">
        <v>198.32696359387995</v>
      </c>
      <c r="G6" s="121">
        <v>351</v>
      </c>
      <c r="H6" s="121">
        <v>352</v>
      </c>
      <c r="I6" s="121">
        <v>2905</v>
      </c>
      <c r="J6" s="121">
        <v>2569</v>
      </c>
      <c r="K6" s="121">
        <v>336</v>
      </c>
      <c r="L6" s="120">
        <v>1.513353860332874</v>
      </c>
      <c r="M6" s="119">
        <v>259</v>
      </c>
      <c r="N6" s="122">
        <v>891</v>
      </c>
      <c r="O6" s="31"/>
      <c r="P6" s="31"/>
      <c r="Q6" s="31"/>
      <c r="R6" s="31"/>
      <c r="S6" s="112"/>
      <c r="T6" s="112"/>
      <c r="U6" s="112"/>
      <c r="V6" s="112"/>
      <c r="W6" s="112"/>
      <c r="X6" s="112"/>
      <c r="Y6" s="112"/>
      <c r="Z6" s="112"/>
      <c r="AA6" s="112"/>
      <c r="AB6" s="112"/>
      <c r="AC6" s="112"/>
      <c r="AD6" s="112"/>
      <c r="AE6" s="34"/>
    </row>
    <row r="7" spans="1:31" ht="18.75" customHeight="1">
      <c r="A7" s="118" t="s">
        <v>19</v>
      </c>
      <c r="B7" s="119">
        <v>44001</v>
      </c>
      <c r="C7" s="119">
        <v>47043</v>
      </c>
      <c r="D7" s="119">
        <v>39968</v>
      </c>
      <c r="E7" s="119">
        <v>7075</v>
      </c>
      <c r="F7" s="120">
        <v>189.08597359036065</v>
      </c>
      <c r="G7" s="121">
        <v>332</v>
      </c>
      <c r="H7" s="121">
        <v>331</v>
      </c>
      <c r="I7" s="121">
        <v>3041</v>
      </c>
      <c r="J7" s="121">
        <v>2776</v>
      </c>
      <c r="K7" s="121">
        <v>265</v>
      </c>
      <c r="L7" s="120">
        <v>1.4267071937455906</v>
      </c>
      <c r="M7" s="119">
        <v>266</v>
      </c>
      <c r="N7" s="122">
        <v>1080</v>
      </c>
      <c r="O7" s="31"/>
      <c r="P7" s="31"/>
      <c r="Q7" s="31"/>
      <c r="R7" s="31"/>
      <c r="S7" s="112"/>
      <c r="T7" s="112"/>
      <c r="U7" s="112"/>
      <c r="V7" s="112"/>
      <c r="W7" s="112"/>
      <c r="X7" s="112"/>
      <c r="Y7" s="112"/>
      <c r="Z7" s="112"/>
      <c r="AA7" s="112"/>
      <c r="AB7" s="112"/>
      <c r="AC7" s="112"/>
      <c r="AD7" s="112"/>
      <c r="AE7" s="34"/>
    </row>
    <row r="8" spans="1:31" ht="18.75" customHeight="1">
      <c r="A8" s="114" t="s">
        <v>291</v>
      </c>
      <c r="B8" s="119">
        <v>40130</v>
      </c>
      <c r="C8" s="119">
        <v>43268</v>
      </c>
      <c r="D8" s="119">
        <v>36994</v>
      </c>
      <c r="E8" s="119">
        <v>6274</v>
      </c>
      <c r="F8" s="120">
        <v>171.90219437670356</v>
      </c>
      <c r="G8" s="121">
        <v>310</v>
      </c>
      <c r="H8" s="121">
        <v>310</v>
      </c>
      <c r="I8" s="121">
        <v>2701</v>
      </c>
      <c r="J8" s="121">
        <v>2489</v>
      </c>
      <c r="K8" s="121">
        <v>212</v>
      </c>
      <c r="L8" s="120">
        <v>1.327926246119564</v>
      </c>
      <c r="M8" s="119">
        <v>756</v>
      </c>
      <c r="N8" s="122">
        <v>3120</v>
      </c>
      <c r="O8" s="31"/>
      <c r="P8" s="31"/>
      <c r="Q8" s="31"/>
      <c r="R8" s="31"/>
      <c r="S8" s="112"/>
      <c r="T8" s="112"/>
      <c r="U8" s="112"/>
      <c r="V8" s="112"/>
      <c r="W8" s="112"/>
      <c r="X8" s="112"/>
      <c r="Y8" s="112"/>
      <c r="Z8" s="112"/>
      <c r="AA8" s="112"/>
      <c r="AB8" s="112"/>
      <c r="AC8" s="112"/>
      <c r="AD8" s="112"/>
      <c r="AE8" s="34"/>
    </row>
    <row r="9" spans="1:31" ht="18.75" customHeight="1">
      <c r="A9" s="114" t="s">
        <v>292</v>
      </c>
      <c r="B9" s="115">
        <v>38369</v>
      </c>
      <c r="C9" s="123">
        <v>41265</v>
      </c>
      <c r="D9" s="115">
        <v>35753</v>
      </c>
      <c r="E9" s="115">
        <v>5512</v>
      </c>
      <c r="F9" s="116">
        <v>163.94460000000001</v>
      </c>
      <c r="G9" s="117">
        <v>290</v>
      </c>
      <c r="H9" s="117">
        <v>290</v>
      </c>
      <c r="I9" s="117">
        <v>2228</v>
      </c>
      <c r="J9" s="117">
        <v>2087</v>
      </c>
      <c r="K9" s="117">
        <v>141</v>
      </c>
      <c r="L9" s="116">
        <v>1.2391239999999999</v>
      </c>
      <c r="M9" s="124">
        <v>677</v>
      </c>
      <c r="N9" s="125">
        <v>2397</v>
      </c>
      <c r="O9" s="31"/>
      <c r="P9" s="31"/>
      <c r="Q9" s="31"/>
      <c r="R9" s="31"/>
      <c r="S9" s="112"/>
      <c r="T9" s="112"/>
      <c r="U9" s="112"/>
      <c r="V9" s="112"/>
      <c r="W9" s="112"/>
      <c r="X9" s="112"/>
      <c r="Y9" s="112"/>
      <c r="Z9" s="112"/>
      <c r="AA9" s="112"/>
      <c r="AB9" s="112"/>
      <c r="AC9" s="112"/>
      <c r="AD9" s="112"/>
      <c r="AE9" s="34"/>
    </row>
    <row r="10" spans="1:31" ht="18.75" customHeight="1">
      <c r="A10" s="114" t="s">
        <v>230</v>
      </c>
      <c r="B10" s="126">
        <v>49576</v>
      </c>
      <c r="C10" s="127">
        <v>53622</v>
      </c>
      <c r="D10" s="127">
        <v>46446</v>
      </c>
      <c r="E10" s="127">
        <v>7176</v>
      </c>
      <c r="F10" s="128">
        <v>211.3</v>
      </c>
      <c r="G10" s="117">
        <v>310</v>
      </c>
      <c r="H10" s="117">
        <v>308</v>
      </c>
      <c r="I10" s="117">
        <v>2422</v>
      </c>
      <c r="J10" s="117">
        <v>2249</v>
      </c>
      <c r="K10" s="117">
        <v>173</v>
      </c>
      <c r="L10" s="116">
        <v>1.32</v>
      </c>
      <c r="M10" s="124">
        <v>194</v>
      </c>
      <c r="N10" s="125">
        <v>865</v>
      </c>
      <c r="O10" s="31"/>
      <c r="P10" s="31"/>
      <c r="Q10" s="31"/>
      <c r="R10" s="31"/>
      <c r="S10" s="112"/>
      <c r="T10" s="112"/>
      <c r="U10" s="112"/>
      <c r="V10" s="112"/>
      <c r="W10" s="112"/>
      <c r="X10" s="112"/>
      <c r="Y10" s="112"/>
      <c r="Z10" s="112"/>
      <c r="AA10" s="112"/>
      <c r="AB10" s="112"/>
      <c r="AC10" s="112"/>
      <c r="AD10" s="112"/>
      <c r="AE10" s="34"/>
    </row>
    <row r="11" spans="1:31" ht="18.75" customHeight="1">
      <c r="A11" s="114" t="s">
        <v>180</v>
      </c>
      <c r="B11" s="115">
        <v>54873</v>
      </c>
      <c r="C11" s="115">
        <v>58707</v>
      </c>
      <c r="D11" s="115">
        <v>50965</v>
      </c>
      <c r="E11" s="115">
        <v>7742</v>
      </c>
      <c r="F11" s="116">
        <v>233.34</v>
      </c>
      <c r="G11" s="117">
        <v>182</v>
      </c>
      <c r="H11" s="117">
        <v>185</v>
      </c>
      <c r="I11" s="117">
        <v>1441</v>
      </c>
      <c r="J11" s="117">
        <v>1366</v>
      </c>
      <c r="K11" s="117">
        <v>75</v>
      </c>
      <c r="L11" s="116">
        <v>0.77</v>
      </c>
      <c r="M11" s="124">
        <v>211</v>
      </c>
      <c r="N11" s="125">
        <v>774</v>
      </c>
      <c r="O11" s="31"/>
      <c r="P11" s="31"/>
      <c r="Q11" s="31"/>
      <c r="R11" s="31"/>
      <c r="S11" s="112"/>
      <c r="T11" s="112"/>
      <c r="U11" s="112"/>
      <c r="V11" s="112"/>
      <c r="W11" s="112"/>
      <c r="X11" s="112"/>
      <c r="Y11" s="112"/>
      <c r="Z11" s="112"/>
      <c r="AA11" s="112"/>
      <c r="AB11" s="112"/>
      <c r="AC11" s="112"/>
      <c r="AD11" s="112"/>
      <c r="AE11" s="34"/>
    </row>
    <row r="12" spans="1:31" ht="18.75" customHeight="1">
      <c r="A12" s="114" t="s">
        <v>181</v>
      </c>
      <c r="B12" s="115">
        <v>58515</v>
      </c>
      <c r="C12" s="115">
        <v>62644</v>
      </c>
      <c r="D12" s="115">
        <v>54295</v>
      </c>
      <c r="E12" s="115">
        <v>8349</v>
      </c>
      <c r="F12" s="116">
        <v>248.41</v>
      </c>
      <c r="G12" s="117">
        <v>121</v>
      </c>
      <c r="H12" s="117">
        <v>122</v>
      </c>
      <c r="I12" s="117">
        <v>1015</v>
      </c>
      <c r="J12" s="117">
        <v>938</v>
      </c>
      <c r="K12" s="117">
        <v>77</v>
      </c>
      <c r="L12" s="116">
        <v>0.51</v>
      </c>
      <c r="M12" s="129">
        <v>205</v>
      </c>
      <c r="N12" s="130">
        <v>637</v>
      </c>
      <c r="O12" s="31"/>
      <c r="P12" s="31"/>
      <c r="Q12" s="31"/>
      <c r="R12" s="31"/>
      <c r="S12" s="112"/>
      <c r="T12" s="112"/>
      <c r="U12" s="112"/>
      <c r="V12" s="112"/>
      <c r="W12" s="112"/>
      <c r="X12" s="112"/>
      <c r="Y12" s="112"/>
      <c r="Z12" s="112"/>
      <c r="AA12" s="112"/>
      <c r="AB12" s="112"/>
      <c r="AC12" s="112"/>
      <c r="AD12" s="112"/>
      <c r="AE12" s="34"/>
    </row>
    <row r="13" spans="1:31" ht="18.75" customHeight="1">
      <c r="A13" s="114" t="s">
        <v>182</v>
      </c>
      <c r="B13" s="115">
        <f>55480+108</f>
        <v>55588</v>
      </c>
      <c r="C13" s="115">
        <f>59106+169</f>
        <v>59275</v>
      </c>
      <c r="D13" s="115">
        <f>51212+149</f>
        <v>51361</v>
      </c>
      <c r="E13" s="115">
        <f>7894+20</f>
        <v>7914</v>
      </c>
      <c r="F13" s="116">
        <v>235.74</v>
      </c>
      <c r="G13" s="117">
        <v>134</v>
      </c>
      <c r="H13" s="117">
        <v>134</v>
      </c>
      <c r="I13" s="117">
        <f>1095+6</f>
        <v>1101</v>
      </c>
      <c r="J13" s="117">
        <v>982</v>
      </c>
      <c r="K13" s="117">
        <v>119</v>
      </c>
      <c r="L13" s="116">
        <v>0.56999999999999995</v>
      </c>
      <c r="M13" s="129">
        <v>242</v>
      </c>
      <c r="N13" s="130">
        <v>814</v>
      </c>
      <c r="O13" s="31"/>
      <c r="P13" s="31"/>
      <c r="Q13" s="31"/>
      <c r="R13" s="31"/>
      <c r="S13" s="112"/>
      <c r="T13" s="112"/>
      <c r="U13" s="112"/>
      <c r="V13" s="112"/>
      <c r="W13" s="112"/>
      <c r="X13" s="112"/>
      <c r="Y13" s="112"/>
      <c r="Z13" s="112"/>
      <c r="AA13" s="112"/>
      <c r="AB13" s="112"/>
      <c r="AC13" s="112"/>
      <c r="AD13" s="112"/>
      <c r="AE13" s="34"/>
    </row>
    <row r="14" spans="1:31" ht="18.75" customHeight="1" thickBot="1">
      <c r="A14" s="114" t="s">
        <v>183</v>
      </c>
      <c r="B14" s="115">
        <f>47035+155</f>
        <v>47190</v>
      </c>
      <c r="C14" s="115">
        <f>49131+245</f>
        <v>49376</v>
      </c>
      <c r="D14" s="115">
        <f>42426+214</f>
        <v>42640</v>
      </c>
      <c r="E14" s="115">
        <f>6705+31</f>
        <v>6736</v>
      </c>
      <c r="F14" s="116">
        <f>47190/23596027*100000</f>
        <v>199.99129514472924</v>
      </c>
      <c r="G14" s="117">
        <v>149</v>
      </c>
      <c r="H14" s="117">
        <v>147</v>
      </c>
      <c r="I14" s="117">
        <v>1331</v>
      </c>
      <c r="J14" s="117">
        <v>1135</v>
      </c>
      <c r="K14" s="117">
        <v>195</v>
      </c>
      <c r="L14" s="116">
        <f>149/23596027*100000</f>
        <v>0.63146223726562101</v>
      </c>
      <c r="M14" s="129">
        <v>269</v>
      </c>
      <c r="N14" s="130">
        <v>995</v>
      </c>
      <c r="O14" s="31"/>
      <c r="P14" s="31"/>
      <c r="Q14" s="31"/>
      <c r="R14" s="31"/>
      <c r="S14" s="112"/>
      <c r="T14" s="112"/>
      <c r="U14" s="112"/>
      <c r="V14" s="112"/>
      <c r="W14" s="112"/>
      <c r="X14" s="112"/>
      <c r="Y14" s="112"/>
      <c r="Z14" s="112"/>
      <c r="AA14" s="112"/>
      <c r="AB14" s="112"/>
      <c r="AC14" s="112"/>
      <c r="AD14" s="112"/>
      <c r="AE14" s="34"/>
    </row>
    <row r="15" spans="1:31" ht="18.75" customHeight="1" thickTop="1">
      <c r="A15" s="2895"/>
      <c r="B15" s="2899" t="s">
        <v>293</v>
      </c>
      <c r="C15" s="2900"/>
      <c r="D15" s="2900"/>
      <c r="E15" s="2900"/>
      <c r="F15" s="2900"/>
      <c r="G15" s="2894" t="s">
        <v>294</v>
      </c>
      <c r="H15" s="2895"/>
      <c r="I15" s="2895"/>
      <c r="J15" s="2895"/>
      <c r="K15" s="2895"/>
      <c r="L15" s="2894" t="s">
        <v>295</v>
      </c>
      <c r="M15" s="2895"/>
      <c r="N15" s="2895"/>
      <c r="O15" s="2895"/>
      <c r="P15" s="2895"/>
      <c r="Q15" s="34"/>
    </row>
    <row r="16" spans="1:31" ht="18.75" customHeight="1">
      <c r="A16" s="2775"/>
      <c r="B16" s="494" t="s">
        <v>517</v>
      </c>
      <c r="C16" s="2774" t="s">
        <v>220</v>
      </c>
      <c r="D16" s="2775"/>
      <c r="E16" s="2776"/>
      <c r="F16" s="309" t="s">
        <v>221</v>
      </c>
      <c r="G16" s="309" t="s">
        <v>296</v>
      </c>
      <c r="H16" s="2901" t="s">
        <v>220</v>
      </c>
      <c r="I16" s="2902"/>
      <c r="J16" s="2902"/>
      <c r="K16" s="2903"/>
      <c r="L16" s="309" t="s">
        <v>296</v>
      </c>
      <c r="M16" s="2774" t="s">
        <v>220</v>
      </c>
      <c r="N16" s="2775"/>
      <c r="O16" s="2775"/>
      <c r="P16" s="2775"/>
      <c r="Q16" s="34"/>
    </row>
    <row r="17" spans="1:17" ht="18.75" customHeight="1">
      <c r="A17" s="2775"/>
      <c r="B17" s="351" t="s">
        <v>286</v>
      </c>
      <c r="C17" s="309" t="s">
        <v>287</v>
      </c>
      <c r="D17" s="309" t="s">
        <v>170</v>
      </c>
      <c r="E17" s="309" t="s">
        <v>171</v>
      </c>
      <c r="F17" s="309" t="s">
        <v>289</v>
      </c>
      <c r="G17" s="309" t="s">
        <v>286</v>
      </c>
      <c r="H17" s="309" t="s">
        <v>287</v>
      </c>
      <c r="I17" s="309" t="s">
        <v>170</v>
      </c>
      <c r="J17" s="309" t="s">
        <v>171</v>
      </c>
      <c r="K17" s="342" t="s">
        <v>381</v>
      </c>
      <c r="L17" s="309" t="s">
        <v>286</v>
      </c>
      <c r="M17" s="309" t="s">
        <v>287</v>
      </c>
      <c r="N17" s="309" t="s">
        <v>170</v>
      </c>
      <c r="O17" s="309" t="s">
        <v>171</v>
      </c>
      <c r="P17" s="343" t="s">
        <v>382</v>
      </c>
      <c r="Q17" s="34"/>
    </row>
    <row r="18" spans="1:17" ht="18.75" customHeight="1">
      <c r="A18" s="118" t="s">
        <v>17</v>
      </c>
      <c r="B18" s="133">
        <v>1338</v>
      </c>
      <c r="C18" s="133">
        <v>1215</v>
      </c>
      <c r="D18" s="133">
        <v>1174</v>
      </c>
      <c r="E18" s="133">
        <v>41</v>
      </c>
      <c r="F18" s="134">
        <v>5.8338145870255618</v>
      </c>
      <c r="G18" s="97">
        <v>105130</v>
      </c>
      <c r="H18" s="97">
        <v>91775</v>
      </c>
      <c r="I18" s="97">
        <v>73168</v>
      </c>
      <c r="J18" s="97">
        <v>15634</v>
      </c>
      <c r="K18" s="97">
        <v>2973</v>
      </c>
      <c r="L18" s="97">
        <v>10892</v>
      </c>
      <c r="M18" s="97">
        <v>8709</v>
      </c>
      <c r="N18" s="97">
        <v>7934</v>
      </c>
      <c r="O18" s="97">
        <v>360</v>
      </c>
      <c r="P18" s="338">
        <v>415</v>
      </c>
      <c r="Q18" s="34"/>
    </row>
    <row r="19" spans="1:17" ht="18.75" customHeight="1">
      <c r="A19" s="118" t="s">
        <v>18</v>
      </c>
      <c r="B19" s="133">
        <v>1357</v>
      </c>
      <c r="C19" s="133">
        <v>1225</v>
      </c>
      <c r="D19" s="133">
        <v>1172</v>
      </c>
      <c r="E19" s="133">
        <v>53</v>
      </c>
      <c r="F19" s="134">
        <v>5.86801881456707</v>
      </c>
      <c r="G19" s="133">
        <v>104315</v>
      </c>
      <c r="H19" s="133">
        <v>89200</v>
      </c>
      <c r="I19" s="133">
        <v>70237</v>
      </c>
      <c r="J19" s="133">
        <v>15170</v>
      </c>
      <c r="K19" s="133">
        <v>3793</v>
      </c>
      <c r="L19" s="133">
        <v>13686</v>
      </c>
      <c r="M19" s="133">
        <v>10817</v>
      </c>
      <c r="N19" s="133">
        <v>9561</v>
      </c>
      <c r="O19" s="133">
        <v>516</v>
      </c>
      <c r="P19" s="344">
        <v>740</v>
      </c>
      <c r="Q19" s="34"/>
    </row>
    <row r="20" spans="1:17" ht="18.75" customHeight="1">
      <c r="A20" s="118" t="s">
        <v>19</v>
      </c>
      <c r="B20" s="133">
        <v>1347</v>
      </c>
      <c r="C20" s="133">
        <v>1269</v>
      </c>
      <c r="D20" s="133">
        <v>1218</v>
      </c>
      <c r="E20" s="133">
        <v>51</v>
      </c>
      <c r="F20" s="134">
        <v>5.7970723022975958</v>
      </c>
      <c r="G20" s="133">
        <v>115203</v>
      </c>
      <c r="H20" s="133">
        <v>94750</v>
      </c>
      <c r="I20" s="133">
        <v>73374</v>
      </c>
      <c r="J20" s="133">
        <v>17075</v>
      </c>
      <c r="K20" s="133">
        <v>4301</v>
      </c>
      <c r="L20" s="133">
        <v>15102</v>
      </c>
      <c r="M20" s="133">
        <v>12058</v>
      </c>
      <c r="N20" s="133">
        <v>10543</v>
      </c>
      <c r="O20" s="133">
        <v>596</v>
      </c>
      <c r="P20" s="344">
        <v>919</v>
      </c>
      <c r="Q20" s="34"/>
    </row>
    <row r="21" spans="1:17" ht="18.75" customHeight="1">
      <c r="A21" s="114" t="s">
        <v>291</v>
      </c>
      <c r="B21" s="133">
        <v>1294</v>
      </c>
      <c r="C21" s="133">
        <v>1201</v>
      </c>
      <c r="D21" s="133">
        <v>1165</v>
      </c>
      <c r="E21" s="133">
        <v>36</v>
      </c>
      <c r="F21" s="134">
        <v>5.5558720684421754</v>
      </c>
      <c r="G21" s="133">
        <v>130829</v>
      </c>
      <c r="H21" s="133">
        <v>105665</v>
      </c>
      <c r="I21" s="133">
        <v>80970</v>
      </c>
      <c r="J21" s="133">
        <v>19360</v>
      </c>
      <c r="K21" s="133">
        <v>5335</v>
      </c>
      <c r="L21" s="133">
        <v>13928</v>
      </c>
      <c r="M21" s="133">
        <v>11119</v>
      </c>
      <c r="N21" s="133">
        <v>9613</v>
      </c>
      <c r="O21" s="133">
        <v>614</v>
      </c>
      <c r="P21" s="344">
        <v>892</v>
      </c>
      <c r="Q21" s="34"/>
    </row>
    <row r="22" spans="1:17" ht="18.75" customHeight="1">
      <c r="A22" s="114" t="s">
        <v>292</v>
      </c>
      <c r="B22" s="97">
        <v>1424</v>
      </c>
      <c r="C22" s="97">
        <v>1301</v>
      </c>
      <c r="D22" s="97">
        <v>1249</v>
      </c>
      <c r="E22" s="97">
        <v>52</v>
      </c>
      <c r="F22" s="132">
        <v>6.0930710000000001</v>
      </c>
      <c r="G22" s="133">
        <v>114609</v>
      </c>
      <c r="H22" s="133">
        <v>97277</v>
      </c>
      <c r="I22" s="133">
        <v>74309</v>
      </c>
      <c r="J22" s="133">
        <v>18609</v>
      </c>
      <c r="K22" s="133">
        <v>4359</v>
      </c>
      <c r="L22" s="133">
        <v>14215</v>
      </c>
      <c r="M22" s="133">
        <v>11292</v>
      </c>
      <c r="N22" s="133">
        <v>9529</v>
      </c>
      <c r="O22" s="133">
        <v>643</v>
      </c>
      <c r="P22" s="344">
        <v>1120</v>
      </c>
      <c r="Q22" s="34"/>
    </row>
    <row r="23" spans="1:17" ht="18.75" customHeight="1">
      <c r="A23" s="114" t="s">
        <v>230</v>
      </c>
      <c r="B23" s="135">
        <v>1670</v>
      </c>
      <c r="C23" s="136">
        <v>1540</v>
      </c>
      <c r="D23" s="135">
        <v>1472</v>
      </c>
      <c r="E23" s="135">
        <v>68</v>
      </c>
      <c r="F23" s="132">
        <v>7.09</v>
      </c>
      <c r="G23" s="97">
        <v>116742</v>
      </c>
      <c r="H23" s="345">
        <v>96507</v>
      </c>
      <c r="I23" s="97">
        <v>73835</v>
      </c>
      <c r="J23" s="97">
        <v>18473</v>
      </c>
      <c r="K23" s="345">
        <v>4199</v>
      </c>
      <c r="L23" s="97">
        <v>13415</v>
      </c>
      <c r="M23" s="97">
        <v>10715</v>
      </c>
      <c r="N23" s="345">
        <v>9069</v>
      </c>
      <c r="O23" s="97">
        <v>661</v>
      </c>
      <c r="P23" s="346">
        <v>985</v>
      </c>
      <c r="Q23" s="34"/>
    </row>
    <row r="24" spans="1:17" ht="18.75" customHeight="1">
      <c r="A24" s="114" t="s">
        <v>180</v>
      </c>
      <c r="B24" s="137">
        <v>1661</v>
      </c>
      <c r="C24" s="137">
        <v>1486</v>
      </c>
      <c r="D24" s="137">
        <v>1427</v>
      </c>
      <c r="E24" s="138">
        <v>59</v>
      </c>
      <c r="F24" s="139">
        <v>7.06</v>
      </c>
      <c r="G24" s="135">
        <v>117550</v>
      </c>
      <c r="H24" s="135">
        <v>96610</v>
      </c>
      <c r="I24" s="135">
        <v>73354</v>
      </c>
      <c r="J24" s="135">
        <v>19163</v>
      </c>
      <c r="K24" s="135">
        <v>4093</v>
      </c>
      <c r="L24" s="135">
        <v>10610</v>
      </c>
      <c r="M24" s="135">
        <v>8575</v>
      </c>
      <c r="N24" s="135">
        <v>7120</v>
      </c>
      <c r="O24" s="135">
        <v>554</v>
      </c>
      <c r="P24" s="347">
        <v>901</v>
      </c>
      <c r="Q24" s="113"/>
    </row>
    <row r="25" spans="1:17" ht="18.75" customHeight="1">
      <c r="A25" s="114" t="s">
        <v>181</v>
      </c>
      <c r="B25" s="137">
        <v>1961</v>
      </c>
      <c r="C25" s="137">
        <v>1714</v>
      </c>
      <c r="D25" s="137">
        <v>1639</v>
      </c>
      <c r="E25" s="138">
        <v>75</v>
      </c>
      <c r="F25" s="139">
        <v>8.3000000000000007</v>
      </c>
      <c r="G25" s="137">
        <v>118586</v>
      </c>
      <c r="H25" s="137">
        <v>97102</v>
      </c>
      <c r="I25" s="137">
        <v>72880</v>
      </c>
      <c r="J25" s="137">
        <v>20555</v>
      </c>
      <c r="K25" s="137">
        <v>3667</v>
      </c>
      <c r="L25" s="137">
        <v>11060</v>
      </c>
      <c r="M25" s="137">
        <v>8656</v>
      </c>
      <c r="N25" s="137">
        <v>6976</v>
      </c>
      <c r="O25" s="137">
        <v>549</v>
      </c>
      <c r="P25" s="348">
        <v>1131</v>
      </c>
      <c r="Q25" s="34"/>
    </row>
    <row r="26" spans="1:17" ht="18.75" customHeight="1">
      <c r="A26" s="114" t="s">
        <v>182</v>
      </c>
      <c r="B26" s="137">
        <v>1766</v>
      </c>
      <c r="C26" s="137">
        <v>1603</v>
      </c>
      <c r="D26" s="137">
        <v>1529</v>
      </c>
      <c r="E26" s="138">
        <v>74</v>
      </c>
      <c r="F26" s="139">
        <v>7.48</v>
      </c>
      <c r="G26" s="137">
        <v>120002</v>
      </c>
      <c r="H26" s="137">
        <v>98129</v>
      </c>
      <c r="I26" s="137">
        <v>72911</v>
      </c>
      <c r="J26" s="137">
        <v>21669</v>
      </c>
      <c r="K26" s="137">
        <v>3549</v>
      </c>
      <c r="L26" s="137">
        <v>11458</v>
      </c>
      <c r="M26" s="137">
        <v>8834</v>
      </c>
      <c r="N26" s="137">
        <v>7235</v>
      </c>
      <c r="O26" s="137">
        <v>559</v>
      </c>
      <c r="P26" s="348">
        <v>1040</v>
      </c>
      <c r="Q26" s="34"/>
    </row>
    <row r="27" spans="1:17" ht="18.75" customHeight="1">
      <c r="A27" s="131" t="s">
        <v>183</v>
      </c>
      <c r="B27" s="140">
        <v>1480</v>
      </c>
      <c r="C27" s="140">
        <v>1343</v>
      </c>
      <c r="D27" s="140">
        <v>1303</v>
      </c>
      <c r="E27" s="336">
        <v>40</v>
      </c>
      <c r="F27" s="337">
        <v>6.25</v>
      </c>
      <c r="G27" s="140">
        <v>128198</v>
      </c>
      <c r="H27" s="140">
        <v>101549</v>
      </c>
      <c r="I27" s="140">
        <v>75392</v>
      </c>
      <c r="J27" s="140">
        <v>25286</v>
      </c>
      <c r="K27" s="140">
        <v>871</v>
      </c>
      <c r="L27" s="140">
        <v>9183</v>
      </c>
      <c r="M27" s="140">
        <v>7690</v>
      </c>
      <c r="N27" s="140">
        <v>6534</v>
      </c>
      <c r="O27" s="140">
        <v>753</v>
      </c>
      <c r="P27" s="349">
        <v>403</v>
      </c>
      <c r="Q27" s="34"/>
    </row>
    <row r="28" spans="1:17" ht="15.75">
      <c r="A28" s="302" t="s">
        <v>297</v>
      </c>
      <c r="B28" s="27" t="s">
        <v>298</v>
      </c>
      <c r="E28" s="141"/>
      <c r="G28" s="34"/>
      <c r="H28" s="34"/>
      <c r="I28" s="34"/>
      <c r="J28" s="34"/>
      <c r="K28" s="34"/>
      <c r="M28" s="112"/>
      <c r="N28" s="112"/>
      <c r="O28" s="112"/>
      <c r="P28" s="112"/>
      <c r="Q28" s="113"/>
    </row>
    <row r="29" spans="1:17" ht="15.75">
      <c r="A29" s="331" t="s">
        <v>299</v>
      </c>
      <c r="B29" s="2777" t="s">
        <v>300</v>
      </c>
      <c r="C29" s="2777"/>
      <c r="D29" s="2777"/>
      <c r="E29" s="2777"/>
      <c r="F29" s="2777"/>
      <c r="M29" s="112"/>
      <c r="N29" s="112"/>
      <c r="O29" s="112"/>
      <c r="P29" s="112"/>
      <c r="Q29" s="34"/>
    </row>
    <row r="30" spans="1:17" ht="15.75">
      <c r="B30" s="2777" t="s">
        <v>515</v>
      </c>
      <c r="C30" s="2777"/>
      <c r="D30" s="2777"/>
      <c r="E30" s="2777"/>
      <c r="F30" s="2777"/>
      <c r="G30" s="2777"/>
      <c r="H30" s="2777"/>
      <c r="I30" s="2777"/>
      <c r="J30" s="2777"/>
    </row>
    <row r="31" spans="1:17" ht="15.75">
      <c r="B31" s="2777" t="s">
        <v>301</v>
      </c>
      <c r="C31" s="2777"/>
      <c r="D31" s="2777"/>
      <c r="E31" s="2777"/>
      <c r="F31" s="2777"/>
      <c r="G31" s="2777"/>
      <c r="H31" s="2777"/>
      <c r="I31" s="2777"/>
      <c r="J31" s="2777"/>
      <c r="K31" s="2777"/>
      <c r="L31" s="2777"/>
      <c r="M31" s="2777"/>
    </row>
    <row r="32" spans="1:17" ht="15.75">
      <c r="B32" s="38" t="s">
        <v>302</v>
      </c>
      <c r="C32" s="38"/>
      <c r="D32" s="38"/>
      <c r="E32" s="38"/>
    </row>
    <row r="33" spans="2:16" ht="15.75">
      <c r="B33" s="303" t="s">
        <v>303</v>
      </c>
      <c r="C33" s="38"/>
      <c r="D33" s="38"/>
      <c r="E33" s="38"/>
    </row>
    <row r="34" spans="2:16" ht="15.75">
      <c r="B34" s="303" t="s">
        <v>304</v>
      </c>
      <c r="C34" s="38"/>
      <c r="D34" s="38"/>
      <c r="E34" s="38"/>
    </row>
    <row r="35" spans="2:16" ht="33.75" customHeight="1">
      <c r="B35" s="2896" t="s">
        <v>516</v>
      </c>
      <c r="C35" s="2896"/>
      <c r="D35" s="2896"/>
      <c r="E35" s="2896"/>
      <c r="F35" s="2896"/>
      <c r="G35" s="2896"/>
      <c r="H35" s="2896"/>
      <c r="I35" s="2896"/>
      <c r="J35" s="2896"/>
      <c r="K35" s="2896"/>
      <c r="L35" s="2896"/>
      <c r="M35" s="2896"/>
      <c r="N35" s="2896"/>
      <c r="O35" s="2896"/>
      <c r="P35" s="2896"/>
    </row>
    <row r="37" spans="2:16">
      <c r="B37" s="243"/>
      <c r="C37" s="243"/>
    </row>
    <row r="38" spans="2:16" ht="15.75">
      <c r="H38" s="142"/>
    </row>
    <row r="39" spans="2:16" ht="15.75">
      <c r="H39" s="142"/>
    </row>
    <row r="40" spans="2:16" ht="15.75">
      <c r="H40" s="142"/>
    </row>
    <row r="41" spans="2:16" ht="15.75">
      <c r="H41" s="143"/>
    </row>
  </sheetData>
  <mergeCells count="18">
    <mergeCell ref="C16:E16"/>
    <mergeCell ref="H16:K16"/>
    <mergeCell ref="G15:K15"/>
    <mergeCell ref="B30:J30"/>
    <mergeCell ref="B35:P35"/>
    <mergeCell ref="A1:P1"/>
    <mergeCell ref="B29:F29"/>
    <mergeCell ref="B31:M31"/>
    <mergeCell ref="L15:P15"/>
    <mergeCell ref="M16:P16"/>
    <mergeCell ref="M2:N2"/>
    <mergeCell ref="A15:A17"/>
    <mergeCell ref="A2:A4"/>
    <mergeCell ref="B2:F2"/>
    <mergeCell ref="G2:L2"/>
    <mergeCell ref="C3:E3"/>
    <mergeCell ref="I3:K3"/>
    <mergeCell ref="B15:F15"/>
  </mergeCells>
  <phoneticPr fontId="6" type="noConversion"/>
  <printOptions horizontalCentered="1" verticalCentered="1"/>
  <pageMargins left="0.70866141732283472" right="0.70866141732283472" top="0.74803149606299213" bottom="0.74803149606299213" header="0.31496062992125984" footer="0.31496062992125984"/>
  <pageSetup paperSize="11" scale="50" orientation="landscape" r:id="rId1"/>
  <headerFooter differentOddEven="1" scaleWithDoc="0">
    <oddHeader>&amp;L&amp;"Times New Roman,標準"&amp;8 107&amp;"標楷體,標準"年犯罪狀況及其分析</oddHeader>
    <evenHeader>&amp;R&amp;"標楷體,標準"&amp;8第一篇　&amp;"Times New Roman,標準"107&amp;"標楷體,標準"年犯罪狀況及近&amp;"Times New Roman,標準"10&amp;"標楷體,標準"年犯罪趨勢分析</evenHead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G34"/>
  <sheetViews>
    <sheetView showGridLines="0" zoomScaleNormal="100" workbookViewId="0">
      <selection activeCell="B18" sqref="B18:D18"/>
    </sheetView>
  </sheetViews>
  <sheetFormatPr defaultRowHeight="15.75"/>
  <cols>
    <col min="1" max="1" width="13" style="2156" customWidth="1"/>
    <col min="2" max="2" width="6.375" style="2156" customWidth="1"/>
    <col min="3" max="7" width="20.625" style="2156" customWidth="1"/>
    <col min="8" max="256" width="9" style="2156"/>
    <col min="257" max="257" width="13" style="2156" customWidth="1"/>
    <col min="258" max="258" width="6.375" style="2156" customWidth="1"/>
    <col min="259" max="263" width="20.625" style="2156" customWidth="1"/>
    <col min="264" max="512" width="9" style="2156"/>
    <col min="513" max="513" width="13" style="2156" customWidth="1"/>
    <col min="514" max="514" width="6.375" style="2156" customWidth="1"/>
    <col min="515" max="519" width="20.625" style="2156" customWidth="1"/>
    <col min="520" max="768" width="9" style="2156"/>
    <col min="769" max="769" width="13" style="2156" customWidth="1"/>
    <col min="770" max="770" width="6.375" style="2156" customWidth="1"/>
    <col min="771" max="775" width="20.625" style="2156" customWidth="1"/>
    <col min="776" max="1024" width="9" style="2156"/>
    <col min="1025" max="1025" width="13" style="2156" customWidth="1"/>
    <col min="1026" max="1026" width="6.375" style="2156" customWidth="1"/>
    <col min="1027" max="1031" width="20.625" style="2156" customWidth="1"/>
    <col min="1032" max="1280" width="9" style="2156"/>
    <col min="1281" max="1281" width="13" style="2156" customWidth="1"/>
    <col min="1282" max="1282" width="6.375" style="2156" customWidth="1"/>
    <col min="1283" max="1287" width="20.625" style="2156" customWidth="1"/>
    <col min="1288" max="1536" width="9" style="2156"/>
    <col min="1537" max="1537" width="13" style="2156" customWidth="1"/>
    <col min="1538" max="1538" width="6.375" style="2156" customWidth="1"/>
    <col min="1539" max="1543" width="20.625" style="2156" customWidth="1"/>
    <col min="1544" max="1792" width="9" style="2156"/>
    <col min="1793" max="1793" width="13" style="2156" customWidth="1"/>
    <col min="1794" max="1794" width="6.375" style="2156" customWidth="1"/>
    <col min="1795" max="1799" width="20.625" style="2156" customWidth="1"/>
    <col min="1800" max="2048" width="9" style="2156"/>
    <col min="2049" max="2049" width="13" style="2156" customWidth="1"/>
    <col min="2050" max="2050" width="6.375" style="2156" customWidth="1"/>
    <col min="2051" max="2055" width="20.625" style="2156" customWidth="1"/>
    <col min="2056" max="2304" width="9" style="2156"/>
    <col min="2305" max="2305" width="13" style="2156" customWidth="1"/>
    <col min="2306" max="2306" width="6.375" style="2156" customWidth="1"/>
    <col min="2307" max="2311" width="20.625" style="2156" customWidth="1"/>
    <col min="2312" max="2560" width="9" style="2156"/>
    <col min="2561" max="2561" width="13" style="2156" customWidth="1"/>
    <col min="2562" max="2562" width="6.375" style="2156" customWidth="1"/>
    <col min="2563" max="2567" width="20.625" style="2156" customWidth="1"/>
    <col min="2568" max="2816" width="9" style="2156"/>
    <col min="2817" max="2817" width="13" style="2156" customWidth="1"/>
    <col min="2818" max="2818" width="6.375" style="2156" customWidth="1"/>
    <col min="2819" max="2823" width="20.625" style="2156" customWidth="1"/>
    <col min="2824" max="3072" width="9" style="2156"/>
    <col min="3073" max="3073" width="13" style="2156" customWidth="1"/>
    <col min="3074" max="3074" width="6.375" style="2156" customWidth="1"/>
    <col min="3075" max="3079" width="20.625" style="2156" customWidth="1"/>
    <col min="3080" max="3328" width="9" style="2156"/>
    <col min="3329" max="3329" width="13" style="2156" customWidth="1"/>
    <col min="3330" max="3330" width="6.375" style="2156" customWidth="1"/>
    <col min="3331" max="3335" width="20.625" style="2156" customWidth="1"/>
    <col min="3336" max="3584" width="9" style="2156"/>
    <col min="3585" max="3585" width="13" style="2156" customWidth="1"/>
    <col min="3586" max="3586" width="6.375" style="2156" customWidth="1"/>
    <col min="3587" max="3591" width="20.625" style="2156" customWidth="1"/>
    <col min="3592" max="3840" width="9" style="2156"/>
    <col min="3841" max="3841" width="13" style="2156" customWidth="1"/>
    <col min="3842" max="3842" width="6.375" style="2156" customWidth="1"/>
    <col min="3843" max="3847" width="20.625" style="2156" customWidth="1"/>
    <col min="3848" max="4096" width="9" style="2156"/>
    <col min="4097" max="4097" width="13" style="2156" customWidth="1"/>
    <col min="4098" max="4098" width="6.375" style="2156" customWidth="1"/>
    <col min="4099" max="4103" width="20.625" style="2156" customWidth="1"/>
    <col min="4104" max="4352" width="9" style="2156"/>
    <col min="4353" max="4353" width="13" style="2156" customWidth="1"/>
    <col min="4354" max="4354" width="6.375" style="2156" customWidth="1"/>
    <col min="4355" max="4359" width="20.625" style="2156" customWidth="1"/>
    <col min="4360" max="4608" width="9" style="2156"/>
    <col min="4609" max="4609" width="13" style="2156" customWidth="1"/>
    <col min="4610" max="4610" width="6.375" style="2156" customWidth="1"/>
    <col min="4611" max="4615" width="20.625" style="2156" customWidth="1"/>
    <col min="4616" max="4864" width="9" style="2156"/>
    <col min="4865" max="4865" width="13" style="2156" customWidth="1"/>
    <col min="4866" max="4866" width="6.375" style="2156" customWidth="1"/>
    <col min="4867" max="4871" width="20.625" style="2156" customWidth="1"/>
    <col min="4872" max="5120" width="9" style="2156"/>
    <col min="5121" max="5121" width="13" style="2156" customWidth="1"/>
    <col min="5122" max="5122" width="6.375" style="2156" customWidth="1"/>
    <col min="5123" max="5127" width="20.625" style="2156" customWidth="1"/>
    <col min="5128" max="5376" width="9" style="2156"/>
    <col min="5377" max="5377" width="13" style="2156" customWidth="1"/>
    <col min="5378" max="5378" width="6.375" style="2156" customWidth="1"/>
    <col min="5379" max="5383" width="20.625" style="2156" customWidth="1"/>
    <col min="5384" max="5632" width="9" style="2156"/>
    <col min="5633" max="5633" width="13" style="2156" customWidth="1"/>
    <col min="5634" max="5634" width="6.375" style="2156" customWidth="1"/>
    <col min="5635" max="5639" width="20.625" style="2156" customWidth="1"/>
    <col min="5640" max="5888" width="9" style="2156"/>
    <col min="5889" max="5889" width="13" style="2156" customWidth="1"/>
    <col min="5890" max="5890" width="6.375" style="2156" customWidth="1"/>
    <col min="5891" max="5895" width="20.625" style="2156" customWidth="1"/>
    <col min="5896" max="6144" width="9" style="2156"/>
    <col min="6145" max="6145" width="13" style="2156" customWidth="1"/>
    <col min="6146" max="6146" width="6.375" style="2156" customWidth="1"/>
    <col min="6147" max="6151" width="20.625" style="2156" customWidth="1"/>
    <col min="6152" max="6400" width="9" style="2156"/>
    <col min="6401" max="6401" width="13" style="2156" customWidth="1"/>
    <col min="6402" max="6402" width="6.375" style="2156" customWidth="1"/>
    <col min="6403" max="6407" width="20.625" style="2156" customWidth="1"/>
    <col min="6408" max="6656" width="9" style="2156"/>
    <col min="6657" max="6657" width="13" style="2156" customWidth="1"/>
    <col min="6658" max="6658" width="6.375" style="2156" customWidth="1"/>
    <col min="6659" max="6663" width="20.625" style="2156" customWidth="1"/>
    <col min="6664" max="6912" width="9" style="2156"/>
    <col min="6913" max="6913" width="13" style="2156" customWidth="1"/>
    <col min="6914" max="6914" width="6.375" style="2156" customWidth="1"/>
    <col min="6915" max="6919" width="20.625" style="2156" customWidth="1"/>
    <col min="6920" max="7168" width="9" style="2156"/>
    <col min="7169" max="7169" width="13" style="2156" customWidth="1"/>
    <col min="7170" max="7170" width="6.375" style="2156" customWidth="1"/>
    <col min="7171" max="7175" width="20.625" style="2156" customWidth="1"/>
    <col min="7176" max="7424" width="9" style="2156"/>
    <col min="7425" max="7425" width="13" style="2156" customWidth="1"/>
    <col min="7426" max="7426" width="6.375" style="2156" customWidth="1"/>
    <col min="7427" max="7431" width="20.625" style="2156" customWidth="1"/>
    <col min="7432" max="7680" width="9" style="2156"/>
    <col min="7681" max="7681" width="13" style="2156" customWidth="1"/>
    <col min="7682" max="7682" width="6.375" style="2156" customWidth="1"/>
    <col min="7683" max="7687" width="20.625" style="2156" customWidth="1"/>
    <col min="7688" max="7936" width="9" style="2156"/>
    <col min="7937" max="7937" width="13" style="2156" customWidth="1"/>
    <col min="7938" max="7938" width="6.375" style="2156" customWidth="1"/>
    <col min="7939" max="7943" width="20.625" style="2156" customWidth="1"/>
    <col min="7944" max="8192" width="9" style="2156"/>
    <col min="8193" max="8193" width="13" style="2156" customWidth="1"/>
    <col min="8194" max="8194" width="6.375" style="2156" customWidth="1"/>
    <col min="8195" max="8199" width="20.625" style="2156" customWidth="1"/>
    <col min="8200" max="8448" width="9" style="2156"/>
    <col min="8449" max="8449" width="13" style="2156" customWidth="1"/>
    <col min="8450" max="8450" width="6.375" style="2156" customWidth="1"/>
    <col min="8451" max="8455" width="20.625" style="2156" customWidth="1"/>
    <col min="8456" max="8704" width="9" style="2156"/>
    <col min="8705" max="8705" width="13" style="2156" customWidth="1"/>
    <col min="8706" max="8706" width="6.375" style="2156" customWidth="1"/>
    <col min="8707" max="8711" width="20.625" style="2156" customWidth="1"/>
    <col min="8712" max="8960" width="9" style="2156"/>
    <col min="8961" max="8961" width="13" style="2156" customWidth="1"/>
    <col min="8962" max="8962" width="6.375" style="2156" customWidth="1"/>
    <col min="8963" max="8967" width="20.625" style="2156" customWidth="1"/>
    <col min="8968" max="9216" width="9" style="2156"/>
    <col min="9217" max="9217" width="13" style="2156" customWidth="1"/>
    <col min="9218" max="9218" width="6.375" style="2156" customWidth="1"/>
    <col min="9219" max="9223" width="20.625" style="2156" customWidth="1"/>
    <col min="9224" max="9472" width="9" style="2156"/>
    <col min="9473" max="9473" width="13" style="2156" customWidth="1"/>
    <col min="9474" max="9474" width="6.375" style="2156" customWidth="1"/>
    <col min="9475" max="9479" width="20.625" style="2156" customWidth="1"/>
    <col min="9480" max="9728" width="9" style="2156"/>
    <col min="9729" max="9729" width="13" style="2156" customWidth="1"/>
    <col min="9730" max="9730" width="6.375" style="2156" customWidth="1"/>
    <col min="9731" max="9735" width="20.625" style="2156" customWidth="1"/>
    <col min="9736" max="9984" width="9" style="2156"/>
    <col min="9985" max="9985" width="13" style="2156" customWidth="1"/>
    <col min="9986" max="9986" width="6.375" style="2156" customWidth="1"/>
    <col min="9987" max="9991" width="20.625" style="2156" customWidth="1"/>
    <col min="9992" max="10240" width="9" style="2156"/>
    <col min="10241" max="10241" width="13" style="2156" customWidth="1"/>
    <col min="10242" max="10242" width="6.375" style="2156" customWidth="1"/>
    <col min="10243" max="10247" width="20.625" style="2156" customWidth="1"/>
    <col min="10248" max="10496" width="9" style="2156"/>
    <col min="10497" max="10497" width="13" style="2156" customWidth="1"/>
    <col min="10498" max="10498" width="6.375" style="2156" customWidth="1"/>
    <col min="10499" max="10503" width="20.625" style="2156" customWidth="1"/>
    <col min="10504" max="10752" width="9" style="2156"/>
    <col min="10753" max="10753" width="13" style="2156" customWidth="1"/>
    <col min="10754" max="10754" width="6.375" style="2156" customWidth="1"/>
    <col min="10755" max="10759" width="20.625" style="2156" customWidth="1"/>
    <col min="10760" max="11008" width="9" style="2156"/>
    <col min="11009" max="11009" width="13" style="2156" customWidth="1"/>
    <col min="11010" max="11010" width="6.375" style="2156" customWidth="1"/>
    <col min="11011" max="11015" width="20.625" style="2156" customWidth="1"/>
    <col min="11016" max="11264" width="9" style="2156"/>
    <col min="11265" max="11265" width="13" style="2156" customWidth="1"/>
    <col min="11266" max="11266" width="6.375" style="2156" customWidth="1"/>
    <col min="11267" max="11271" width="20.625" style="2156" customWidth="1"/>
    <col min="11272" max="11520" width="9" style="2156"/>
    <col min="11521" max="11521" width="13" style="2156" customWidth="1"/>
    <col min="11522" max="11522" width="6.375" style="2156" customWidth="1"/>
    <col min="11523" max="11527" width="20.625" style="2156" customWidth="1"/>
    <col min="11528" max="11776" width="9" style="2156"/>
    <col min="11777" max="11777" width="13" style="2156" customWidth="1"/>
    <col min="11778" max="11778" width="6.375" style="2156" customWidth="1"/>
    <col min="11779" max="11783" width="20.625" style="2156" customWidth="1"/>
    <col min="11784" max="12032" width="9" style="2156"/>
    <col min="12033" max="12033" width="13" style="2156" customWidth="1"/>
    <col min="12034" max="12034" width="6.375" style="2156" customWidth="1"/>
    <col min="12035" max="12039" width="20.625" style="2156" customWidth="1"/>
    <col min="12040" max="12288" width="9" style="2156"/>
    <col min="12289" max="12289" width="13" style="2156" customWidth="1"/>
    <col min="12290" max="12290" width="6.375" style="2156" customWidth="1"/>
    <col min="12291" max="12295" width="20.625" style="2156" customWidth="1"/>
    <col min="12296" max="12544" width="9" style="2156"/>
    <col min="12545" max="12545" width="13" style="2156" customWidth="1"/>
    <col min="12546" max="12546" width="6.375" style="2156" customWidth="1"/>
    <col min="12547" max="12551" width="20.625" style="2156" customWidth="1"/>
    <col min="12552" max="12800" width="9" style="2156"/>
    <col min="12801" max="12801" width="13" style="2156" customWidth="1"/>
    <col min="12802" max="12802" width="6.375" style="2156" customWidth="1"/>
    <col min="12803" max="12807" width="20.625" style="2156" customWidth="1"/>
    <col min="12808" max="13056" width="9" style="2156"/>
    <col min="13057" max="13057" width="13" style="2156" customWidth="1"/>
    <col min="13058" max="13058" width="6.375" style="2156" customWidth="1"/>
    <col min="13059" max="13063" width="20.625" style="2156" customWidth="1"/>
    <col min="13064" max="13312" width="9" style="2156"/>
    <col min="13313" max="13313" width="13" style="2156" customWidth="1"/>
    <col min="13314" max="13314" width="6.375" style="2156" customWidth="1"/>
    <col min="13315" max="13319" width="20.625" style="2156" customWidth="1"/>
    <col min="13320" max="13568" width="9" style="2156"/>
    <col min="13569" max="13569" width="13" style="2156" customWidth="1"/>
    <col min="13570" max="13570" width="6.375" style="2156" customWidth="1"/>
    <col min="13571" max="13575" width="20.625" style="2156" customWidth="1"/>
    <col min="13576" max="13824" width="9" style="2156"/>
    <col min="13825" max="13825" width="13" style="2156" customWidth="1"/>
    <col min="13826" max="13826" width="6.375" style="2156" customWidth="1"/>
    <col min="13827" max="13831" width="20.625" style="2156" customWidth="1"/>
    <col min="13832" max="14080" width="9" style="2156"/>
    <col min="14081" max="14081" width="13" style="2156" customWidth="1"/>
    <col min="14082" max="14082" width="6.375" style="2156" customWidth="1"/>
    <col min="14083" max="14087" width="20.625" style="2156" customWidth="1"/>
    <col min="14088" max="14336" width="9" style="2156"/>
    <col min="14337" max="14337" width="13" style="2156" customWidth="1"/>
    <col min="14338" max="14338" width="6.375" style="2156" customWidth="1"/>
    <col min="14339" max="14343" width="20.625" style="2156" customWidth="1"/>
    <col min="14344" max="14592" width="9" style="2156"/>
    <col min="14593" max="14593" width="13" style="2156" customWidth="1"/>
    <col min="14594" max="14594" width="6.375" style="2156" customWidth="1"/>
    <col min="14595" max="14599" width="20.625" style="2156" customWidth="1"/>
    <col min="14600" max="14848" width="9" style="2156"/>
    <col min="14849" max="14849" width="13" style="2156" customWidth="1"/>
    <col min="14850" max="14850" width="6.375" style="2156" customWidth="1"/>
    <col min="14851" max="14855" width="20.625" style="2156" customWidth="1"/>
    <col min="14856" max="15104" width="9" style="2156"/>
    <col min="15105" max="15105" width="13" style="2156" customWidth="1"/>
    <col min="15106" max="15106" width="6.375" style="2156" customWidth="1"/>
    <col min="15107" max="15111" width="20.625" style="2156" customWidth="1"/>
    <col min="15112" max="15360" width="9" style="2156"/>
    <col min="15361" max="15361" width="13" style="2156" customWidth="1"/>
    <col min="15362" max="15362" width="6.375" style="2156" customWidth="1"/>
    <col min="15363" max="15367" width="20.625" style="2156" customWidth="1"/>
    <col min="15368" max="15616" width="9" style="2156"/>
    <col min="15617" max="15617" width="13" style="2156" customWidth="1"/>
    <col min="15618" max="15618" width="6.375" style="2156" customWidth="1"/>
    <col min="15619" max="15623" width="20.625" style="2156" customWidth="1"/>
    <col min="15624" max="15872" width="9" style="2156"/>
    <col min="15873" max="15873" width="13" style="2156" customWidth="1"/>
    <col min="15874" max="15874" width="6.375" style="2156" customWidth="1"/>
    <col min="15875" max="15879" width="20.625" style="2156" customWidth="1"/>
    <col min="15880" max="16128" width="9" style="2156"/>
    <col min="16129" max="16129" width="13" style="2156" customWidth="1"/>
    <col min="16130" max="16130" width="6.375" style="2156" customWidth="1"/>
    <col min="16131" max="16135" width="20.625" style="2156" customWidth="1"/>
    <col min="16136" max="16384" width="9" style="2156"/>
  </cols>
  <sheetData>
    <row r="1" spans="1:7" s="2153" customFormat="1" ht="25.35" customHeight="1">
      <c r="A1" s="3894" t="s">
        <v>3197</v>
      </c>
      <c r="B1" s="3894"/>
      <c r="C1" s="3894"/>
      <c r="D1" s="3895"/>
      <c r="E1" s="3895"/>
      <c r="F1" s="3895"/>
      <c r="G1" s="3896"/>
    </row>
    <row r="2" spans="1:7" ht="48" customHeight="1">
      <c r="A2" s="3897"/>
      <c r="B2" s="3898"/>
      <c r="C2" s="2154" t="s">
        <v>3198</v>
      </c>
      <c r="D2" s="2155" t="s">
        <v>3199</v>
      </c>
      <c r="E2" s="2155" t="s">
        <v>3200</v>
      </c>
      <c r="F2" s="2155" t="s">
        <v>3201</v>
      </c>
      <c r="G2" s="2155" t="s">
        <v>3202</v>
      </c>
    </row>
    <row r="3" spans="1:7" ht="19.899999999999999" customHeight="1">
      <c r="A3" s="3899" t="s">
        <v>3160</v>
      </c>
      <c r="B3" s="2157" t="s">
        <v>3203</v>
      </c>
      <c r="C3" s="2158">
        <v>3625</v>
      </c>
      <c r="D3" s="2158">
        <v>3380</v>
      </c>
      <c r="E3" s="2158">
        <v>3079</v>
      </c>
      <c r="F3" s="2158">
        <v>2565</v>
      </c>
      <c r="G3" s="2159">
        <v>2502</v>
      </c>
    </row>
    <row r="4" spans="1:7" ht="19.899999999999999" customHeight="1">
      <c r="A4" s="3900"/>
      <c r="B4" s="2160" t="s">
        <v>3204</v>
      </c>
      <c r="C4" s="2161">
        <v>100</v>
      </c>
      <c r="D4" s="2162">
        <v>100</v>
      </c>
      <c r="E4" s="2162">
        <v>100</v>
      </c>
      <c r="F4" s="2162">
        <v>100</v>
      </c>
      <c r="G4" s="2162">
        <v>100</v>
      </c>
    </row>
    <row r="5" spans="1:7" ht="19.899999999999999" customHeight="1">
      <c r="A5" s="3892" t="s">
        <v>3205</v>
      </c>
      <c r="B5" s="2157" t="s">
        <v>3206</v>
      </c>
      <c r="C5" s="2158">
        <v>3064</v>
      </c>
      <c r="D5" s="2158">
        <v>2892</v>
      </c>
      <c r="E5" s="2158">
        <v>2705</v>
      </c>
      <c r="F5" s="2158">
        <v>2263</v>
      </c>
      <c r="G5" s="2159">
        <v>2236</v>
      </c>
    </row>
    <row r="6" spans="1:7" ht="19.899999999999999" customHeight="1">
      <c r="A6" s="3893"/>
      <c r="B6" s="2160" t="s">
        <v>3204</v>
      </c>
      <c r="C6" s="2163">
        <f>C5/C3*100</f>
        <v>84.524137931034488</v>
      </c>
      <c r="D6" s="2163">
        <f>D5/D3*100</f>
        <v>85.562130177514788</v>
      </c>
      <c r="E6" s="2163">
        <f>E5/E3*100</f>
        <v>87.853199090613828</v>
      </c>
      <c r="F6" s="2163">
        <f>F5/F3*100</f>
        <v>88.226120857699811</v>
      </c>
      <c r="G6" s="2163">
        <f>G5/G3*100</f>
        <v>89.368505195843326</v>
      </c>
    </row>
    <row r="7" spans="1:7" ht="19.899999999999999" customHeight="1">
      <c r="A7" s="3901" t="s">
        <v>3207</v>
      </c>
      <c r="B7" s="2157" t="s">
        <v>3203</v>
      </c>
      <c r="C7" s="2158">
        <v>561</v>
      </c>
      <c r="D7" s="2158">
        <v>488</v>
      </c>
      <c r="E7" s="2158">
        <v>374</v>
      </c>
      <c r="F7" s="2158">
        <v>302</v>
      </c>
      <c r="G7" s="2159">
        <v>266</v>
      </c>
    </row>
    <row r="8" spans="1:7" ht="19.899999999999999" customHeight="1">
      <c r="A8" s="3901"/>
      <c r="B8" s="2160" t="s">
        <v>3204</v>
      </c>
      <c r="C8" s="2163">
        <f>C7/C3*100</f>
        <v>15.475862068965519</v>
      </c>
      <c r="D8" s="2163">
        <f>D7/D3*100</f>
        <v>14.437869822485208</v>
      </c>
      <c r="E8" s="2163">
        <f>E7/E3*100</f>
        <v>12.146800909386164</v>
      </c>
      <c r="F8" s="2163">
        <f>F7/F3*100</f>
        <v>11.773879142300196</v>
      </c>
      <c r="G8" s="2163">
        <f>G7/G3*100</f>
        <v>10.631494804156674</v>
      </c>
    </row>
    <row r="9" spans="1:7" ht="19.899999999999999" customHeight="1">
      <c r="A9" s="2164" t="s">
        <v>3208</v>
      </c>
      <c r="B9" s="2160"/>
      <c r="C9" s="2163"/>
      <c r="D9" s="2163"/>
      <c r="E9" s="2163"/>
      <c r="F9" s="2163"/>
      <c r="G9" s="2163"/>
    </row>
    <row r="10" spans="1:7" ht="19.899999999999999" customHeight="1">
      <c r="A10" s="3892" t="s">
        <v>3209</v>
      </c>
      <c r="B10" s="2157" t="s">
        <v>3203</v>
      </c>
      <c r="C10" s="2158">
        <v>3501</v>
      </c>
      <c r="D10" s="2158">
        <v>3278</v>
      </c>
      <c r="E10" s="2158">
        <v>2984</v>
      </c>
      <c r="F10" s="2158">
        <v>2479</v>
      </c>
      <c r="G10" s="2159">
        <v>2391</v>
      </c>
    </row>
    <row r="11" spans="1:7" ht="19.899999999999999" customHeight="1">
      <c r="A11" s="3893"/>
      <c r="B11" s="2160" t="s">
        <v>3204</v>
      </c>
      <c r="C11" s="2161">
        <v>100</v>
      </c>
      <c r="D11" s="2162">
        <v>100</v>
      </c>
      <c r="E11" s="2162">
        <v>100</v>
      </c>
      <c r="F11" s="2162">
        <v>100</v>
      </c>
      <c r="G11" s="2162">
        <v>100</v>
      </c>
    </row>
    <row r="12" spans="1:7" ht="19.899999999999999" customHeight="1">
      <c r="A12" s="3892" t="s">
        <v>3210</v>
      </c>
      <c r="B12" s="2157" t="s">
        <v>3203</v>
      </c>
      <c r="C12" s="2158">
        <v>2954</v>
      </c>
      <c r="D12" s="2158">
        <v>2795</v>
      </c>
      <c r="E12" s="2158">
        <v>2624</v>
      </c>
      <c r="F12" s="2158">
        <v>2194</v>
      </c>
      <c r="G12" s="2159">
        <v>2133</v>
      </c>
    </row>
    <row r="13" spans="1:7" ht="19.899999999999999" customHeight="1">
      <c r="A13" s="3893"/>
      <c r="B13" s="2160" t="s">
        <v>3204</v>
      </c>
      <c r="C13" s="2163">
        <v>84.37589260211368</v>
      </c>
      <c r="D13" s="2163">
        <v>85.265405735204396</v>
      </c>
      <c r="E13" s="2163">
        <v>87.935656836461135</v>
      </c>
      <c r="F13" s="2163">
        <v>88.503428801936266</v>
      </c>
      <c r="G13" s="2163">
        <v>89.20953575909661</v>
      </c>
    </row>
    <row r="14" spans="1:7" ht="19.899999999999999" customHeight="1">
      <c r="A14" s="3901" t="s">
        <v>3207</v>
      </c>
      <c r="B14" s="2157" t="s">
        <v>3206</v>
      </c>
      <c r="C14" s="2158">
        <v>547</v>
      </c>
      <c r="D14" s="2158">
        <v>483</v>
      </c>
      <c r="E14" s="2158">
        <v>360</v>
      </c>
      <c r="F14" s="2158">
        <v>285</v>
      </c>
      <c r="G14" s="2159">
        <v>258</v>
      </c>
    </row>
    <row r="15" spans="1:7" ht="19.899999999999999" customHeight="1">
      <c r="A15" s="3901"/>
      <c r="B15" s="2160" t="s">
        <v>3211</v>
      </c>
      <c r="C15" s="2163">
        <v>15.62410739788632</v>
      </c>
      <c r="D15" s="2163">
        <v>14.734594264795605</v>
      </c>
      <c r="E15" s="2163">
        <v>12.064343163538874</v>
      </c>
      <c r="F15" s="2163">
        <v>11.496571198063736</v>
      </c>
      <c r="G15" s="2163">
        <v>10.790464240903388</v>
      </c>
    </row>
    <row r="16" spans="1:7" ht="19.899999999999999" customHeight="1">
      <c r="A16" s="2164" t="s">
        <v>3212</v>
      </c>
      <c r="B16" s="2160"/>
      <c r="C16" s="2163"/>
      <c r="D16" s="2163"/>
      <c r="E16" s="2163"/>
      <c r="F16" s="2163"/>
      <c r="G16" s="2163"/>
    </row>
    <row r="17" spans="1:7" ht="19.899999999999999" customHeight="1">
      <c r="A17" s="3892" t="s">
        <v>3213</v>
      </c>
      <c r="B17" s="2157" t="s">
        <v>3203</v>
      </c>
      <c r="C17" s="2158">
        <v>124</v>
      </c>
      <c r="D17" s="2158">
        <v>102</v>
      </c>
      <c r="E17" s="2158">
        <v>95</v>
      </c>
      <c r="F17" s="2158">
        <v>86</v>
      </c>
      <c r="G17" s="2159">
        <v>111</v>
      </c>
    </row>
    <row r="18" spans="1:7" ht="19.899999999999999" customHeight="1">
      <c r="A18" s="3893"/>
      <c r="B18" s="2160" t="s">
        <v>3211</v>
      </c>
      <c r="C18" s="2161">
        <v>100</v>
      </c>
      <c r="D18" s="2162">
        <v>100</v>
      </c>
      <c r="E18" s="2162">
        <v>100</v>
      </c>
      <c r="F18" s="2162">
        <v>100</v>
      </c>
      <c r="G18" s="2162">
        <v>100</v>
      </c>
    </row>
    <row r="19" spans="1:7" ht="19.899999999999999" customHeight="1">
      <c r="A19" s="3892" t="s">
        <v>3210</v>
      </c>
      <c r="B19" s="2157" t="s">
        <v>3206</v>
      </c>
      <c r="C19" s="2158">
        <v>110</v>
      </c>
      <c r="D19" s="2158">
        <v>97</v>
      </c>
      <c r="E19" s="2158">
        <v>81</v>
      </c>
      <c r="F19" s="2158">
        <v>69</v>
      </c>
      <c r="G19" s="2159">
        <v>103</v>
      </c>
    </row>
    <row r="20" spans="1:7" ht="19.899999999999999" customHeight="1">
      <c r="A20" s="3893"/>
      <c r="B20" s="2160" t="s">
        <v>3204</v>
      </c>
      <c r="C20" s="2163">
        <f>C19/C17*100</f>
        <v>88.709677419354833</v>
      </c>
      <c r="D20" s="2163">
        <f>D19/D17*100</f>
        <v>95.098039215686271</v>
      </c>
      <c r="E20" s="2163">
        <f>E19/E17*100</f>
        <v>85.263157894736835</v>
      </c>
      <c r="F20" s="2163">
        <f>F19/F17*100</f>
        <v>80.232558139534888</v>
      </c>
      <c r="G20" s="2163">
        <f>G19/G17*100</f>
        <v>92.792792792792795</v>
      </c>
    </row>
    <row r="21" spans="1:7" ht="19.899999999999999" customHeight="1">
      <c r="A21" s="3901" t="s">
        <v>3214</v>
      </c>
      <c r="B21" s="2157" t="s">
        <v>3215</v>
      </c>
      <c r="C21" s="2158">
        <v>14</v>
      </c>
      <c r="D21" s="2158">
        <v>5</v>
      </c>
      <c r="E21" s="2158">
        <v>14</v>
      </c>
      <c r="F21" s="2158">
        <v>17</v>
      </c>
      <c r="G21" s="2159">
        <v>8</v>
      </c>
    </row>
    <row r="22" spans="1:7" ht="19.899999999999999" customHeight="1">
      <c r="A22" s="3902"/>
      <c r="B22" s="2165" t="s">
        <v>3211</v>
      </c>
      <c r="C22" s="2166">
        <f>C21/C17*100</f>
        <v>11.29032258064516</v>
      </c>
      <c r="D22" s="2166">
        <f>D21/D17*100</f>
        <v>4.9019607843137258</v>
      </c>
      <c r="E22" s="2166">
        <f>E21/E17*100</f>
        <v>14.736842105263156</v>
      </c>
      <c r="F22" s="2166">
        <f>F21/F17*100</f>
        <v>19.767441860465116</v>
      </c>
      <c r="G22" s="2166">
        <f>G21/G17*100</f>
        <v>7.2072072072072073</v>
      </c>
    </row>
    <row r="23" spans="1:7" s="2170" customFormat="1" ht="14.25">
      <c r="A23" s="2167" t="s">
        <v>997</v>
      </c>
      <c r="B23" s="2168"/>
      <c r="C23" s="2169"/>
    </row>
    <row r="24" spans="1:7" s="2170" customFormat="1" ht="14.25">
      <c r="A24" s="2167" t="s">
        <v>3216</v>
      </c>
      <c r="B24" s="2171"/>
      <c r="C24" s="2167"/>
    </row>
    <row r="25" spans="1:7">
      <c r="A25" s="2167"/>
      <c r="B25" s="2172"/>
      <c r="C25" s="2173"/>
    </row>
    <row r="26" spans="1:7">
      <c r="B26" s="2174"/>
    </row>
    <row r="27" spans="1:7">
      <c r="B27" s="2172"/>
    </row>
    <row r="28" spans="1:7">
      <c r="B28" s="2174"/>
    </row>
    <row r="29" spans="1:7">
      <c r="B29" s="2172"/>
    </row>
    <row r="30" spans="1:7">
      <c r="B30" s="2174"/>
    </row>
    <row r="31" spans="1:7">
      <c r="B31" s="2172"/>
    </row>
    <row r="32" spans="1:7">
      <c r="B32" s="2174"/>
    </row>
    <row r="33" spans="2:2">
      <c r="B33" s="2172"/>
    </row>
    <row r="34" spans="2:2">
      <c r="B34" s="2174"/>
    </row>
  </sheetData>
  <mergeCells count="11">
    <mergeCell ref="A12:A13"/>
    <mergeCell ref="A14:A15"/>
    <mergeCell ref="A17:A18"/>
    <mergeCell ref="A19:A20"/>
    <mergeCell ref="A21:A22"/>
    <mergeCell ref="A10:A11"/>
    <mergeCell ref="A1:G1"/>
    <mergeCell ref="A2:B2"/>
    <mergeCell ref="A3:A4"/>
    <mergeCell ref="A5:A6"/>
    <mergeCell ref="A7:A8"/>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64"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R24"/>
  <sheetViews>
    <sheetView showGridLines="0" zoomScaleNormal="100" workbookViewId="0">
      <selection activeCell="B18" sqref="B18:D18"/>
    </sheetView>
  </sheetViews>
  <sheetFormatPr defaultRowHeight="15.75"/>
  <cols>
    <col min="1" max="1" width="21.375" style="2156" customWidth="1"/>
    <col min="2" max="2" width="6.375" style="2156" customWidth="1"/>
    <col min="3" max="17" width="8.625" style="2156" customWidth="1"/>
    <col min="18" max="256" width="9" style="2156"/>
    <col min="257" max="257" width="21.375" style="2156" customWidth="1"/>
    <col min="258" max="258" width="6.375" style="2156" customWidth="1"/>
    <col min="259" max="272" width="7.5" style="2156" customWidth="1"/>
    <col min="273" max="273" width="8.375" style="2156" customWidth="1"/>
    <col min="274" max="512" width="9" style="2156"/>
    <col min="513" max="513" width="21.375" style="2156" customWidth="1"/>
    <col min="514" max="514" width="6.375" style="2156" customWidth="1"/>
    <col min="515" max="528" width="7.5" style="2156" customWidth="1"/>
    <col min="529" max="529" width="8.375" style="2156" customWidth="1"/>
    <col min="530" max="768" width="9" style="2156"/>
    <col min="769" max="769" width="21.375" style="2156" customWidth="1"/>
    <col min="770" max="770" width="6.375" style="2156" customWidth="1"/>
    <col min="771" max="784" width="7.5" style="2156" customWidth="1"/>
    <col min="785" max="785" width="8.375" style="2156" customWidth="1"/>
    <col min="786" max="1024" width="9" style="2156"/>
    <col min="1025" max="1025" width="21.375" style="2156" customWidth="1"/>
    <col min="1026" max="1026" width="6.375" style="2156" customWidth="1"/>
    <col min="1027" max="1040" width="7.5" style="2156" customWidth="1"/>
    <col min="1041" max="1041" width="8.375" style="2156" customWidth="1"/>
    <col min="1042" max="1280" width="9" style="2156"/>
    <col min="1281" max="1281" width="21.375" style="2156" customWidth="1"/>
    <col min="1282" max="1282" width="6.375" style="2156" customWidth="1"/>
    <col min="1283" max="1296" width="7.5" style="2156" customWidth="1"/>
    <col min="1297" max="1297" width="8.375" style="2156" customWidth="1"/>
    <col min="1298" max="1536" width="9" style="2156"/>
    <col min="1537" max="1537" width="21.375" style="2156" customWidth="1"/>
    <col min="1538" max="1538" width="6.375" style="2156" customWidth="1"/>
    <col min="1539" max="1552" width="7.5" style="2156" customWidth="1"/>
    <col min="1553" max="1553" width="8.375" style="2156" customWidth="1"/>
    <col min="1554" max="1792" width="9" style="2156"/>
    <col min="1793" max="1793" width="21.375" style="2156" customWidth="1"/>
    <col min="1794" max="1794" width="6.375" style="2156" customWidth="1"/>
    <col min="1795" max="1808" width="7.5" style="2156" customWidth="1"/>
    <col min="1809" max="1809" width="8.375" style="2156" customWidth="1"/>
    <col min="1810" max="2048" width="9" style="2156"/>
    <col min="2049" max="2049" width="21.375" style="2156" customWidth="1"/>
    <col min="2050" max="2050" width="6.375" style="2156" customWidth="1"/>
    <col min="2051" max="2064" width="7.5" style="2156" customWidth="1"/>
    <col min="2065" max="2065" width="8.375" style="2156" customWidth="1"/>
    <col min="2066" max="2304" width="9" style="2156"/>
    <col min="2305" max="2305" width="21.375" style="2156" customWidth="1"/>
    <col min="2306" max="2306" width="6.375" style="2156" customWidth="1"/>
    <col min="2307" max="2320" width="7.5" style="2156" customWidth="1"/>
    <col min="2321" max="2321" width="8.375" style="2156" customWidth="1"/>
    <col min="2322" max="2560" width="9" style="2156"/>
    <col min="2561" max="2561" width="21.375" style="2156" customWidth="1"/>
    <col min="2562" max="2562" width="6.375" style="2156" customWidth="1"/>
    <col min="2563" max="2576" width="7.5" style="2156" customWidth="1"/>
    <col min="2577" max="2577" width="8.375" style="2156" customWidth="1"/>
    <col min="2578" max="2816" width="9" style="2156"/>
    <col min="2817" max="2817" width="21.375" style="2156" customWidth="1"/>
    <col min="2818" max="2818" width="6.375" style="2156" customWidth="1"/>
    <col min="2819" max="2832" width="7.5" style="2156" customWidth="1"/>
    <col min="2833" max="2833" width="8.375" style="2156" customWidth="1"/>
    <col min="2834" max="3072" width="9" style="2156"/>
    <col min="3073" max="3073" width="21.375" style="2156" customWidth="1"/>
    <col min="3074" max="3074" width="6.375" style="2156" customWidth="1"/>
    <col min="3075" max="3088" width="7.5" style="2156" customWidth="1"/>
    <col min="3089" max="3089" width="8.375" style="2156" customWidth="1"/>
    <col min="3090" max="3328" width="9" style="2156"/>
    <col min="3329" max="3329" width="21.375" style="2156" customWidth="1"/>
    <col min="3330" max="3330" width="6.375" style="2156" customWidth="1"/>
    <col min="3331" max="3344" width="7.5" style="2156" customWidth="1"/>
    <col min="3345" max="3345" width="8.375" style="2156" customWidth="1"/>
    <col min="3346" max="3584" width="9" style="2156"/>
    <col min="3585" max="3585" width="21.375" style="2156" customWidth="1"/>
    <col min="3586" max="3586" width="6.375" style="2156" customWidth="1"/>
    <col min="3587" max="3600" width="7.5" style="2156" customWidth="1"/>
    <col min="3601" max="3601" width="8.375" style="2156" customWidth="1"/>
    <col min="3602" max="3840" width="9" style="2156"/>
    <col min="3841" max="3841" width="21.375" style="2156" customWidth="1"/>
    <col min="3842" max="3842" width="6.375" style="2156" customWidth="1"/>
    <col min="3843" max="3856" width="7.5" style="2156" customWidth="1"/>
    <col min="3857" max="3857" width="8.375" style="2156" customWidth="1"/>
    <col min="3858" max="4096" width="9" style="2156"/>
    <col min="4097" max="4097" width="21.375" style="2156" customWidth="1"/>
    <col min="4098" max="4098" width="6.375" style="2156" customWidth="1"/>
    <col min="4099" max="4112" width="7.5" style="2156" customWidth="1"/>
    <col min="4113" max="4113" width="8.375" style="2156" customWidth="1"/>
    <col min="4114" max="4352" width="9" style="2156"/>
    <col min="4353" max="4353" width="21.375" style="2156" customWidth="1"/>
    <col min="4354" max="4354" width="6.375" style="2156" customWidth="1"/>
    <col min="4355" max="4368" width="7.5" style="2156" customWidth="1"/>
    <col min="4369" max="4369" width="8.375" style="2156" customWidth="1"/>
    <col min="4370" max="4608" width="9" style="2156"/>
    <col min="4609" max="4609" width="21.375" style="2156" customWidth="1"/>
    <col min="4610" max="4610" width="6.375" style="2156" customWidth="1"/>
    <col min="4611" max="4624" width="7.5" style="2156" customWidth="1"/>
    <col min="4625" max="4625" width="8.375" style="2156" customWidth="1"/>
    <col min="4626" max="4864" width="9" style="2156"/>
    <col min="4865" max="4865" width="21.375" style="2156" customWidth="1"/>
    <col min="4866" max="4866" width="6.375" style="2156" customWidth="1"/>
    <col min="4867" max="4880" width="7.5" style="2156" customWidth="1"/>
    <col min="4881" max="4881" width="8.375" style="2156" customWidth="1"/>
    <col min="4882" max="5120" width="9" style="2156"/>
    <col min="5121" max="5121" width="21.375" style="2156" customWidth="1"/>
    <col min="5122" max="5122" width="6.375" style="2156" customWidth="1"/>
    <col min="5123" max="5136" width="7.5" style="2156" customWidth="1"/>
    <col min="5137" max="5137" width="8.375" style="2156" customWidth="1"/>
    <col min="5138" max="5376" width="9" style="2156"/>
    <col min="5377" max="5377" width="21.375" style="2156" customWidth="1"/>
    <col min="5378" max="5378" width="6.375" style="2156" customWidth="1"/>
    <col min="5379" max="5392" width="7.5" style="2156" customWidth="1"/>
    <col min="5393" max="5393" width="8.375" style="2156" customWidth="1"/>
    <col min="5394" max="5632" width="9" style="2156"/>
    <col min="5633" max="5633" width="21.375" style="2156" customWidth="1"/>
    <col min="5634" max="5634" width="6.375" style="2156" customWidth="1"/>
    <col min="5635" max="5648" width="7.5" style="2156" customWidth="1"/>
    <col min="5649" max="5649" width="8.375" style="2156" customWidth="1"/>
    <col min="5650" max="5888" width="9" style="2156"/>
    <col min="5889" max="5889" width="21.375" style="2156" customWidth="1"/>
    <col min="5890" max="5890" width="6.375" style="2156" customWidth="1"/>
    <col min="5891" max="5904" width="7.5" style="2156" customWidth="1"/>
    <col min="5905" max="5905" width="8.375" style="2156" customWidth="1"/>
    <col min="5906" max="6144" width="9" style="2156"/>
    <col min="6145" max="6145" width="21.375" style="2156" customWidth="1"/>
    <col min="6146" max="6146" width="6.375" style="2156" customWidth="1"/>
    <col min="6147" max="6160" width="7.5" style="2156" customWidth="1"/>
    <col min="6161" max="6161" width="8.375" style="2156" customWidth="1"/>
    <col min="6162" max="6400" width="9" style="2156"/>
    <col min="6401" max="6401" width="21.375" style="2156" customWidth="1"/>
    <col min="6402" max="6402" width="6.375" style="2156" customWidth="1"/>
    <col min="6403" max="6416" width="7.5" style="2156" customWidth="1"/>
    <col min="6417" max="6417" width="8.375" style="2156" customWidth="1"/>
    <col min="6418" max="6656" width="9" style="2156"/>
    <col min="6657" max="6657" width="21.375" style="2156" customWidth="1"/>
    <col min="6658" max="6658" width="6.375" style="2156" customWidth="1"/>
    <col min="6659" max="6672" width="7.5" style="2156" customWidth="1"/>
    <col min="6673" max="6673" width="8.375" style="2156" customWidth="1"/>
    <col min="6674" max="6912" width="9" style="2156"/>
    <col min="6913" max="6913" width="21.375" style="2156" customWidth="1"/>
    <col min="6914" max="6914" width="6.375" style="2156" customWidth="1"/>
    <col min="6915" max="6928" width="7.5" style="2156" customWidth="1"/>
    <col min="6929" max="6929" width="8.375" style="2156" customWidth="1"/>
    <col min="6930" max="7168" width="9" style="2156"/>
    <col min="7169" max="7169" width="21.375" style="2156" customWidth="1"/>
    <col min="7170" max="7170" width="6.375" style="2156" customWidth="1"/>
    <col min="7171" max="7184" width="7.5" style="2156" customWidth="1"/>
    <col min="7185" max="7185" width="8.375" style="2156" customWidth="1"/>
    <col min="7186" max="7424" width="9" style="2156"/>
    <col min="7425" max="7425" width="21.375" style="2156" customWidth="1"/>
    <col min="7426" max="7426" width="6.375" style="2156" customWidth="1"/>
    <col min="7427" max="7440" width="7.5" style="2156" customWidth="1"/>
    <col min="7441" max="7441" width="8.375" style="2156" customWidth="1"/>
    <col min="7442" max="7680" width="9" style="2156"/>
    <col min="7681" max="7681" width="21.375" style="2156" customWidth="1"/>
    <col min="7682" max="7682" width="6.375" style="2156" customWidth="1"/>
    <col min="7683" max="7696" width="7.5" style="2156" customWidth="1"/>
    <col min="7697" max="7697" width="8.375" style="2156" customWidth="1"/>
    <col min="7698" max="7936" width="9" style="2156"/>
    <col min="7937" max="7937" width="21.375" style="2156" customWidth="1"/>
    <col min="7938" max="7938" width="6.375" style="2156" customWidth="1"/>
    <col min="7939" max="7952" width="7.5" style="2156" customWidth="1"/>
    <col min="7953" max="7953" width="8.375" style="2156" customWidth="1"/>
    <col min="7954" max="8192" width="9" style="2156"/>
    <col min="8193" max="8193" width="21.375" style="2156" customWidth="1"/>
    <col min="8194" max="8194" width="6.375" style="2156" customWidth="1"/>
    <col min="8195" max="8208" width="7.5" style="2156" customWidth="1"/>
    <col min="8209" max="8209" width="8.375" style="2156" customWidth="1"/>
    <col min="8210" max="8448" width="9" style="2156"/>
    <col min="8449" max="8449" width="21.375" style="2156" customWidth="1"/>
    <col min="8450" max="8450" width="6.375" style="2156" customWidth="1"/>
    <col min="8451" max="8464" width="7.5" style="2156" customWidth="1"/>
    <col min="8465" max="8465" width="8.375" style="2156" customWidth="1"/>
    <col min="8466" max="8704" width="9" style="2156"/>
    <col min="8705" max="8705" width="21.375" style="2156" customWidth="1"/>
    <col min="8706" max="8706" width="6.375" style="2156" customWidth="1"/>
    <col min="8707" max="8720" width="7.5" style="2156" customWidth="1"/>
    <col min="8721" max="8721" width="8.375" style="2156" customWidth="1"/>
    <col min="8722" max="8960" width="9" style="2156"/>
    <col min="8961" max="8961" width="21.375" style="2156" customWidth="1"/>
    <col min="8962" max="8962" width="6.375" style="2156" customWidth="1"/>
    <col min="8963" max="8976" width="7.5" style="2156" customWidth="1"/>
    <col min="8977" max="8977" width="8.375" style="2156" customWidth="1"/>
    <col min="8978" max="9216" width="9" style="2156"/>
    <col min="9217" max="9217" width="21.375" style="2156" customWidth="1"/>
    <col min="9218" max="9218" width="6.375" style="2156" customWidth="1"/>
    <col min="9219" max="9232" width="7.5" style="2156" customWidth="1"/>
    <col min="9233" max="9233" width="8.375" style="2156" customWidth="1"/>
    <col min="9234" max="9472" width="9" style="2156"/>
    <col min="9473" max="9473" width="21.375" style="2156" customWidth="1"/>
    <col min="9474" max="9474" width="6.375" style="2156" customWidth="1"/>
    <col min="9475" max="9488" width="7.5" style="2156" customWidth="1"/>
    <col min="9489" max="9489" width="8.375" style="2156" customWidth="1"/>
    <col min="9490" max="9728" width="9" style="2156"/>
    <col min="9729" max="9729" width="21.375" style="2156" customWidth="1"/>
    <col min="9730" max="9730" width="6.375" style="2156" customWidth="1"/>
    <col min="9731" max="9744" width="7.5" style="2156" customWidth="1"/>
    <col min="9745" max="9745" width="8.375" style="2156" customWidth="1"/>
    <col min="9746" max="9984" width="9" style="2156"/>
    <col min="9985" max="9985" width="21.375" style="2156" customWidth="1"/>
    <col min="9986" max="9986" width="6.375" style="2156" customWidth="1"/>
    <col min="9987" max="10000" width="7.5" style="2156" customWidth="1"/>
    <col min="10001" max="10001" width="8.375" style="2156" customWidth="1"/>
    <col min="10002" max="10240" width="9" style="2156"/>
    <col min="10241" max="10241" width="21.375" style="2156" customWidth="1"/>
    <col min="10242" max="10242" width="6.375" style="2156" customWidth="1"/>
    <col min="10243" max="10256" width="7.5" style="2156" customWidth="1"/>
    <col min="10257" max="10257" width="8.375" style="2156" customWidth="1"/>
    <col min="10258" max="10496" width="9" style="2156"/>
    <col min="10497" max="10497" width="21.375" style="2156" customWidth="1"/>
    <col min="10498" max="10498" width="6.375" style="2156" customWidth="1"/>
    <col min="10499" max="10512" width="7.5" style="2156" customWidth="1"/>
    <col min="10513" max="10513" width="8.375" style="2156" customWidth="1"/>
    <col min="10514" max="10752" width="9" style="2156"/>
    <col min="10753" max="10753" width="21.375" style="2156" customWidth="1"/>
    <col min="10754" max="10754" width="6.375" style="2156" customWidth="1"/>
    <col min="10755" max="10768" width="7.5" style="2156" customWidth="1"/>
    <col min="10769" max="10769" width="8.375" style="2156" customWidth="1"/>
    <col min="10770" max="11008" width="9" style="2156"/>
    <col min="11009" max="11009" width="21.375" style="2156" customWidth="1"/>
    <col min="11010" max="11010" width="6.375" style="2156" customWidth="1"/>
    <col min="11011" max="11024" width="7.5" style="2156" customWidth="1"/>
    <col min="11025" max="11025" width="8.375" style="2156" customWidth="1"/>
    <col min="11026" max="11264" width="9" style="2156"/>
    <col min="11265" max="11265" width="21.375" style="2156" customWidth="1"/>
    <col min="11266" max="11266" width="6.375" style="2156" customWidth="1"/>
    <col min="11267" max="11280" width="7.5" style="2156" customWidth="1"/>
    <col min="11281" max="11281" width="8.375" style="2156" customWidth="1"/>
    <col min="11282" max="11520" width="9" style="2156"/>
    <col min="11521" max="11521" width="21.375" style="2156" customWidth="1"/>
    <col min="11522" max="11522" width="6.375" style="2156" customWidth="1"/>
    <col min="11523" max="11536" width="7.5" style="2156" customWidth="1"/>
    <col min="11537" max="11537" width="8.375" style="2156" customWidth="1"/>
    <col min="11538" max="11776" width="9" style="2156"/>
    <col min="11777" max="11777" width="21.375" style="2156" customWidth="1"/>
    <col min="11778" max="11778" width="6.375" style="2156" customWidth="1"/>
    <col min="11779" max="11792" width="7.5" style="2156" customWidth="1"/>
    <col min="11793" max="11793" width="8.375" style="2156" customWidth="1"/>
    <col min="11794" max="12032" width="9" style="2156"/>
    <col min="12033" max="12033" width="21.375" style="2156" customWidth="1"/>
    <col min="12034" max="12034" width="6.375" style="2156" customWidth="1"/>
    <col min="12035" max="12048" width="7.5" style="2156" customWidth="1"/>
    <col min="12049" max="12049" width="8.375" style="2156" customWidth="1"/>
    <col min="12050" max="12288" width="9" style="2156"/>
    <col min="12289" max="12289" width="21.375" style="2156" customWidth="1"/>
    <col min="12290" max="12290" width="6.375" style="2156" customWidth="1"/>
    <col min="12291" max="12304" width="7.5" style="2156" customWidth="1"/>
    <col min="12305" max="12305" width="8.375" style="2156" customWidth="1"/>
    <col min="12306" max="12544" width="9" style="2156"/>
    <col min="12545" max="12545" width="21.375" style="2156" customWidth="1"/>
    <col min="12546" max="12546" width="6.375" style="2156" customWidth="1"/>
    <col min="12547" max="12560" width="7.5" style="2156" customWidth="1"/>
    <col min="12561" max="12561" width="8.375" style="2156" customWidth="1"/>
    <col min="12562" max="12800" width="9" style="2156"/>
    <col min="12801" max="12801" width="21.375" style="2156" customWidth="1"/>
    <col min="12802" max="12802" width="6.375" style="2156" customWidth="1"/>
    <col min="12803" max="12816" width="7.5" style="2156" customWidth="1"/>
    <col min="12817" max="12817" width="8.375" style="2156" customWidth="1"/>
    <col min="12818" max="13056" width="9" style="2156"/>
    <col min="13057" max="13057" width="21.375" style="2156" customWidth="1"/>
    <col min="13058" max="13058" width="6.375" style="2156" customWidth="1"/>
    <col min="13059" max="13072" width="7.5" style="2156" customWidth="1"/>
    <col min="13073" max="13073" width="8.375" style="2156" customWidth="1"/>
    <col min="13074" max="13312" width="9" style="2156"/>
    <col min="13313" max="13313" width="21.375" style="2156" customWidth="1"/>
    <col min="13314" max="13314" width="6.375" style="2156" customWidth="1"/>
    <col min="13315" max="13328" width="7.5" style="2156" customWidth="1"/>
    <col min="13329" max="13329" width="8.375" style="2156" customWidth="1"/>
    <col min="13330" max="13568" width="9" style="2156"/>
    <col min="13569" max="13569" width="21.375" style="2156" customWidth="1"/>
    <col min="13570" max="13570" width="6.375" style="2156" customWidth="1"/>
    <col min="13571" max="13584" width="7.5" style="2156" customWidth="1"/>
    <col min="13585" max="13585" width="8.375" style="2156" customWidth="1"/>
    <col min="13586" max="13824" width="9" style="2156"/>
    <col min="13825" max="13825" width="21.375" style="2156" customWidth="1"/>
    <col min="13826" max="13826" width="6.375" style="2156" customWidth="1"/>
    <col min="13827" max="13840" width="7.5" style="2156" customWidth="1"/>
    <col min="13841" max="13841" width="8.375" style="2156" customWidth="1"/>
    <col min="13842" max="14080" width="9" style="2156"/>
    <col min="14081" max="14081" width="21.375" style="2156" customWidth="1"/>
    <col min="14082" max="14082" width="6.375" style="2156" customWidth="1"/>
    <col min="14083" max="14096" width="7.5" style="2156" customWidth="1"/>
    <col min="14097" max="14097" width="8.375" style="2156" customWidth="1"/>
    <col min="14098" max="14336" width="9" style="2156"/>
    <col min="14337" max="14337" width="21.375" style="2156" customWidth="1"/>
    <col min="14338" max="14338" width="6.375" style="2156" customWidth="1"/>
    <col min="14339" max="14352" width="7.5" style="2156" customWidth="1"/>
    <col min="14353" max="14353" width="8.375" style="2156" customWidth="1"/>
    <col min="14354" max="14592" width="9" style="2156"/>
    <col min="14593" max="14593" width="21.375" style="2156" customWidth="1"/>
    <col min="14594" max="14594" width="6.375" style="2156" customWidth="1"/>
    <col min="14595" max="14608" width="7.5" style="2156" customWidth="1"/>
    <col min="14609" max="14609" width="8.375" style="2156" customWidth="1"/>
    <col min="14610" max="14848" width="9" style="2156"/>
    <col min="14849" max="14849" width="21.375" style="2156" customWidth="1"/>
    <col min="14850" max="14850" width="6.375" style="2156" customWidth="1"/>
    <col min="14851" max="14864" width="7.5" style="2156" customWidth="1"/>
    <col min="14865" max="14865" width="8.375" style="2156" customWidth="1"/>
    <col min="14866" max="15104" width="9" style="2156"/>
    <col min="15105" max="15105" width="21.375" style="2156" customWidth="1"/>
    <col min="15106" max="15106" width="6.375" style="2156" customWidth="1"/>
    <col min="15107" max="15120" width="7.5" style="2156" customWidth="1"/>
    <col min="15121" max="15121" width="8.375" style="2156" customWidth="1"/>
    <col min="15122" max="15360" width="9" style="2156"/>
    <col min="15361" max="15361" width="21.375" style="2156" customWidth="1"/>
    <col min="15362" max="15362" width="6.375" style="2156" customWidth="1"/>
    <col min="15363" max="15376" width="7.5" style="2156" customWidth="1"/>
    <col min="15377" max="15377" width="8.375" style="2156" customWidth="1"/>
    <col min="15378" max="15616" width="9" style="2156"/>
    <col min="15617" max="15617" width="21.375" style="2156" customWidth="1"/>
    <col min="15618" max="15618" width="6.375" style="2156" customWidth="1"/>
    <col min="15619" max="15632" width="7.5" style="2156" customWidth="1"/>
    <col min="15633" max="15633" width="8.375" style="2156" customWidth="1"/>
    <col min="15634" max="15872" width="9" style="2156"/>
    <col min="15873" max="15873" width="21.375" style="2156" customWidth="1"/>
    <col min="15874" max="15874" width="6.375" style="2156" customWidth="1"/>
    <col min="15875" max="15888" width="7.5" style="2156" customWidth="1"/>
    <col min="15889" max="15889" width="8.375" style="2156" customWidth="1"/>
    <col min="15890" max="16128" width="9" style="2156"/>
    <col min="16129" max="16129" width="21.375" style="2156" customWidth="1"/>
    <col min="16130" max="16130" width="6.375" style="2156" customWidth="1"/>
    <col min="16131" max="16144" width="7.5" style="2156" customWidth="1"/>
    <col min="16145" max="16145" width="8.375" style="2156" customWidth="1"/>
    <col min="16146" max="16384" width="9" style="2156"/>
  </cols>
  <sheetData>
    <row r="1" spans="1:18" s="2153" customFormat="1" ht="25.35" customHeight="1">
      <c r="A1" s="3895" t="s">
        <v>3217</v>
      </c>
      <c r="B1" s="3895"/>
      <c r="C1" s="3895"/>
      <c r="D1" s="3895"/>
      <c r="E1" s="3895"/>
      <c r="F1" s="3895"/>
      <c r="G1" s="3895"/>
      <c r="H1" s="3895"/>
      <c r="I1" s="3895"/>
      <c r="J1" s="3895"/>
      <c r="K1" s="3895"/>
      <c r="L1" s="3895"/>
      <c r="M1" s="3895"/>
      <c r="N1" s="3895"/>
      <c r="O1" s="3895"/>
      <c r="P1" s="3895"/>
      <c r="Q1" s="3895"/>
    </row>
    <row r="2" spans="1:18" ht="36.6" customHeight="1">
      <c r="A2" s="3903"/>
      <c r="B2" s="3903"/>
      <c r="C2" s="3905" t="s">
        <v>3198</v>
      </c>
      <c r="D2" s="3905"/>
      <c r="E2" s="3906"/>
      <c r="F2" s="3907" t="s">
        <v>3218</v>
      </c>
      <c r="G2" s="3905"/>
      <c r="H2" s="3906"/>
      <c r="I2" s="3907" t="s">
        <v>3200</v>
      </c>
      <c r="J2" s="3905"/>
      <c r="K2" s="3906"/>
      <c r="L2" s="3907" t="s">
        <v>3201</v>
      </c>
      <c r="M2" s="3905"/>
      <c r="N2" s="3906"/>
      <c r="O2" s="3907" t="s">
        <v>3202</v>
      </c>
      <c r="P2" s="3905"/>
      <c r="Q2" s="3905"/>
    </row>
    <row r="3" spans="1:18" ht="37.35" customHeight="1">
      <c r="A3" s="3904"/>
      <c r="B3" s="3904"/>
      <c r="C3" s="2175" t="s">
        <v>3219</v>
      </c>
      <c r="D3" s="2155" t="s">
        <v>3220</v>
      </c>
      <c r="E3" s="2155" t="s">
        <v>3221</v>
      </c>
      <c r="F3" s="2176" t="s">
        <v>3219</v>
      </c>
      <c r="G3" s="2155" t="s">
        <v>3220</v>
      </c>
      <c r="H3" s="2155" t="s">
        <v>3221</v>
      </c>
      <c r="I3" s="2176" t="s">
        <v>3219</v>
      </c>
      <c r="J3" s="2155" t="s">
        <v>3220</v>
      </c>
      <c r="K3" s="2155" t="s">
        <v>3221</v>
      </c>
      <c r="L3" s="2176" t="s">
        <v>3219</v>
      </c>
      <c r="M3" s="2155" t="s">
        <v>3220</v>
      </c>
      <c r="N3" s="2155" t="s">
        <v>3221</v>
      </c>
      <c r="O3" s="2176" t="s">
        <v>3219</v>
      </c>
      <c r="P3" s="2155" t="s">
        <v>3222</v>
      </c>
      <c r="Q3" s="2155" t="s">
        <v>3221</v>
      </c>
    </row>
    <row r="4" spans="1:18" ht="19.5" customHeight="1">
      <c r="A4" s="3899" t="s">
        <v>3160</v>
      </c>
      <c r="B4" s="2160" t="s">
        <v>3223</v>
      </c>
      <c r="C4" s="2177">
        <f t="shared" ref="C4:Q5" si="0">SUM(C6,C8,C10,C12,C14,C16,C18,C20)</f>
        <v>3625</v>
      </c>
      <c r="D4" s="2177">
        <f t="shared" si="0"/>
        <v>3064</v>
      </c>
      <c r="E4" s="2177">
        <f t="shared" si="0"/>
        <v>561</v>
      </c>
      <c r="F4" s="2177">
        <f t="shared" si="0"/>
        <v>3380</v>
      </c>
      <c r="G4" s="2177">
        <f t="shared" si="0"/>
        <v>2892</v>
      </c>
      <c r="H4" s="2177">
        <f t="shared" si="0"/>
        <v>488</v>
      </c>
      <c r="I4" s="2177">
        <f t="shared" si="0"/>
        <v>3079</v>
      </c>
      <c r="J4" s="2177">
        <f t="shared" si="0"/>
        <v>2705</v>
      </c>
      <c r="K4" s="2177">
        <f t="shared" si="0"/>
        <v>374</v>
      </c>
      <c r="L4" s="2177">
        <f t="shared" si="0"/>
        <v>2565</v>
      </c>
      <c r="M4" s="2177">
        <f t="shared" si="0"/>
        <v>2263</v>
      </c>
      <c r="N4" s="2177">
        <f t="shared" si="0"/>
        <v>302</v>
      </c>
      <c r="O4" s="2177">
        <f t="shared" si="0"/>
        <v>2502</v>
      </c>
      <c r="P4" s="2177">
        <f t="shared" si="0"/>
        <v>2236</v>
      </c>
      <c r="Q4" s="2177">
        <f t="shared" si="0"/>
        <v>266</v>
      </c>
    </row>
    <row r="5" spans="1:18" ht="19.5" customHeight="1">
      <c r="A5" s="3899"/>
      <c r="B5" s="2160" t="s">
        <v>0</v>
      </c>
      <c r="C5" s="2178">
        <f t="shared" si="0"/>
        <v>100</v>
      </c>
      <c r="D5" s="2178">
        <f t="shared" si="0"/>
        <v>100</v>
      </c>
      <c r="E5" s="2178">
        <f t="shared" si="0"/>
        <v>100</v>
      </c>
      <c r="F5" s="2178">
        <f t="shared" si="0"/>
        <v>100</v>
      </c>
      <c r="G5" s="2178">
        <f t="shared" si="0"/>
        <v>99.999999999999986</v>
      </c>
      <c r="H5" s="2178">
        <f t="shared" si="0"/>
        <v>100</v>
      </c>
      <c r="I5" s="2178">
        <f t="shared" si="0"/>
        <v>100</v>
      </c>
      <c r="J5" s="2178">
        <f t="shared" si="0"/>
        <v>100</v>
      </c>
      <c r="K5" s="2178">
        <f t="shared" si="0"/>
        <v>100</v>
      </c>
      <c r="L5" s="2178">
        <f t="shared" si="0"/>
        <v>100</v>
      </c>
      <c r="M5" s="2178">
        <f t="shared" si="0"/>
        <v>100</v>
      </c>
      <c r="N5" s="2178">
        <f t="shared" si="0"/>
        <v>100</v>
      </c>
      <c r="O5" s="2178">
        <f t="shared" si="0"/>
        <v>100</v>
      </c>
      <c r="P5" s="2178">
        <f t="shared" si="0"/>
        <v>100</v>
      </c>
      <c r="Q5" s="2179">
        <f t="shared" si="0"/>
        <v>99.999999999999986</v>
      </c>
    </row>
    <row r="6" spans="1:18" ht="19.5" customHeight="1">
      <c r="A6" s="3899" t="s">
        <v>3224</v>
      </c>
      <c r="B6" s="2160" t="s">
        <v>3223</v>
      </c>
      <c r="C6" s="2180">
        <v>21</v>
      </c>
      <c r="D6" s="2180">
        <v>14</v>
      </c>
      <c r="E6" s="2180">
        <v>7</v>
      </c>
      <c r="F6" s="2180">
        <v>15</v>
      </c>
      <c r="G6" s="2180">
        <v>13</v>
      </c>
      <c r="H6" s="2180">
        <v>2</v>
      </c>
      <c r="I6" s="2180">
        <v>17</v>
      </c>
      <c r="J6" s="2180">
        <v>17</v>
      </c>
      <c r="K6" s="2180" t="s">
        <v>3225</v>
      </c>
      <c r="L6" s="2180">
        <v>11</v>
      </c>
      <c r="M6" s="2180">
        <v>10</v>
      </c>
      <c r="N6" s="2180">
        <v>1</v>
      </c>
      <c r="O6" s="2180">
        <v>4</v>
      </c>
      <c r="P6" s="2180">
        <v>4</v>
      </c>
      <c r="Q6" s="2180" t="s">
        <v>3225</v>
      </c>
    </row>
    <row r="7" spans="1:18" ht="19.5" customHeight="1">
      <c r="A7" s="3899"/>
      <c r="B7" s="2160" t="s">
        <v>0</v>
      </c>
      <c r="C7" s="2178">
        <f t="shared" ref="C7:J7" si="1">C6/C4*100</f>
        <v>0.57931034482758614</v>
      </c>
      <c r="D7" s="2178">
        <f t="shared" si="1"/>
        <v>0.45691906005221933</v>
      </c>
      <c r="E7" s="2178">
        <f t="shared" si="1"/>
        <v>1.2477718360071302</v>
      </c>
      <c r="F7" s="2178">
        <f t="shared" si="1"/>
        <v>0.4437869822485207</v>
      </c>
      <c r="G7" s="2178">
        <f t="shared" si="1"/>
        <v>0.44951590594744117</v>
      </c>
      <c r="H7" s="2178">
        <f t="shared" si="1"/>
        <v>0.4098360655737705</v>
      </c>
      <c r="I7" s="2178">
        <f t="shared" si="1"/>
        <v>0.55212731406300741</v>
      </c>
      <c r="J7" s="2178">
        <f t="shared" si="1"/>
        <v>0.6284658040665434</v>
      </c>
      <c r="K7" s="2178" t="s">
        <v>3225</v>
      </c>
      <c r="L7" s="2178">
        <f>L6/L4*100</f>
        <v>0.42884990253411304</v>
      </c>
      <c r="M7" s="2178">
        <f>M6/M4*100</f>
        <v>0.44189129474149363</v>
      </c>
      <c r="N7" s="2178">
        <f>N6/N4*100</f>
        <v>0.33112582781456956</v>
      </c>
      <c r="O7" s="2178">
        <f>O6/O4*100</f>
        <v>0.15987210231814547</v>
      </c>
      <c r="P7" s="2178">
        <f>P6/P4*100</f>
        <v>0.17889087656529518</v>
      </c>
      <c r="Q7" s="2179" t="s">
        <v>3225</v>
      </c>
      <c r="R7" s="2181"/>
    </row>
    <row r="8" spans="1:18" ht="19.5" customHeight="1">
      <c r="A8" s="3899" t="s">
        <v>3226</v>
      </c>
      <c r="B8" s="2160" t="s">
        <v>3223</v>
      </c>
      <c r="C8" s="2180">
        <v>55</v>
      </c>
      <c r="D8" s="2180">
        <v>49</v>
      </c>
      <c r="E8" s="2180">
        <v>6</v>
      </c>
      <c r="F8" s="2180">
        <v>42</v>
      </c>
      <c r="G8" s="2180">
        <v>38</v>
      </c>
      <c r="H8" s="2180">
        <v>4</v>
      </c>
      <c r="I8" s="2180">
        <v>50</v>
      </c>
      <c r="J8" s="2180">
        <v>43</v>
      </c>
      <c r="K8" s="2180">
        <v>7</v>
      </c>
      <c r="L8" s="2180">
        <v>27</v>
      </c>
      <c r="M8" s="2180">
        <v>26</v>
      </c>
      <c r="N8" s="2180">
        <v>1</v>
      </c>
      <c r="O8" s="2180">
        <v>27</v>
      </c>
      <c r="P8" s="2180">
        <v>22</v>
      </c>
      <c r="Q8" s="2180">
        <v>5</v>
      </c>
    </row>
    <row r="9" spans="1:18" ht="19.5" customHeight="1">
      <c r="A9" s="3899"/>
      <c r="B9" s="2160" t="s">
        <v>0</v>
      </c>
      <c r="C9" s="2178">
        <f t="shared" ref="C9:Q9" si="2">C8/C4*100</f>
        <v>1.5172413793103448</v>
      </c>
      <c r="D9" s="2178">
        <f t="shared" si="2"/>
        <v>1.5992167101827677</v>
      </c>
      <c r="E9" s="2178">
        <f t="shared" si="2"/>
        <v>1.0695187165775399</v>
      </c>
      <c r="F9" s="2178">
        <f t="shared" si="2"/>
        <v>1.2426035502958579</v>
      </c>
      <c r="G9" s="2178">
        <f t="shared" si="2"/>
        <v>1.313969571230982</v>
      </c>
      <c r="H9" s="2178">
        <f t="shared" si="2"/>
        <v>0.81967213114754101</v>
      </c>
      <c r="I9" s="2178">
        <f t="shared" si="2"/>
        <v>1.6239038648911983</v>
      </c>
      <c r="J9" s="2178">
        <f t="shared" si="2"/>
        <v>1.5896487985212568</v>
      </c>
      <c r="K9" s="2178">
        <f t="shared" si="2"/>
        <v>1.8716577540106951</v>
      </c>
      <c r="L9" s="2178">
        <f t="shared" si="2"/>
        <v>1.0526315789473684</v>
      </c>
      <c r="M9" s="2178">
        <f t="shared" si="2"/>
        <v>1.1489173663278833</v>
      </c>
      <c r="N9" s="2178">
        <f t="shared" si="2"/>
        <v>0.33112582781456956</v>
      </c>
      <c r="O9" s="2178">
        <f t="shared" si="2"/>
        <v>1.079136690647482</v>
      </c>
      <c r="P9" s="2178">
        <f t="shared" si="2"/>
        <v>0.98389982110912344</v>
      </c>
      <c r="Q9" s="2179">
        <f t="shared" si="2"/>
        <v>1.8796992481203008</v>
      </c>
    </row>
    <row r="10" spans="1:18" ht="19.5" customHeight="1">
      <c r="A10" s="3899" t="s">
        <v>3227</v>
      </c>
      <c r="B10" s="2160" t="s">
        <v>3223</v>
      </c>
      <c r="C10" s="2180">
        <v>201</v>
      </c>
      <c r="D10" s="2180">
        <v>155</v>
      </c>
      <c r="E10" s="2180">
        <v>46</v>
      </c>
      <c r="F10" s="2180">
        <v>155</v>
      </c>
      <c r="G10" s="2180">
        <v>123</v>
      </c>
      <c r="H10" s="2180">
        <v>32</v>
      </c>
      <c r="I10" s="2180">
        <v>152</v>
      </c>
      <c r="J10" s="2180">
        <v>122</v>
      </c>
      <c r="K10" s="2180">
        <v>30</v>
      </c>
      <c r="L10" s="2180">
        <v>101</v>
      </c>
      <c r="M10" s="2180">
        <v>84</v>
      </c>
      <c r="N10" s="2180">
        <v>17</v>
      </c>
      <c r="O10" s="2180">
        <v>103</v>
      </c>
      <c r="P10" s="2180">
        <v>85</v>
      </c>
      <c r="Q10" s="2180">
        <v>18</v>
      </c>
    </row>
    <row r="11" spans="1:18" ht="19.5" customHeight="1">
      <c r="A11" s="3899"/>
      <c r="B11" s="2160" t="s">
        <v>0</v>
      </c>
      <c r="C11" s="2178">
        <f t="shared" ref="C11:Q11" si="3">C10/C4*100</f>
        <v>5.5448275862068961</v>
      </c>
      <c r="D11" s="2178">
        <f t="shared" si="3"/>
        <v>5.0587467362924281</v>
      </c>
      <c r="E11" s="2178">
        <f t="shared" si="3"/>
        <v>8.1996434937611404</v>
      </c>
      <c r="F11" s="2178">
        <f t="shared" si="3"/>
        <v>4.5857988165680474</v>
      </c>
      <c r="G11" s="2178">
        <f t="shared" si="3"/>
        <v>4.2531120331950207</v>
      </c>
      <c r="H11" s="2178">
        <f t="shared" si="3"/>
        <v>6.557377049180328</v>
      </c>
      <c r="I11" s="2178">
        <f t="shared" si="3"/>
        <v>4.936667749269243</v>
      </c>
      <c r="J11" s="2178">
        <f t="shared" si="3"/>
        <v>4.5101663585951943</v>
      </c>
      <c r="K11" s="2178">
        <f t="shared" si="3"/>
        <v>8.0213903743315509</v>
      </c>
      <c r="L11" s="2178">
        <f t="shared" si="3"/>
        <v>3.9376218323586745</v>
      </c>
      <c r="M11" s="2178">
        <f t="shared" si="3"/>
        <v>3.7118868758285464</v>
      </c>
      <c r="N11" s="2178">
        <f t="shared" si="3"/>
        <v>5.629139072847682</v>
      </c>
      <c r="O11" s="2178">
        <f t="shared" si="3"/>
        <v>4.1167066346922461</v>
      </c>
      <c r="P11" s="2178">
        <f t="shared" si="3"/>
        <v>3.8014311270125223</v>
      </c>
      <c r="Q11" s="2179">
        <f t="shared" si="3"/>
        <v>6.7669172932330826</v>
      </c>
    </row>
    <row r="12" spans="1:18" ht="19.5" customHeight="1">
      <c r="A12" s="3899" t="s">
        <v>3228</v>
      </c>
      <c r="B12" s="2160" t="s">
        <v>3223</v>
      </c>
      <c r="C12" s="2180">
        <v>438</v>
      </c>
      <c r="D12" s="2180">
        <v>339</v>
      </c>
      <c r="E12" s="2180">
        <v>99</v>
      </c>
      <c r="F12" s="2180">
        <v>376</v>
      </c>
      <c r="G12" s="2180">
        <v>302</v>
      </c>
      <c r="H12" s="2180">
        <v>74</v>
      </c>
      <c r="I12" s="2180">
        <v>294</v>
      </c>
      <c r="J12" s="2180">
        <v>244</v>
      </c>
      <c r="K12" s="2180">
        <v>50</v>
      </c>
      <c r="L12" s="2180">
        <v>262</v>
      </c>
      <c r="M12" s="2180">
        <v>210</v>
      </c>
      <c r="N12" s="2180">
        <v>52</v>
      </c>
      <c r="O12" s="2180">
        <v>290</v>
      </c>
      <c r="P12" s="2180">
        <v>240</v>
      </c>
      <c r="Q12" s="2180">
        <v>50</v>
      </c>
    </row>
    <row r="13" spans="1:18" ht="19.5" customHeight="1">
      <c r="A13" s="3899"/>
      <c r="B13" s="2160" t="s">
        <v>0</v>
      </c>
      <c r="C13" s="2178">
        <f t="shared" ref="C13:Q13" si="4">C12/C4*100</f>
        <v>12.082758620689656</v>
      </c>
      <c r="D13" s="2178">
        <f t="shared" si="4"/>
        <v>11.063968668407311</v>
      </c>
      <c r="E13" s="2178">
        <f t="shared" si="4"/>
        <v>17.647058823529413</v>
      </c>
      <c r="F13" s="2178">
        <f t="shared" si="4"/>
        <v>11.124260355029586</v>
      </c>
      <c r="G13" s="2178">
        <f t="shared" si="4"/>
        <v>10.442600276625173</v>
      </c>
      <c r="H13" s="2178">
        <f t="shared" si="4"/>
        <v>15.163934426229508</v>
      </c>
      <c r="I13" s="2178">
        <f t="shared" si="4"/>
        <v>9.5485547255602476</v>
      </c>
      <c r="J13" s="2178">
        <f t="shared" si="4"/>
        <v>9.0203327171903886</v>
      </c>
      <c r="K13" s="2178">
        <f t="shared" si="4"/>
        <v>13.368983957219251</v>
      </c>
      <c r="L13" s="2178">
        <f t="shared" si="4"/>
        <v>10.214424951267057</v>
      </c>
      <c r="M13" s="2178">
        <f t="shared" si="4"/>
        <v>9.2797171895713646</v>
      </c>
      <c r="N13" s="2178">
        <f t="shared" si="4"/>
        <v>17.218543046357617</v>
      </c>
      <c r="O13" s="2178">
        <f t="shared" si="4"/>
        <v>11.590727418065548</v>
      </c>
      <c r="P13" s="2178">
        <f t="shared" si="4"/>
        <v>10.733452593917709</v>
      </c>
      <c r="Q13" s="2179">
        <f t="shared" si="4"/>
        <v>18.796992481203006</v>
      </c>
    </row>
    <row r="14" spans="1:18" ht="19.5" customHeight="1">
      <c r="A14" s="3899" t="s">
        <v>3229</v>
      </c>
      <c r="B14" s="2160" t="s">
        <v>3223</v>
      </c>
      <c r="C14" s="2180">
        <v>554</v>
      </c>
      <c r="D14" s="2180">
        <v>446</v>
      </c>
      <c r="E14" s="2180">
        <v>108</v>
      </c>
      <c r="F14" s="2180">
        <v>600</v>
      </c>
      <c r="G14" s="2180">
        <v>491</v>
      </c>
      <c r="H14" s="2180">
        <v>109</v>
      </c>
      <c r="I14" s="2180">
        <v>445</v>
      </c>
      <c r="J14" s="2180">
        <v>376</v>
      </c>
      <c r="K14" s="2180">
        <v>69</v>
      </c>
      <c r="L14" s="2180">
        <v>360</v>
      </c>
      <c r="M14" s="2180">
        <v>301</v>
      </c>
      <c r="N14" s="2180">
        <v>59</v>
      </c>
      <c r="O14" s="2180">
        <v>402</v>
      </c>
      <c r="P14" s="2180">
        <v>353</v>
      </c>
      <c r="Q14" s="2180">
        <v>49</v>
      </c>
    </row>
    <row r="15" spans="1:18" ht="19.5" customHeight="1">
      <c r="A15" s="3899"/>
      <c r="B15" s="2160" t="s">
        <v>0</v>
      </c>
      <c r="C15" s="2178">
        <f t="shared" ref="C15:Q15" si="5">C14/C4*100</f>
        <v>15.282758620689654</v>
      </c>
      <c r="D15" s="2178">
        <f t="shared" si="5"/>
        <v>14.556135770234988</v>
      </c>
      <c r="E15" s="2178">
        <f t="shared" si="5"/>
        <v>19.251336898395721</v>
      </c>
      <c r="F15" s="2178">
        <f t="shared" si="5"/>
        <v>17.751479289940828</v>
      </c>
      <c r="G15" s="2178">
        <f t="shared" si="5"/>
        <v>16.977869986168741</v>
      </c>
      <c r="H15" s="2178">
        <f t="shared" si="5"/>
        <v>22.33606557377049</v>
      </c>
      <c r="I15" s="2178">
        <f t="shared" si="5"/>
        <v>14.452744397531667</v>
      </c>
      <c r="J15" s="2178">
        <f t="shared" si="5"/>
        <v>13.900184842883547</v>
      </c>
      <c r="K15" s="2178">
        <f t="shared" si="5"/>
        <v>18.449197860962567</v>
      </c>
      <c r="L15" s="2178">
        <f t="shared" si="5"/>
        <v>14.035087719298245</v>
      </c>
      <c r="M15" s="2178">
        <f t="shared" si="5"/>
        <v>13.300927971718956</v>
      </c>
      <c r="N15" s="2178">
        <f t="shared" si="5"/>
        <v>19.536423841059602</v>
      </c>
      <c r="O15" s="2178">
        <f t="shared" si="5"/>
        <v>16.067146282973621</v>
      </c>
      <c r="P15" s="2178">
        <f t="shared" si="5"/>
        <v>15.787119856887299</v>
      </c>
      <c r="Q15" s="2179">
        <f t="shared" si="5"/>
        <v>18.421052631578945</v>
      </c>
    </row>
    <row r="16" spans="1:18" ht="19.5" customHeight="1">
      <c r="A16" s="3899" t="s">
        <v>3230</v>
      </c>
      <c r="B16" s="2160" t="s">
        <v>3223</v>
      </c>
      <c r="C16" s="2180">
        <v>742</v>
      </c>
      <c r="D16" s="2180">
        <v>633</v>
      </c>
      <c r="E16" s="2180">
        <v>109</v>
      </c>
      <c r="F16" s="2180">
        <v>738</v>
      </c>
      <c r="G16" s="2180">
        <v>631</v>
      </c>
      <c r="H16" s="2180">
        <v>107</v>
      </c>
      <c r="I16" s="2180">
        <v>727</v>
      </c>
      <c r="J16" s="2180">
        <v>655</v>
      </c>
      <c r="K16" s="2180">
        <v>72</v>
      </c>
      <c r="L16" s="2180">
        <v>545</v>
      </c>
      <c r="M16" s="2180">
        <v>499</v>
      </c>
      <c r="N16" s="2180">
        <v>46</v>
      </c>
      <c r="O16" s="2180">
        <v>542</v>
      </c>
      <c r="P16" s="2180">
        <v>498</v>
      </c>
      <c r="Q16" s="2180">
        <v>44</v>
      </c>
    </row>
    <row r="17" spans="1:17" ht="19.5" customHeight="1">
      <c r="A17" s="3899"/>
      <c r="B17" s="2160" t="s">
        <v>0</v>
      </c>
      <c r="C17" s="2178">
        <f t="shared" ref="C17:Q17" si="6">C16/C4*100</f>
        <v>20.468965517241379</v>
      </c>
      <c r="D17" s="2178">
        <f t="shared" si="6"/>
        <v>20.659268929503916</v>
      </c>
      <c r="E17" s="2178">
        <f t="shared" si="6"/>
        <v>19.429590017825312</v>
      </c>
      <c r="F17" s="2178">
        <f t="shared" si="6"/>
        <v>21.834319526627219</v>
      </c>
      <c r="G17" s="2178">
        <f t="shared" si="6"/>
        <v>21.81881051175657</v>
      </c>
      <c r="H17" s="2178">
        <f t="shared" si="6"/>
        <v>21.92622950819672</v>
      </c>
      <c r="I17" s="2178">
        <f t="shared" si="6"/>
        <v>23.611562195518026</v>
      </c>
      <c r="J17" s="2178">
        <f t="shared" si="6"/>
        <v>24.214417744916823</v>
      </c>
      <c r="K17" s="2178">
        <f t="shared" si="6"/>
        <v>19.251336898395721</v>
      </c>
      <c r="L17" s="2178">
        <f t="shared" si="6"/>
        <v>21.247563352826511</v>
      </c>
      <c r="M17" s="2178">
        <f t="shared" si="6"/>
        <v>22.050375607600532</v>
      </c>
      <c r="N17" s="2178">
        <f t="shared" si="6"/>
        <v>15.231788079470199</v>
      </c>
      <c r="O17" s="2178">
        <f t="shared" si="6"/>
        <v>21.662669864108715</v>
      </c>
      <c r="P17" s="2178">
        <f t="shared" si="6"/>
        <v>22.271914132379248</v>
      </c>
      <c r="Q17" s="2179">
        <f t="shared" si="6"/>
        <v>16.541353383458645</v>
      </c>
    </row>
    <row r="18" spans="1:17" ht="19.5" customHeight="1">
      <c r="A18" s="3899" t="s">
        <v>3231</v>
      </c>
      <c r="B18" s="2160" t="s">
        <v>3223</v>
      </c>
      <c r="C18" s="2180">
        <v>1050</v>
      </c>
      <c r="D18" s="2180">
        <v>929</v>
      </c>
      <c r="E18" s="2180">
        <v>121</v>
      </c>
      <c r="F18" s="2180">
        <v>940</v>
      </c>
      <c r="G18" s="2180">
        <v>832</v>
      </c>
      <c r="H18" s="2180">
        <v>108</v>
      </c>
      <c r="I18" s="2180">
        <v>925</v>
      </c>
      <c r="J18" s="2180">
        <v>830</v>
      </c>
      <c r="K18" s="2180">
        <v>95</v>
      </c>
      <c r="L18" s="2180">
        <v>830</v>
      </c>
      <c r="M18" s="2180">
        <v>751</v>
      </c>
      <c r="N18" s="2180">
        <v>79</v>
      </c>
      <c r="O18" s="2180">
        <v>716</v>
      </c>
      <c r="P18" s="2180">
        <v>657</v>
      </c>
      <c r="Q18" s="2180">
        <v>59</v>
      </c>
    </row>
    <row r="19" spans="1:17" ht="19.5" customHeight="1">
      <c r="A19" s="3899"/>
      <c r="B19" s="2160" t="s">
        <v>0</v>
      </c>
      <c r="C19" s="2178">
        <f t="shared" ref="C19:Q19" si="7">C18/C4*100</f>
        <v>28.965517241379313</v>
      </c>
      <c r="D19" s="2178">
        <f t="shared" si="7"/>
        <v>30.319843342036553</v>
      </c>
      <c r="E19" s="2178">
        <f t="shared" si="7"/>
        <v>21.568627450980394</v>
      </c>
      <c r="F19" s="2178">
        <f t="shared" si="7"/>
        <v>27.810650887573964</v>
      </c>
      <c r="G19" s="2178">
        <f t="shared" si="7"/>
        <v>28.769017980636235</v>
      </c>
      <c r="H19" s="2178">
        <f t="shared" si="7"/>
        <v>22.131147540983605</v>
      </c>
      <c r="I19" s="2178">
        <f t="shared" si="7"/>
        <v>30.04222150048717</v>
      </c>
      <c r="J19" s="2178">
        <f t="shared" si="7"/>
        <v>30.683918669131238</v>
      </c>
      <c r="K19" s="2178">
        <f t="shared" si="7"/>
        <v>25.401069518716579</v>
      </c>
      <c r="L19" s="2178">
        <f t="shared" si="7"/>
        <v>32.358674463937618</v>
      </c>
      <c r="M19" s="2178">
        <f t="shared" si="7"/>
        <v>33.186036235086171</v>
      </c>
      <c r="N19" s="2178">
        <f t="shared" si="7"/>
        <v>26.158940397350992</v>
      </c>
      <c r="O19" s="2178">
        <f t="shared" si="7"/>
        <v>28.617106314948042</v>
      </c>
      <c r="P19" s="2178">
        <f t="shared" si="7"/>
        <v>29.382826475849733</v>
      </c>
      <c r="Q19" s="2179">
        <f t="shared" si="7"/>
        <v>22.180451127819548</v>
      </c>
    </row>
    <row r="20" spans="1:17" ht="19.5" customHeight="1">
      <c r="A20" s="3899" t="s">
        <v>3232</v>
      </c>
      <c r="B20" s="2160" t="s">
        <v>3223</v>
      </c>
      <c r="C20" s="2180">
        <v>564</v>
      </c>
      <c r="D20" s="2180">
        <v>499</v>
      </c>
      <c r="E20" s="2180">
        <v>65</v>
      </c>
      <c r="F20" s="2180">
        <v>514</v>
      </c>
      <c r="G20" s="2180">
        <v>462</v>
      </c>
      <c r="H20" s="2180">
        <v>52</v>
      </c>
      <c r="I20" s="2180">
        <v>469</v>
      </c>
      <c r="J20" s="2180">
        <v>418</v>
      </c>
      <c r="K20" s="2180">
        <v>51</v>
      </c>
      <c r="L20" s="2180">
        <v>429</v>
      </c>
      <c r="M20" s="2180">
        <v>382</v>
      </c>
      <c r="N20" s="2180">
        <v>47</v>
      </c>
      <c r="O20" s="2180">
        <v>418</v>
      </c>
      <c r="P20" s="2180">
        <v>377</v>
      </c>
      <c r="Q20" s="2180">
        <v>41</v>
      </c>
    </row>
    <row r="21" spans="1:17" ht="19.5" customHeight="1">
      <c r="A21" s="3904"/>
      <c r="B21" s="2165" t="s">
        <v>0</v>
      </c>
      <c r="C21" s="2182">
        <f t="shared" ref="C21:Q21" si="8">C20/C4*100</f>
        <v>15.558620689655173</v>
      </c>
      <c r="D21" s="2182">
        <f t="shared" si="8"/>
        <v>16.285900783289815</v>
      </c>
      <c r="E21" s="2182">
        <f t="shared" si="8"/>
        <v>11.586452762923351</v>
      </c>
      <c r="F21" s="2182">
        <f t="shared" si="8"/>
        <v>15.207100591715978</v>
      </c>
      <c r="G21" s="2182">
        <f t="shared" si="8"/>
        <v>15.975103734439832</v>
      </c>
      <c r="H21" s="2182">
        <f t="shared" si="8"/>
        <v>10.655737704918032</v>
      </c>
      <c r="I21" s="2182">
        <f t="shared" si="8"/>
        <v>15.232218252679441</v>
      </c>
      <c r="J21" s="2182">
        <f t="shared" si="8"/>
        <v>15.452865064695009</v>
      </c>
      <c r="K21" s="2182">
        <f t="shared" si="8"/>
        <v>13.636363636363635</v>
      </c>
      <c r="L21" s="2182">
        <f t="shared" si="8"/>
        <v>16.725146198830409</v>
      </c>
      <c r="M21" s="2182">
        <f t="shared" si="8"/>
        <v>16.880247459125055</v>
      </c>
      <c r="N21" s="2182">
        <f t="shared" si="8"/>
        <v>15.562913907284766</v>
      </c>
      <c r="O21" s="2182">
        <f t="shared" si="8"/>
        <v>16.706634692246205</v>
      </c>
      <c r="P21" s="2182">
        <f t="shared" si="8"/>
        <v>16.86046511627907</v>
      </c>
      <c r="Q21" s="2183">
        <f t="shared" si="8"/>
        <v>15.413533834586465</v>
      </c>
    </row>
    <row r="22" spans="1:17" s="2170" customFormat="1" ht="18" customHeight="1">
      <c r="A22" s="2170" t="s">
        <v>997</v>
      </c>
      <c r="C22" s="2184"/>
      <c r="D22" s="2184"/>
      <c r="E22" s="2184"/>
      <c r="F22" s="2184"/>
      <c r="G22" s="2184"/>
      <c r="H22" s="2184"/>
      <c r="K22" s="2167"/>
    </row>
    <row r="23" spans="1:17" s="2170" customFormat="1" ht="14.25">
      <c r="A23" s="2167" t="s">
        <v>3233</v>
      </c>
      <c r="F23" s="2185"/>
      <c r="G23" s="2186"/>
    </row>
    <row r="24" spans="1:17">
      <c r="C24" s="2187"/>
      <c r="D24" s="2187"/>
      <c r="E24" s="2187"/>
      <c r="F24" s="2187"/>
      <c r="G24" s="2187"/>
      <c r="H24" s="2187"/>
    </row>
  </sheetData>
  <mergeCells count="16">
    <mergeCell ref="A16:A17"/>
    <mergeCell ref="A18:A19"/>
    <mergeCell ref="A20:A21"/>
    <mergeCell ref="A4:A5"/>
    <mergeCell ref="A6:A7"/>
    <mergeCell ref="A8:A9"/>
    <mergeCell ref="A10:A11"/>
    <mergeCell ref="A12:A13"/>
    <mergeCell ref="A14:A15"/>
    <mergeCell ref="A1:Q1"/>
    <mergeCell ref="A2:B3"/>
    <mergeCell ref="C2:E2"/>
    <mergeCell ref="F2:H2"/>
    <mergeCell ref="I2:K2"/>
    <mergeCell ref="L2:N2"/>
    <mergeCell ref="O2:Q2"/>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54"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Q23"/>
  <sheetViews>
    <sheetView showGridLines="0" zoomScaleNormal="100" workbookViewId="0">
      <selection activeCell="B18" sqref="B18:D18"/>
    </sheetView>
  </sheetViews>
  <sheetFormatPr defaultRowHeight="15.75"/>
  <cols>
    <col min="1" max="1" width="14.125" style="2156" customWidth="1"/>
    <col min="2" max="2" width="6.375" style="2156" customWidth="1"/>
    <col min="3" max="17" width="8.625" style="2156" customWidth="1"/>
    <col min="18" max="256" width="9" style="2156"/>
    <col min="257" max="257" width="21.375" style="2156" customWidth="1"/>
    <col min="258" max="258" width="6.375" style="2156" customWidth="1"/>
    <col min="259" max="267" width="6.75" style="2156" customWidth="1"/>
    <col min="268" max="273" width="7.125" style="2156" customWidth="1"/>
    <col min="274" max="512" width="9" style="2156"/>
    <col min="513" max="513" width="21.375" style="2156" customWidth="1"/>
    <col min="514" max="514" width="6.375" style="2156" customWidth="1"/>
    <col min="515" max="523" width="6.75" style="2156" customWidth="1"/>
    <col min="524" max="529" width="7.125" style="2156" customWidth="1"/>
    <col min="530" max="768" width="9" style="2156"/>
    <col min="769" max="769" width="21.375" style="2156" customWidth="1"/>
    <col min="770" max="770" width="6.375" style="2156" customWidth="1"/>
    <col min="771" max="779" width="6.75" style="2156" customWidth="1"/>
    <col min="780" max="785" width="7.125" style="2156" customWidth="1"/>
    <col min="786" max="1024" width="9" style="2156"/>
    <col min="1025" max="1025" width="21.375" style="2156" customWidth="1"/>
    <col min="1026" max="1026" width="6.375" style="2156" customWidth="1"/>
    <col min="1027" max="1035" width="6.75" style="2156" customWidth="1"/>
    <col min="1036" max="1041" width="7.125" style="2156" customWidth="1"/>
    <col min="1042" max="1280" width="9" style="2156"/>
    <col min="1281" max="1281" width="21.375" style="2156" customWidth="1"/>
    <col min="1282" max="1282" width="6.375" style="2156" customWidth="1"/>
    <col min="1283" max="1291" width="6.75" style="2156" customWidth="1"/>
    <col min="1292" max="1297" width="7.125" style="2156" customWidth="1"/>
    <col min="1298" max="1536" width="9" style="2156"/>
    <col min="1537" max="1537" width="21.375" style="2156" customWidth="1"/>
    <col min="1538" max="1538" width="6.375" style="2156" customWidth="1"/>
    <col min="1539" max="1547" width="6.75" style="2156" customWidth="1"/>
    <col min="1548" max="1553" width="7.125" style="2156" customWidth="1"/>
    <col min="1554" max="1792" width="9" style="2156"/>
    <col min="1793" max="1793" width="21.375" style="2156" customWidth="1"/>
    <col min="1794" max="1794" width="6.375" style="2156" customWidth="1"/>
    <col min="1795" max="1803" width="6.75" style="2156" customWidth="1"/>
    <col min="1804" max="1809" width="7.125" style="2156" customWidth="1"/>
    <col min="1810" max="2048" width="9" style="2156"/>
    <col min="2049" max="2049" width="21.375" style="2156" customWidth="1"/>
    <col min="2050" max="2050" width="6.375" style="2156" customWidth="1"/>
    <col min="2051" max="2059" width="6.75" style="2156" customWidth="1"/>
    <col min="2060" max="2065" width="7.125" style="2156" customWidth="1"/>
    <col min="2066" max="2304" width="9" style="2156"/>
    <col min="2305" max="2305" width="21.375" style="2156" customWidth="1"/>
    <col min="2306" max="2306" width="6.375" style="2156" customWidth="1"/>
    <col min="2307" max="2315" width="6.75" style="2156" customWidth="1"/>
    <col min="2316" max="2321" width="7.125" style="2156" customWidth="1"/>
    <col min="2322" max="2560" width="9" style="2156"/>
    <col min="2561" max="2561" width="21.375" style="2156" customWidth="1"/>
    <col min="2562" max="2562" width="6.375" style="2156" customWidth="1"/>
    <col min="2563" max="2571" width="6.75" style="2156" customWidth="1"/>
    <col min="2572" max="2577" width="7.125" style="2156" customWidth="1"/>
    <col min="2578" max="2816" width="9" style="2156"/>
    <col min="2817" max="2817" width="21.375" style="2156" customWidth="1"/>
    <col min="2818" max="2818" width="6.375" style="2156" customWidth="1"/>
    <col min="2819" max="2827" width="6.75" style="2156" customWidth="1"/>
    <col min="2828" max="2833" width="7.125" style="2156" customWidth="1"/>
    <col min="2834" max="3072" width="9" style="2156"/>
    <col min="3073" max="3073" width="21.375" style="2156" customWidth="1"/>
    <col min="3074" max="3074" width="6.375" style="2156" customWidth="1"/>
    <col min="3075" max="3083" width="6.75" style="2156" customWidth="1"/>
    <col min="3084" max="3089" width="7.125" style="2156" customWidth="1"/>
    <col min="3090" max="3328" width="9" style="2156"/>
    <col min="3329" max="3329" width="21.375" style="2156" customWidth="1"/>
    <col min="3330" max="3330" width="6.375" style="2156" customWidth="1"/>
    <col min="3331" max="3339" width="6.75" style="2156" customWidth="1"/>
    <col min="3340" max="3345" width="7.125" style="2156" customWidth="1"/>
    <col min="3346" max="3584" width="9" style="2156"/>
    <col min="3585" max="3585" width="21.375" style="2156" customWidth="1"/>
    <col min="3586" max="3586" width="6.375" style="2156" customWidth="1"/>
    <col min="3587" max="3595" width="6.75" style="2156" customWidth="1"/>
    <col min="3596" max="3601" width="7.125" style="2156" customWidth="1"/>
    <col min="3602" max="3840" width="9" style="2156"/>
    <col min="3841" max="3841" width="21.375" style="2156" customWidth="1"/>
    <col min="3842" max="3842" width="6.375" style="2156" customWidth="1"/>
    <col min="3843" max="3851" width="6.75" style="2156" customWidth="1"/>
    <col min="3852" max="3857" width="7.125" style="2156" customWidth="1"/>
    <col min="3858" max="4096" width="9" style="2156"/>
    <col min="4097" max="4097" width="21.375" style="2156" customWidth="1"/>
    <col min="4098" max="4098" width="6.375" style="2156" customWidth="1"/>
    <col min="4099" max="4107" width="6.75" style="2156" customWidth="1"/>
    <col min="4108" max="4113" width="7.125" style="2156" customWidth="1"/>
    <col min="4114" max="4352" width="9" style="2156"/>
    <col min="4353" max="4353" width="21.375" style="2156" customWidth="1"/>
    <col min="4354" max="4354" width="6.375" style="2156" customWidth="1"/>
    <col min="4355" max="4363" width="6.75" style="2156" customWidth="1"/>
    <col min="4364" max="4369" width="7.125" style="2156" customWidth="1"/>
    <col min="4370" max="4608" width="9" style="2156"/>
    <col min="4609" max="4609" width="21.375" style="2156" customWidth="1"/>
    <col min="4610" max="4610" width="6.375" style="2156" customWidth="1"/>
    <col min="4611" max="4619" width="6.75" style="2156" customWidth="1"/>
    <col min="4620" max="4625" width="7.125" style="2156" customWidth="1"/>
    <col min="4626" max="4864" width="9" style="2156"/>
    <col min="4865" max="4865" width="21.375" style="2156" customWidth="1"/>
    <col min="4866" max="4866" width="6.375" style="2156" customWidth="1"/>
    <col min="4867" max="4875" width="6.75" style="2156" customWidth="1"/>
    <col min="4876" max="4881" width="7.125" style="2156" customWidth="1"/>
    <col min="4882" max="5120" width="9" style="2156"/>
    <col min="5121" max="5121" width="21.375" style="2156" customWidth="1"/>
    <col min="5122" max="5122" width="6.375" style="2156" customWidth="1"/>
    <col min="5123" max="5131" width="6.75" style="2156" customWidth="1"/>
    <col min="5132" max="5137" width="7.125" style="2156" customWidth="1"/>
    <col min="5138" max="5376" width="9" style="2156"/>
    <col min="5377" max="5377" width="21.375" style="2156" customWidth="1"/>
    <col min="5378" max="5378" width="6.375" style="2156" customWidth="1"/>
    <col min="5379" max="5387" width="6.75" style="2156" customWidth="1"/>
    <col min="5388" max="5393" width="7.125" style="2156" customWidth="1"/>
    <col min="5394" max="5632" width="9" style="2156"/>
    <col min="5633" max="5633" width="21.375" style="2156" customWidth="1"/>
    <col min="5634" max="5634" width="6.375" style="2156" customWidth="1"/>
    <col min="5635" max="5643" width="6.75" style="2156" customWidth="1"/>
    <col min="5644" max="5649" width="7.125" style="2156" customWidth="1"/>
    <col min="5650" max="5888" width="9" style="2156"/>
    <col min="5889" max="5889" width="21.375" style="2156" customWidth="1"/>
    <col min="5890" max="5890" width="6.375" style="2156" customWidth="1"/>
    <col min="5891" max="5899" width="6.75" style="2156" customWidth="1"/>
    <col min="5900" max="5905" width="7.125" style="2156" customWidth="1"/>
    <col min="5906" max="6144" width="9" style="2156"/>
    <col min="6145" max="6145" width="21.375" style="2156" customWidth="1"/>
    <col min="6146" max="6146" width="6.375" style="2156" customWidth="1"/>
    <col min="6147" max="6155" width="6.75" style="2156" customWidth="1"/>
    <col min="6156" max="6161" width="7.125" style="2156" customWidth="1"/>
    <col min="6162" max="6400" width="9" style="2156"/>
    <col min="6401" max="6401" width="21.375" style="2156" customWidth="1"/>
    <col min="6402" max="6402" width="6.375" style="2156" customWidth="1"/>
    <col min="6403" max="6411" width="6.75" style="2156" customWidth="1"/>
    <col min="6412" max="6417" width="7.125" style="2156" customWidth="1"/>
    <col min="6418" max="6656" width="9" style="2156"/>
    <col min="6657" max="6657" width="21.375" style="2156" customWidth="1"/>
    <col min="6658" max="6658" width="6.375" style="2156" customWidth="1"/>
    <col min="6659" max="6667" width="6.75" style="2156" customWidth="1"/>
    <col min="6668" max="6673" width="7.125" style="2156" customWidth="1"/>
    <col min="6674" max="6912" width="9" style="2156"/>
    <col min="6913" max="6913" width="21.375" style="2156" customWidth="1"/>
    <col min="6914" max="6914" width="6.375" style="2156" customWidth="1"/>
    <col min="6915" max="6923" width="6.75" style="2156" customWidth="1"/>
    <col min="6924" max="6929" width="7.125" style="2156" customWidth="1"/>
    <col min="6930" max="7168" width="9" style="2156"/>
    <col min="7169" max="7169" width="21.375" style="2156" customWidth="1"/>
    <col min="7170" max="7170" width="6.375" style="2156" customWidth="1"/>
    <col min="7171" max="7179" width="6.75" style="2156" customWidth="1"/>
    <col min="7180" max="7185" width="7.125" style="2156" customWidth="1"/>
    <col min="7186" max="7424" width="9" style="2156"/>
    <col min="7425" max="7425" width="21.375" style="2156" customWidth="1"/>
    <col min="7426" max="7426" width="6.375" style="2156" customWidth="1"/>
    <col min="7427" max="7435" width="6.75" style="2156" customWidth="1"/>
    <col min="7436" max="7441" width="7.125" style="2156" customWidth="1"/>
    <col min="7442" max="7680" width="9" style="2156"/>
    <col min="7681" max="7681" width="21.375" style="2156" customWidth="1"/>
    <col min="7682" max="7682" width="6.375" style="2156" customWidth="1"/>
    <col min="7683" max="7691" width="6.75" style="2156" customWidth="1"/>
    <col min="7692" max="7697" width="7.125" style="2156" customWidth="1"/>
    <col min="7698" max="7936" width="9" style="2156"/>
    <col min="7937" max="7937" width="21.375" style="2156" customWidth="1"/>
    <col min="7938" max="7938" width="6.375" style="2156" customWidth="1"/>
    <col min="7939" max="7947" width="6.75" style="2156" customWidth="1"/>
    <col min="7948" max="7953" width="7.125" style="2156" customWidth="1"/>
    <col min="7954" max="8192" width="9" style="2156"/>
    <col min="8193" max="8193" width="21.375" style="2156" customWidth="1"/>
    <col min="8194" max="8194" width="6.375" style="2156" customWidth="1"/>
    <col min="8195" max="8203" width="6.75" style="2156" customWidth="1"/>
    <col min="8204" max="8209" width="7.125" style="2156" customWidth="1"/>
    <col min="8210" max="8448" width="9" style="2156"/>
    <col min="8449" max="8449" width="21.375" style="2156" customWidth="1"/>
    <col min="8450" max="8450" width="6.375" style="2156" customWidth="1"/>
    <col min="8451" max="8459" width="6.75" style="2156" customWidth="1"/>
    <col min="8460" max="8465" width="7.125" style="2156" customWidth="1"/>
    <col min="8466" max="8704" width="9" style="2156"/>
    <col min="8705" max="8705" width="21.375" style="2156" customWidth="1"/>
    <col min="8706" max="8706" width="6.375" style="2156" customWidth="1"/>
    <col min="8707" max="8715" width="6.75" style="2156" customWidth="1"/>
    <col min="8716" max="8721" width="7.125" style="2156" customWidth="1"/>
    <col min="8722" max="8960" width="9" style="2156"/>
    <col min="8961" max="8961" width="21.375" style="2156" customWidth="1"/>
    <col min="8962" max="8962" width="6.375" style="2156" customWidth="1"/>
    <col min="8963" max="8971" width="6.75" style="2156" customWidth="1"/>
    <col min="8972" max="8977" width="7.125" style="2156" customWidth="1"/>
    <col min="8978" max="9216" width="9" style="2156"/>
    <col min="9217" max="9217" width="21.375" style="2156" customWidth="1"/>
    <col min="9218" max="9218" width="6.375" style="2156" customWidth="1"/>
    <col min="9219" max="9227" width="6.75" style="2156" customWidth="1"/>
    <col min="9228" max="9233" width="7.125" style="2156" customWidth="1"/>
    <col min="9234" max="9472" width="9" style="2156"/>
    <col min="9473" max="9473" width="21.375" style="2156" customWidth="1"/>
    <col min="9474" max="9474" width="6.375" style="2156" customWidth="1"/>
    <col min="9475" max="9483" width="6.75" style="2156" customWidth="1"/>
    <col min="9484" max="9489" width="7.125" style="2156" customWidth="1"/>
    <col min="9490" max="9728" width="9" style="2156"/>
    <col min="9729" max="9729" width="21.375" style="2156" customWidth="1"/>
    <col min="9730" max="9730" width="6.375" style="2156" customWidth="1"/>
    <col min="9731" max="9739" width="6.75" style="2156" customWidth="1"/>
    <col min="9740" max="9745" width="7.125" style="2156" customWidth="1"/>
    <col min="9746" max="9984" width="9" style="2156"/>
    <col min="9985" max="9985" width="21.375" style="2156" customWidth="1"/>
    <col min="9986" max="9986" width="6.375" style="2156" customWidth="1"/>
    <col min="9987" max="9995" width="6.75" style="2156" customWidth="1"/>
    <col min="9996" max="10001" width="7.125" style="2156" customWidth="1"/>
    <col min="10002" max="10240" width="9" style="2156"/>
    <col min="10241" max="10241" width="21.375" style="2156" customWidth="1"/>
    <col min="10242" max="10242" width="6.375" style="2156" customWidth="1"/>
    <col min="10243" max="10251" width="6.75" style="2156" customWidth="1"/>
    <col min="10252" max="10257" width="7.125" style="2156" customWidth="1"/>
    <col min="10258" max="10496" width="9" style="2156"/>
    <col min="10497" max="10497" width="21.375" style="2156" customWidth="1"/>
    <col min="10498" max="10498" width="6.375" style="2156" customWidth="1"/>
    <col min="10499" max="10507" width="6.75" style="2156" customWidth="1"/>
    <col min="10508" max="10513" width="7.125" style="2156" customWidth="1"/>
    <col min="10514" max="10752" width="9" style="2156"/>
    <col min="10753" max="10753" width="21.375" style="2156" customWidth="1"/>
    <col min="10754" max="10754" width="6.375" style="2156" customWidth="1"/>
    <col min="10755" max="10763" width="6.75" style="2156" customWidth="1"/>
    <col min="10764" max="10769" width="7.125" style="2156" customWidth="1"/>
    <col min="10770" max="11008" width="9" style="2156"/>
    <col min="11009" max="11009" width="21.375" style="2156" customWidth="1"/>
    <col min="11010" max="11010" width="6.375" style="2156" customWidth="1"/>
    <col min="11011" max="11019" width="6.75" style="2156" customWidth="1"/>
    <col min="11020" max="11025" width="7.125" style="2156" customWidth="1"/>
    <col min="11026" max="11264" width="9" style="2156"/>
    <col min="11265" max="11265" width="21.375" style="2156" customWidth="1"/>
    <col min="11266" max="11266" width="6.375" style="2156" customWidth="1"/>
    <col min="11267" max="11275" width="6.75" style="2156" customWidth="1"/>
    <col min="11276" max="11281" width="7.125" style="2156" customWidth="1"/>
    <col min="11282" max="11520" width="9" style="2156"/>
    <col min="11521" max="11521" width="21.375" style="2156" customWidth="1"/>
    <col min="11522" max="11522" width="6.375" style="2156" customWidth="1"/>
    <col min="11523" max="11531" width="6.75" style="2156" customWidth="1"/>
    <col min="11532" max="11537" width="7.125" style="2156" customWidth="1"/>
    <col min="11538" max="11776" width="9" style="2156"/>
    <col min="11777" max="11777" width="21.375" style="2156" customWidth="1"/>
    <col min="11778" max="11778" width="6.375" style="2156" customWidth="1"/>
    <col min="11779" max="11787" width="6.75" style="2156" customWidth="1"/>
    <col min="11788" max="11793" width="7.125" style="2156" customWidth="1"/>
    <col min="11794" max="12032" width="9" style="2156"/>
    <col min="12033" max="12033" width="21.375" style="2156" customWidth="1"/>
    <col min="12034" max="12034" width="6.375" style="2156" customWidth="1"/>
    <col min="12035" max="12043" width="6.75" style="2156" customWidth="1"/>
    <col min="12044" max="12049" width="7.125" style="2156" customWidth="1"/>
    <col min="12050" max="12288" width="9" style="2156"/>
    <col min="12289" max="12289" width="21.375" style="2156" customWidth="1"/>
    <col min="12290" max="12290" width="6.375" style="2156" customWidth="1"/>
    <col min="12291" max="12299" width="6.75" style="2156" customWidth="1"/>
    <col min="12300" max="12305" width="7.125" style="2156" customWidth="1"/>
    <col min="12306" max="12544" width="9" style="2156"/>
    <col min="12545" max="12545" width="21.375" style="2156" customWidth="1"/>
    <col min="12546" max="12546" width="6.375" style="2156" customWidth="1"/>
    <col min="12547" max="12555" width="6.75" style="2156" customWidth="1"/>
    <col min="12556" max="12561" width="7.125" style="2156" customWidth="1"/>
    <col min="12562" max="12800" width="9" style="2156"/>
    <col min="12801" max="12801" width="21.375" style="2156" customWidth="1"/>
    <col min="12802" max="12802" width="6.375" style="2156" customWidth="1"/>
    <col min="12803" max="12811" width="6.75" style="2156" customWidth="1"/>
    <col min="12812" max="12817" width="7.125" style="2156" customWidth="1"/>
    <col min="12818" max="13056" width="9" style="2156"/>
    <col min="13057" max="13057" width="21.375" style="2156" customWidth="1"/>
    <col min="13058" max="13058" width="6.375" style="2156" customWidth="1"/>
    <col min="13059" max="13067" width="6.75" style="2156" customWidth="1"/>
    <col min="13068" max="13073" width="7.125" style="2156" customWidth="1"/>
    <col min="13074" max="13312" width="9" style="2156"/>
    <col min="13313" max="13313" width="21.375" style="2156" customWidth="1"/>
    <col min="13314" max="13314" width="6.375" style="2156" customWidth="1"/>
    <col min="13315" max="13323" width="6.75" style="2156" customWidth="1"/>
    <col min="13324" max="13329" width="7.125" style="2156" customWidth="1"/>
    <col min="13330" max="13568" width="9" style="2156"/>
    <col min="13569" max="13569" width="21.375" style="2156" customWidth="1"/>
    <col min="13570" max="13570" width="6.375" style="2156" customWidth="1"/>
    <col min="13571" max="13579" width="6.75" style="2156" customWidth="1"/>
    <col min="13580" max="13585" width="7.125" style="2156" customWidth="1"/>
    <col min="13586" max="13824" width="9" style="2156"/>
    <col min="13825" max="13825" width="21.375" style="2156" customWidth="1"/>
    <col min="13826" max="13826" width="6.375" style="2156" customWidth="1"/>
    <col min="13827" max="13835" width="6.75" style="2156" customWidth="1"/>
    <col min="13836" max="13841" width="7.125" style="2156" customWidth="1"/>
    <col min="13842" max="14080" width="9" style="2156"/>
    <col min="14081" max="14081" width="21.375" style="2156" customWidth="1"/>
    <col min="14082" max="14082" width="6.375" style="2156" customWidth="1"/>
    <col min="14083" max="14091" width="6.75" style="2156" customWidth="1"/>
    <col min="14092" max="14097" width="7.125" style="2156" customWidth="1"/>
    <col min="14098" max="14336" width="9" style="2156"/>
    <col min="14337" max="14337" width="21.375" style="2156" customWidth="1"/>
    <col min="14338" max="14338" width="6.375" style="2156" customWidth="1"/>
    <col min="14339" max="14347" width="6.75" style="2156" customWidth="1"/>
    <col min="14348" max="14353" width="7.125" style="2156" customWidth="1"/>
    <col min="14354" max="14592" width="9" style="2156"/>
    <col min="14593" max="14593" width="21.375" style="2156" customWidth="1"/>
    <col min="14594" max="14594" width="6.375" style="2156" customWidth="1"/>
    <col min="14595" max="14603" width="6.75" style="2156" customWidth="1"/>
    <col min="14604" max="14609" width="7.125" style="2156" customWidth="1"/>
    <col min="14610" max="14848" width="9" style="2156"/>
    <col min="14849" max="14849" width="21.375" style="2156" customWidth="1"/>
    <col min="14850" max="14850" width="6.375" style="2156" customWidth="1"/>
    <col min="14851" max="14859" width="6.75" style="2156" customWidth="1"/>
    <col min="14860" max="14865" width="7.125" style="2156" customWidth="1"/>
    <col min="14866" max="15104" width="9" style="2156"/>
    <col min="15105" max="15105" width="21.375" style="2156" customWidth="1"/>
    <col min="15106" max="15106" width="6.375" style="2156" customWidth="1"/>
    <col min="15107" max="15115" width="6.75" style="2156" customWidth="1"/>
    <col min="15116" max="15121" width="7.125" style="2156" customWidth="1"/>
    <col min="15122" max="15360" width="9" style="2156"/>
    <col min="15361" max="15361" width="21.375" style="2156" customWidth="1"/>
    <col min="15362" max="15362" width="6.375" style="2156" customWidth="1"/>
    <col min="15363" max="15371" width="6.75" style="2156" customWidth="1"/>
    <col min="15372" max="15377" width="7.125" style="2156" customWidth="1"/>
    <col min="15378" max="15616" width="9" style="2156"/>
    <col min="15617" max="15617" width="21.375" style="2156" customWidth="1"/>
    <col min="15618" max="15618" width="6.375" style="2156" customWidth="1"/>
    <col min="15619" max="15627" width="6.75" style="2156" customWidth="1"/>
    <col min="15628" max="15633" width="7.125" style="2156" customWidth="1"/>
    <col min="15634" max="15872" width="9" style="2156"/>
    <col min="15873" max="15873" width="21.375" style="2156" customWidth="1"/>
    <col min="15874" max="15874" width="6.375" style="2156" customWidth="1"/>
    <col min="15875" max="15883" width="6.75" style="2156" customWidth="1"/>
    <col min="15884" max="15889" width="7.125" style="2156" customWidth="1"/>
    <col min="15890" max="16128" width="9" style="2156"/>
    <col min="16129" max="16129" width="21.375" style="2156" customWidth="1"/>
    <col min="16130" max="16130" width="6.375" style="2156" customWidth="1"/>
    <col min="16131" max="16139" width="6.75" style="2156" customWidth="1"/>
    <col min="16140" max="16145" width="7.125" style="2156" customWidth="1"/>
    <col min="16146" max="16384" width="9" style="2156"/>
  </cols>
  <sheetData>
    <row r="1" spans="1:17" s="2153" customFormat="1" ht="25.35" customHeight="1">
      <c r="A1" s="3895" t="s">
        <v>3234</v>
      </c>
      <c r="B1" s="3895"/>
      <c r="C1" s="3895"/>
      <c r="D1" s="3895"/>
      <c r="E1" s="3895"/>
      <c r="F1" s="3895"/>
      <c r="G1" s="3895"/>
      <c r="H1" s="3895"/>
      <c r="I1" s="3895"/>
      <c r="J1" s="3895"/>
      <c r="K1" s="3895"/>
      <c r="L1" s="3895"/>
      <c r="M1" s="3895"/>
      <c r="N1" s="3895"/>
      <c r="O1" s="3896"/>
      <c r="P1" s="3896"/>
      <c r="Q1" s="3896"/>
    </row>
    <row r="2" spans="1:17" ht="36.6" customHeight="1">
      <c r="A2" s="3908"/>
      <c r="B2" s="3909"/>
      <c r="C2" s="3912" t="s">
        <v>3198</v>
      </c>
      <c r="D2" s="3912"/>
      <c r="E2" s="3912"/>
      <c r="F2" s="3913" t="s">
        <v>3218</v>
      </c>
      <c r="G2" s="3912"/>
      <c r="H2" s="3912"/>
      <c r="I2" s="3913" t="s">
        <v>2364</v>
      </c>
      <c r="J2" s="3912"/>
      <c r="K2" s="3912"/>
      <c r="L2" s="3913" t="s">
        <v>3201</v>
      </c>
      <c r="M2" s="3912"/>
      <c r="N2" s="3912"/>
      <c r="O2" s="3913" t="s">
        <v>3202</v>
      </c>
      <c r="P2" s="3912"/>
      <c r="Q2" s="3912"/>
    </row>
    <row r="3" spans="1:17" ht="37.35" customHeight="1">
      <c r="A3" s="3910"/>
      <c r="B3" s="3911"/>
      <c r="C3" s="2175" t="s">
        <v>3219</v>
      </c>
      <c r="D3" s="2155" t="s">
        <v>3220</v>
      </c>
      <c r="E3" s="2155" t="s">
        <v>3235</v>
      </c>
      <c r="F3" s="2176" t="s">
        <v>3219</v>
      </c>
      <c r="G3" s="2155" t="s">
        <v>3236</v>
      </c>
      <c r="H3" s="2155" t="s">
        <v>3235</v>
      </c>
      <c r="I3" s="2176" t="s">
        <v>3219</v>
      </c>
      <c r="J3" s="2155" t="s">
        <v>3220</v>
      </c>
      <c r="K3" s="2155" t="s">
        <v>3221</v>
      </c>
      <c r="L3" s="2176" t="s">
        <v>3219</v>
      </c>
      <c r="M3" s="2155" t="s">
        <v>3236</v>
      </c>
      <c r="N3" s="2155" t="s">
        <v>3235</v>
      </c>
      <c r="O3" s="2176" t="s">
        <v>3237</v>
      </c>
      <c r="P3" s="2155" t="s">
        <v>3220</v>
      </c>
      <c r="Q3" s="2155" t="s">
        <v>3235</v>
      </c>
    </row>
    <row r="4" spans="1:17" ht="26.25" customHeight="1">
      <c r="A4" s="3899" t="s">
        <v>3238</v>
      </c>
      <c r="B4" s="2160" t="s">
        <v>3223</v>
      </c>
      <c r="C4" s="2188">
        <f t="shared" ref="C4:Q5" si="0">SUM(C6,C8,C10,C12,C14,C16,C18)</f>
        <v>3625</v>
      </c>
      <c r="D4" s="2188">
        <f t="shared" si="0"/>
        <v>3064</v>
      </c>
      <c r="E4" s="2188">
        <f t="shared" si="0"/>
        <v>561</v>
      </c>
      <c r="F4" s="2188">
        <f t="shared" si="0"/>
        <v>3380</v>
      </c>
      <c r="G4" s="2188">
        <f t="shared" si="0"/>
        <v>2892</v>
      </c>
      <c r="H4" s="2188">
        <f t="shared" si="0"/>
        <v>488</v>
      </c>
      <c r="I4" s="2188">
        <f t="shared" si="0"/>
        <v>3079</v>
      </c>
      <c r="J4" s="2188">
        <f t="shared" si="0"/>
        <v>2705</v>
      </c>
      <c r="K4" s="2188">
        <f t="shared" si="0"/>
        <v>374</v>
      </c>
      <c r="L4" s="2188">
        <f t="shared" si="0"/>
        <v>2565</v>
      </c>
      <c r="M4" s="2188">
        <f t="shared" si="0"/>
        <v>2263</v>
      </c>
      <c r="N4" s="2188">
        <f t="shared" si="0"/>
        <v>302</v>
      </c>
      <c r="O4" s="2188">
        <f t="shared" si="0"/>
        <v>2502</v>
      </c>
      <c r="P4" s="2188">
        <f t="shared" si="0"/>
        <v>2236</v>
      </c>
      <c r="Q4" s="2189">
        <f t="shared" si="0"/>
        <v>266</v>
      </c>
    </row>
    <row r="5" spans="1:17" s="2192" customFormat="1" ht="26.25" customHeight="1">
      <c r="A5" s="3900"/>
      <c r="B5" s="2160" t="s">
        <v>0</v>
      </c>
      <c r="C5" s="2190">
        <f t="shared" si="0"/>
        <v>99.999999999999986</v>
      </c>
      <c r="D5" s="2190">
        <f t="shared" si="0"/>
        <v>100</v>
      </c>
      <c r="E5" s="2190">
        <f t="shared" si="0"/>
        <v>100.00000000000001</v>
      </c>
      <c r="F5" s="2190">
        <f t="shared" si="0"/>
        <v>100</v>
      </c>
      <c r="G5" s="2190">
        <f t="shared" si="0"/>
        <v>100.00000000000001</v>
      </c>
      <c r="H5" s="2190">
        <f t="shared" si="0"/>
        <v>100</v>
      </c>
      <c r="I5" s="2190">
        <f t="shared" si="0"/>
        <v>100</v>
      </c>
      <c r="J5" s="2190">
        <f t="shared" si="0"/>
        <v>100</v>
      </c>
      <c r="K5" s="2190">
        <f t="shared" si="0"/>
        <v>99.999999999999986</v>
      </c>
      <c r="L5" s="2190">
        <f t="shared" si="0"/>
        <v>100</v>
      </c>
      <c r="M5" s="2190">
        <f t="shared" si="0"/>
        <v>99.999999999999986</v>
      </c>
      <c r="N5" s="2190">
        <f t="shared" si="0"/>
        <v>99.999999999999986</v>
      </c>
      <c r="O5" s="2190">
        <f t="shared" si="0"/>
        <v>100</v>
      </c>
      <c r="P5" s="2190">
        <f t="shared" si="0"/>
        <v>99.999999999999986</v>
      </c>
      <c r="Q5" s="2191">
        <f t="shared" si="0"/>
        <v>100</v>
      </c>
    </row>
    <row r="6" spans="1:17" ht="26.25" customHeight="1">
      <c r="A6" s="3899" t="s">
        <v>3239</v>
      </c>
      <c r="B6" s="2160" t="s">
        <v>3240</v>
      </c>
      <c r="C6" s="2188" t="s">
        <v>1</v>
      </c>
      <c r="D6" s="2188" t="s">
        <v>1</v>
      </c>
      <c r="E6" s="2188" t="s">
        <v>1</v>
      </c>
      <c r="F6" s="2188" t="s">
        <v>1</v>
      </c>
      <c r="G6" s="2188" t="s">
        <v>1</v>
      </c>
      <c r="H6" s="2188" t="s">
        <v>1</v>
      </c>
      <c r="I6" s="2188" t="s">
        <v>1</v>
      </c>
      <c r="J6" s="2188" t="s">
        <v>1</v>
      </c>
      <c r="K6" s="2188" t="s">
        <v>1</v>
      </c>
      <c r="L6" s="2188" t="s">
        <v>1</v>
      </c>
      <c r="M6" s="2188" t="s">
        <v>1</v>
      </c>
      <c r="N6" s="2188" t="s">
        <v>1</v>
      </c>
      <c r="O6" s="2188">
        <v>1</v>
      </c>
      <c r="P6" s="2188">
        <v>1</v>
      </c>
      <c r="Q6" s="2193" t="s">
        <v>1</v>
      </c>
    </row>
    <row r="7" spans="1:17" ht="26.25" customHeight="1">
      <c r="A7" s="3900"/>
      <c r="B7" s="2160" t="s">
        <v>0</v>
      </c>
      <c r="C7" s="2190" t="s">
        <v>3225</v>
      </c>
      <c r="D7" s="2190" t="s">
        <v>3241</v>
      </c>
      <c r="E7" s="2190" t="s">
        <v>3225</v>
      </c>
      <c r="F7" s="2190" t="s">
        <v>3242</v>
      </c>
      <c r="G7" s="2190" t="s">
        <v>3242</v>
      </c>
      <c r="H7" s="2190" t="s">
        <v>3225</v>
      </c>
      <c r="I7" s="2190" t="s">
        <v>3242</v>
      </c>
      <c r="J7" s="2190" t="s">
        <v>3241</v>
      </c>
      <c r="K7" s="2190" t="s">
        <v>3225</v>
      </c>
      <c r="L7" s="2190" t="s">
        <v>3225</v>
      </c>
      <c r="M7" s="2190" t="s">
        <v>3242</v>
      </c>
      <c r="N7" s="2190" t="s">
        <v>3225</v>
      </c>
      <c r="O7" s="2190">
        <f>O6/O4*100</f>
        <v>3.9968025579536368E-2</v>
      </c>
      <c r="P7" s="2190">
        <f>P6/P4*100</f>
        <v>4.4722719141323794E-2</v>
      </c>
      <c r="Q7" s="2191" t="s">
        <v>3242</v>
      </c>
    </row>
    <row r="8" spans="1:17" ht="26.25" customHeight="1">
      <c r="A8" s="3899" t="s">
        <v>3243</v>
      </c>
      <c r="B8" s="2160" t="s">
        <v>3244</v>
      </c>
      <c r="C8" s="2188">
        <v>71</v>
      </c>
      <c r="D8" s="2188">
        <v>54</v>
      </c>
      <c r="E8" s="2188">
        <v>17</v>
      </c>
      <c r="F8" s="2188">
        <v>45</v>
      </c>
      <c r="G8" s="2188">
        <v>36</v>
      </c>
      <c r="H8" s="2188">
        <v>9</v>
      </c>
      <c r="I8" s="2188">
        <v>75</v>
      </c>
      <c r="J8" s="2188">
        <v>70</v>
      </c>
      <c r="K8" s="2188">
        <v>5</v>
      </c>
      <c r="L8" s="2188">
        <v>74</v>
      </c>
      <c r="M8" s="2188">
        <v>66</v>
      </c>
      <c r="N8" s="2188">
        <v>8</v>
      </c>
      <c r="O8" s="2188">
        <v>32</v>
      </c>
      <c r="P8" s="2188">
        <v>28</v>
      </c>
      <c r="Q8" s="2193">
        <v>4</v>
      </c>
    </row>
    <row r="9" spans="1:17" ht="26.25" customHeight="1">
      <c r="A9" s="3900"/>
      <c r="B9" s="2160" t="s">
        <v>0</v>
      </c>
      <c r="C9" s="2190">
        <f t="shared" ref="C9:Q9" si="1">C8/C4*100</f>
        <v>1.9586206896551723</v>
      </c>
      <c r="D9" s="2190">
        <f t="shared" si="1"/>
        <v>1.762402088772846</v>
      </c>
      <c r="E9" s="2190">
        <f t="shared" si="1"/>
        <v>3.0303030303030303</v>
      </c>
      <c r="F9" s="2190">
        <f t="shared" si="1"/>
        <v>1.3313609467455623</v>
      </c>
      <c r="G9" s="2190">
        <f t="shared" si="1"/>
        <v>1.2448132780082988</v>
      </c>
      <c r="H9" s="2190">
        <f t="shared" si="1"/>
        <v>1.8442622950819672</v>
      </c>
      <c r="I9" s="2190">
        <f t="shared" si="1"/>
        <v>2.4358557973367976</v>
      </c>
      <c r="J9" s="2190">
        <f t="shared" si="1"/>
        <v>2.5878003696857674</v>
      </c>
      <c r="K9" s="2190">
        <f t="shared" si="1"/>
        <v>1.3368983957219251</v>
      </c>
      <c r="L9" s="2190">
        <f t="shared" si="1"/>
        <v>2.8849902534113059</v>
      </c>
      <c r="M9" s="2190">
        <f t="shared" si="1"/>
        <v>2.9164825452938579</v>
      </c>
      <c r="N9" s="2190">
        <f t="shared" si="1"/>
        <v>2.6490066225165565</v>
      </c>
      <c r="O9" s="2190">
        <f t="shared" si="1"/>
        <v>1.2789768185451638</v>
      </c>
      <c r="P9" s="2190">
        <f t="shared" si="1"/>
        <v>1.2522361359570662</v>
      </c>
      <c r="Q9" s="2191">
        <f t="shared" si="1"/>
        <v>1.5037593984962405</v>
      </c>
    </row>
    <row r="10" spans="1:17" ht="26.25" customHeight="1">
      <c r="A10" s="3899" t="s">
        <v>3245</v>
      </c>
      <c r="B10" s="2160" t="s">
        <v>3244</v>
      </c>
      <c r="C10" s="2188">
        <v>2105</v>
      </c>
      <c r="D10" s="2188">
        <v>1762</v>
      </c>
      <c r="E10" s="2188">
        <v>343</v>
      </c>
      <c r="F10" s="2188">
        <v>1846</v>
      </c>
      <c r="G10" s="2188">
        <v>1548</v>
      </c>
      <c r="H10" s="2188">
        <v>298</v>
      </c>
      <c r="I10" s="2188">
        <v>1664</v>
      </c>
      <c r="J10" s="2188">
        <v>1448</v>
      </c>
      <c r="K10" s="2188">
        <v>216</v>
      </c>
      <c r="L10" s="2188">
        <v>1377</v>
      </c>
      <c r="M10" s="2188">
        <v>1202</v>
      </c>
      <c r="N10" s="2188">
        <v>175</v>
      </c>
      <c r="O10" s="2188">
        <v>1344</v>
      </c>
      <c r="P10" s="2188">
        <v>1186</v>
      </c>
      <c r="Q10" s="2193">
        <v>158</v>
      </c>
    </row>
    <row r="11" spans="1:17" ht="26.25" customHeight="1">
      <c r="A11" s="3900"/>
      <c r="B11" s="2160" t="s">
        <v>0</v>
      </c>
      <c r="C11" s="2190">
        <f t="shared" ref="C11:Q11" si="2">C10/C4*100</f>
        <v>58.068965517241381</v>
      </c>
      <c r="D11" s="2190">
        <f t="shared" si="2"/>
        <v>57.506527415143601</v>
      </c>
      <c r="E11" s="2190">
        <f t="shared" si="2"/>
        <v>61.140819964349383</v>
      </c>
      <c r="F11" s="2190">
        <f t="shared" si="2"/>
        <v>54.615384615384613</v>
      </c>
      <c r="G11" s="2190">
        <f t="shared" si="2"/>
        <v>53.526970954356848</v>
      </c>
      <c r="H11" s="2190">
        <f t="shared" si="2"/>
        <v>61.065573770491795</v>
      </c>
      <c r="I11" s="2190">
        <f t="shared" si="2"/>
        <v>54.043520623579091</v>
      </c>
      <c r="J11" s="2190">
        <f t="shared" si="2"/>
        <v>53.530499075785585</v>
      </c>
      <c r="K11" s="2190">
        <f t="shared" si="2"/>
        <v>57.754010695187162</v>
      </c>
      <c r="L11" s="2190">
        <f t="shared" si="2"/>
        <v>53.684210526315788</v>
      </c>
      <c r="M11" s="2190">
        <f t="shared" si="2"/>
        <v>53.115333627927527</v>
      </c>
      <c r="N11" s="2190">
        <f t="shared" si="2"/>
        <v>57.947019867549663</v>
      </c>
      <c r="O11" s="2190">
        <f t="shared" si="2"/>
        <v>53.717026378896882</v>
      </c>
      <c r="P11" s="2190">
        <f t="shared" si="2"/>
        <v>53.041144901610018</v>
      </c>
      <c r="Q11" s="2191">
        <f t="shared" si="2"/>
        <v>59.398496240601503</v>
      </c>
    </row>
    <row r="12" spans="1:17" ht="26.25" customHeight="1">
      <c r="A12" s="3899" t="s">
        <v>3246</v>
      </c>
      <c r="B12" s="2160" t="s">
        <v>3223</v>
      </c>
      <c r="C12" s="2188">
        <v>1438</v>
      </c>
      <c r="D12" s="2188">
        <v>1239</v>
      </c>
      <c r="E12" s="2188">
        <v>199</v>
      </c>
      <c r="F12" s="2188">
        <v>1478</v>
      </c>
      <c r="G12" s="2188">
        <v>1301</v>
      </c>
      <c r="H12" s="2188">
        <v>177</v>
      </c>
      <c r="I12" s="2188">
        <v>1321</v>
      </c>
      <c r="J12" s="2188">
        <v>1171</v>
      </c>
      <c r="K12" s="2188">
        <v>150</v>
      </c>
      <c r="L12" s="2188">
        <v>1095</v>
      </c>
      <c r="M12" s="2188">
        <v>978</v>
      </c>
      <c r="N12" s="2188">
        <v>117</v>
      </c>
      <c r="O12" s="2188">
        <v>1111</v>
      </c>
      <c r="P12" s="2188">
        <v>1008</v>
      </c>
      <c r="Q12" s="2193">
        <v>103</v>
      </c>
    </row>
    <row r="13" spans="1:17" ht="26.25" customHeight="1">
      <c r="A13" s="3900"/>
      <c r="B13" s="2160" t="s">
        <v>0</v>
      </c>
      <c r="C13" s="2190">
        <f t="shared" ref="C13:Q13" si="3">C12/C4*100</f>
        <v>39.668965517241375</v>
      </c>
      <c r="D13" s="2190">
        <f t="shared" si="3"/>
        <v>40.43733681462141</v>
      </c>
      <c r="E13" s="2190">
        <f t="shared" si="3"/>
        <v>35.472370766488417</v>
      </c>
      <c r="F13" s="2190">
        <f t="shared" si="3"/>
        <v>43.727810650887569</v>
      </c>
      <c r="G13" s="2190">
        <f t="shared" si="3"/>
        <v>44.986168741355463</v>
      </c>
      <c r="H13" s="2190">
        <f t="shared" si="3"/>
        <v>36.270491803278688</v>
      </c>
      <c r="I13" s="2190">
        <f t="shared" si="3"/>
        <v>42.903540110425467</v>
      </c>
      <c r="J13" s="2190">
        <f t="shared" si="3"/>
        <v>43.290203327171909</v>
      </c>
      <c r="K13" s="2190">
        <f t="shared" si="3"/>
        <v>40.106951871657756</v>
      </c>
      <c r="L13" s="2190">
        <f t="shared" si="3"/>
        <v>42.690058479532162</v>
      </c>
      <c r="M13" s="2190">
        <f t="shared" si="3"/>
        <v>43.216968625718074</v>
      </c>
      <c r="N13" s="2190">
        <f t="shared" si="3"/>
        <v>38.741721854304636</v>
      </c>
      <c r="O13" s="2190">
        <f t="shared" si="3"/>
        <v>44.40447641886491</v>
      </c>
      <c r="P13" s="2190">
        <f t="shared" si="3"/>
        <v>45.080500894454381</v>
      </c>
      <c r="Q13" s="2191">
        <f t="shared" si="3"/>
        <v>38.721804511278194</v>
      </c>
    </row>
    <row r="14" spans="1:17" ht="26.25" customHeight="1">
      <c r="A14" s="3899" t="s">
        <v>3247</v>
      </c>
      <c r="B14" s="2160" t="s">
        <v>3244</v>
      </c>
      <c r="C14" s="2188">
        <v>9</v>
      </c>
      <c r="D14" s="2188">
        <v>7</v>
      </c>
      <c r="E14" s="2188">
        <v>2</v>
      </c>
      <c r="F14" s="2188">
        <v>11</v>
      </c>
      <c r="G14" s="2188">
        <v>7</v>
      </c>
      <c r="H14" s="2188">
        <v>4</v>
      </c>
      <c r="I14" s="2188">
        <v>18</v>
      </c>
      <c r="J14" s="2188">
        <v>15</v>
      </c>
      <c r="K14" s="2188">
        <v>3</v>
      </c>
      <c r="L14" s="2188">
        <v>17</v>
      </c>
      <c r="M14" s="2188">
        <v>15</v>
      </c>
      <c r="N14" s="2188">
        <v>2</v>
      </c>
      <c r="O14" s="2188">
        <v>14</v>
      </c>
      <c r="P14" s="2188">
        <v>13</v>
      </c>
      <c r="Q14" s="2193">
        <v>1</v>
      </c>
    </row>
    <row r="15" spans="1:17" ht="26.25" customHeight="1">
      <c r="A15" s="3900"/>
      <c r="B15" s="2160" t="s">
        <v>0</v>
      </c>
      <c r="C15" s="2190">
        <f t="shared" ref="C15:Q15" si="4">C14/C4*100</f>
        <v>0.24827586206896554</v>
      </c>
      <c r="D15" s="2190">
        <f t="shared" si="4"/>
        <v>0.22845953002610966</v>
      </c>
      <c r="E15" s="2190">
        <f t="shared" si="4"/>
        <v>0.35650623885918004</v>
      </c>
      <c r="F15" s="2190">
        <f t="shared" si="4"/>
        <v>0.32544378698224852</v>
      </c>
      <c r="G15" s="2190">
        <f t="shared" si="4"/>
        <v>0.24204702627939143</v>
      </c>
      <c r="H15" s="2190">
        <f t="shared" si="4"/>
        <v>0.81967213114754101</v>
      </c>
      <c r="I15" s="2190">
        <f t="shared" si="4"/>
        <v>0.58460539136083145</v>
      </c>
      <c r="J15" s="2190">
        <f t="shared" si="4"/>
        <v>0.55452865064695012</v>
      </c>
      <c r="K15" s="2190">
        <f t="shared" si="4"/>
        <v>0.80213903743315518</v>
      </c>
      <c r="L15" s="2190">
        <f t="shared" si="4"/>
        <v>0.66276803118908378</v>
      </c>
      <c r="M15" s="2190">
        <f t="shared" si="4"/>
        <v>0.66283694211224042</v>
      </c>
      <c r="N15" s="2190">
        <f t="shared" si="4"/>
        <v>0.66225165562913912</v>
      </c>
      <c r="O15" s="2190">
        <f t="shared" si="4"/>
        <v>0.55955235811350923</v>
      </c>
      <c r="P15" s="2190">
        <f t="shared" si="4"/>
        <v>0.58139534883720934</v>
      </c>
      <c r="Q15" s="2191">
        <f t="shared" si="4"/>
        <v>0.37593984962406013</v>
      </c>
    </row>
    <row r="16" spans="1:17" ht="26.25" customHeight="1">
      <c r="A16" s="3899" t="s">
        <v>3248</v>
      </c>
      <c r="B16" s="2160" t="s">
        <v>3244</v>
      </c>
      <c r="C16" s="2188" t="s">
        <v>1</v>
      </c>
      <c r="D16" s="2188" t="s">
        <v>1</v>
      </c>
      <c r="E16" s="2188" t="s">
        <v>1</v>
      </c>
      <c r="F16" s="2188" t="s">
        <v>1</v>
      </c>
      <c r="G16" s="2188" t="s">
        <v>1</v>
      </c>
      <c r="H16" s="2188" t="s">
        <v>1</v>
      </c>
      <c r="I16" s="2188" t="s">
        <v>1</v>
      </c>
      <c r="J16" s="2188" t="s">
        <v>1</v>
      </c>
      <c r="K16" s="2188" t="s">
        <v>1</v>
      </c>
      <c r="L16" s="2188" t="s">
        <v>1</v>
      </c>
      <c r="M16" s="2188" t="s">
        <v>1</v>
      </c>
      <c r="N16" s="2188" t="s">
        <v>1</v>
      </c>
      <c r="O16" s="2188" t="s">
        <v>1</v>
      </c>
      <c r="P16" s="2188" t="s">
        <v>1</v>
      </c>
      <c r="Q16" s="2193" t="s">
        <v>1</v>
      </c>
    </row>
    <row r="17" spans="1:17" ht="26.25" customHeight="1">
      <c r="A17" s="3900"/>
      <c r="B17" s="2160" t="s">
        <v>0</v>
      </c>
      <c r="C17" s="2190" t="s">
        <v>3225</v>
      </c>
      <c r="D17" s="2190" t="s">
        <v>3249</v>
      </c>
      <c r="E17" s="2190" t="s">
        <v>3242</v>
      </c>
      <c r="F17" s="2190" t="s">
        <v>3242</v>
      </c>
      <c r="G17" s="2190" t="s">
        <v>3225</v>
      </c>
      <c r="H17" s="2190" t="s">
        <v>3249</v>
      </c>
      <c r="I17" s="2190" t="s">
        <v>3242</v>
      </c>
      <c r="J17" s="2190" t="s">
        <v>3242</v>
      </c>
      <c r="K17" s="2190" t="s">
        <v>3225</v>
      </c>
      <c r="L17" s="2190" t="s">
        <v>3242</v>
      </c>
      <c r="M17" s="2190" t="s">
        <v>3225</v>
      </c>
      <c r="N17" s="2190" t="s">
        <v>3242</v>
      </c>
      <c r="O17" s="2190" t="s">
        <v>3225</v>
      </c>
      <c r="P17" s="2190" t="s">
        <v>3242</v>
      </c>
      <c r="Q17" s="2191" t="s">
        <v>3225</v>
      </c>
    </row>
    <row r="18" spans="1:17" s="2192" customFormat="1" ht="26.25" customHeight="1">
      <c r="A18" s="3899" t="s">
        <v>3250</v>
      </c>
      <c r="B18" s="2160" t="s">
        <v>3240</v>
      </c>
      <c r="C18" s="2188">
        <v>2</v>
      </c>
      <c r="D18" s="2188">
        <v>2</v>
      </c>
      <c r="E18" s="2188" t="s">
        <v>1</v>
      </c>
      <c r="F18" s="2188" t="s">
        <v>1</v>
      </c>
      <c r="G18" s="2188" t="s">
        <v>1</v>
      </c>
      <c r="H18" s="2188" t="s">
        <v>1</v>
      </c>
      <c r="I18" s="2188">
        <v>1</v>
      </c>
      <c r="J18" s="2188">
        <v>1</v>
      </c>
      <c r="K18" s="2188" t="s">
        <v>1</v>
      </c>
      <c r="L18" s="2188">
        <v>2</v>
      </c>
      <c r="M18" s="2188">
        <v>2</v>
      </c>
      <c r="N18" s="2188" t="s">
        <v>1</v>
      </c>
      <c r="O18" s="2188" t="s">
        <v>1</v>
      </c>
      <c r="P18" s="2188" t="s">
        <v>1</v>
      </c>
      <c r="Q18" s="2193" t="s">
        <v>1</v>
      </c>
    </row>
    <row r="19" spans="1:17" s="2192" customFormat="1" ht="26.25" customHeight="1">
      <c r="A19" s="3904"/>
      <c r="B19" s="2165" t="s">
        <v>0</v>
      </c>
      <c r="C19" s="2194">
        <f>C18/C4*100</f>
        <v>5.5172413793103448E-2</v>
      </c>
      <c r="D19" s="2194">
        <f>D18/D4*100</f>
        <v>6.5274151436031339E-2</v>
      </c>
      <c r="E19" s="2194" t="s">
        <v>3242</v>
      </c>
      <c r="F19" s="2194" t="s">
        <v>3242</v>
      </c>
      <c r="G19" s="2194" t="s">
        <v>3242</v>
      </c>
      <c r="H19" s="2194" t="s">
        <v>3249</v>
      </c>
      <c r="I19" s="2194">
        <f>I18/I4*100</f>
        <v>3.2478077297823968E-2</v>
      </c>
      <c r="J19" s="2194">
        <f>J18/J4*100</f>
        <v>3.6968576709796669E-2</v>
      </c>
      <c r="K19" s="2194" t="s">
        <v>3249</v>
      </c>
      <c r="L19" s="2194">
        <f>L18/L4*100</f>
        <v>7.7972709551656916E-2</v>
      </c>
      <c r="M19" s="2194">
        <f>M18/M4*100</f>
        <v>8.8378258948298719E-2</v>
      </c>
      <c r="N19" s="2194" t="s">
        <v>3225</v>
      </c>
      <c r="O19" s="2194" t="s">
        <v>3225</v>
      </c>
      <c r="P19" s="2194" t="s">
        <v>3242</v>
      </c>
      <c r="Q19" s="2195" t="s">
        <v>3225</v>
      </c>
    </row>
    <row r="20" spans="1:17" s="2170" customFormat="1" ht="18.600000000000001" customHeight="1">
      <c r="A20" s="2170" t="s">
        <v>997</v>
      </c>
      <c r="B20" s="2196"/>
      <c r="C20" s="2184"/>
      <c r="D20" s="2184"/>
      <c r="E20" s="2184"/>
      <c r="F20" s="2184"/>
      <c r="G20" s="2184"/>
      <c r="H20" s="2184"/>
      <c r="I20" s="2184"/>
      <c r="J20" s="2184"/>
      <c r="K20" s="2184"/>
      <c r="O20" s="2197"/>
      <c r="P20" s="2197"/>
      <c r="Q20" s="2197"/>
    </row>
    <row r="21" spans="1:17" s="2170" customFormat="1" ht="13.9" customHeight="1">
      <c r="A21" s="2167" t="s">
        <v>3233</v>
      </c>
      <c r="B21" s="2196"/>
      <c r="O21" s="2197"/>
      <c r="P21" s="2197"/>
      <c r="Q21" s="2197"/>
    </row>
    <row r="22" spans="1:17">
      <c r="B22" s="2192"/>
      <c r="C22" s="2187"/>
      <c r="D22" s="2187"/>
      <c r="E22" s="2187"/>
      <c r="F22" s="2187"/>
      <c r="G22" s="2187"/>
      <c r="H22" s="2187"/>
      <c r="I22" s="2187"/>
      <c r="J22" s="2187"/>
      <c r="K22" s="2187"/>
    </row>
    <row r="23" spans="1:17">
      <c r="B23" s="2192"/>
    </row>
  </sheetData>
  <mergeCells count="15">
    <mergeCell ref="A16:A17"/>
    <mergeCell ref="A18:A19"/>
    <mergeCell ref="A4:A5"/>
    <mergeCell ref="A6:A7"/>
    <mergeCell ref="A8:A9"/>
    <mergeCell ref="A10:A11"/>
    <mergeCell ref="A12:A13"/>
    <mergeCell ref="A14:A15"/>
    <mergeCell ref="A1:Q1"/>
    <mergeCell ref="A2:B3"/>
    <mergeCell ref="C2:E2"/>
    <mergeCell ref="F2:H2"/>
    <mergeCell ref="I2:K2"/>
    <mergeCell ref="L2:N2"/>
    <mergeCell ref="O2:Q2"/>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57"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Q20"/>
  <sheetViews>
    <sheetView showGridLines="0" workbookViewId="0">
      <selection activeCell="B18" sqref="B18:D18"/>
    </sheetView>
  </sheetViews>
  <sheetFormatPr defaultRowHeight="15.75"/>
  <cols>
    <col min="1" max="1" width="19" style="2156" customWidth="1"/>
    <col min="2" max="2" width="6.375" style="2156" customWidth="1"/>
    <col min="3" max="17" width="8.625" style="2156" customWidth="1"/>
    <col min="18" max="256" width="9" style="2156"/>
    <col min="257" max="257" width="21.375" style="2156" customWidth="1"/>
    <col min="258" max="258" width="6.375" style="2156" customWidth="1"/>
    <col min="259" max="273" width="7.5" style="2156" customWidth="1"/>
    <col min="274" max="512" width="9" style="2156"/>
    <col min="513" max="513" width="21.375" style="2156" customWidth="1"/>
    <col min="514" max="514" width="6.375" style="2156" customWidth="1"/>
    <col min="515" max="529" width="7.5" style="2156" customWidth="1"/>
    <col min="530" max="768" width="9" style="2156"/>
    <col min="769" max="769" width="21.375" style="2156" customWidth="1"/>
    <col min="770" max="770" width="6.375" style="2156" customWidth="1"/>
    <col min="771" max="785" width="7.5" style="2156" customWidth="1"/>
    <col min="786" max="1024" width="9" style="2156"/>
    <col min="1025" max="1025" width="21.375" style="2156" customWidth="1"/>
    <col min="1026" max="1026" width="6.375" style="2156" customWidth="1"/>
    <col min="1027" max="1041" width="7.5" style="2156" customWidth="1"/>
    <col min="1042" max="1280" width="9" style="2156"/>
    <col min="1281" max="1281" width="21.375" style="2156" customWidth="1"/>
    <col min="1282" max="1282" width="6.375" style="2156" customWidth="1"/>
    <col min="1283" max="1297" width="7.5" style="2156" customWidth="1"/>
    <col min="1298" max="1536" width="9" style="2156"/>
    <col min="1537" max="1537" width="21.375" style="2156" customWidth="1"/>
    <col min="1538" max="1538" width="6.375" style="2156" customWidth="1"/>
    <col min="1539" max="1553" width="7.5" style="2156" customWidth="1"/>
    <col min="1554" max="1792" width="9" style="2156"/>
    <col min="1793" max="1793" width="21.375" style="2156" customWidth="1"/>
    <col min="1794" max="1794" width="6.375" style="2156" customWidth="1"/>
    <col min="1795" max="1809" width="7.5" style="2156" customWidth="1"/>
    <col min="1810" max="2048" width="9" style="2156"/>
    <col min="2049" max="2049" width="21.375" style="2156" customWidth="1"/>
    <col min="2050" max="2050" width="6.375" style="2156" customWidth="1"/>
    <col min="2051" max="2065" width="7.5" style="2156" customWidth="1"/>
    <col min="2066" max="2304" width="9" style="2156"/>
    <col min="2305" max="2305" width="21.375" style="2156" customWidth="1"/>
    <col min="2306" max="2306" width="6.375" style="2156" customWidth="1"/>
    <col min="2307" max="2321" width="7.5" style="2156" customWidth="1"/>
    <col min="2322" max="2560" width="9" style="2156"/>
    <col min="2561" max="2561" width="21.375" style="2156" customWidth="1"/>
    <col min="2562" max="2562" width="6.375" style="2156" customWidth="1"/>
    <col min="2563" max="2577" width="7.5" style="2156" customWidth="1"/>
    <col min="2578" max="2816" width="9" style="2156"/>
    <col min="2817" max="2817" width="21.375" style="2156" customWidth="1"/>
    <col min="2818" max="2818" width="6.375" style="2156" customWidth="1"/>
    <col min="2819" max="2833" width="7.5" style="2156" customWidth="1"/>
    <col min="2834" max="3072" width="9" style="2156"/>
    <col min="3073" max="3073" width="21.375" style="2156" customWidth="1"/>
    <col min="3074" max="3074" width="6.375" style="2156" customWidth="1"/>
    <col min="3075" max="3089" width="7.5" style="2156" customWidth="1"/>
    <col min="3090" max="3328" width="9" style="2156"/>
    <col min="3329" max="3329" width="21.375" style="2156" customWidth="1"/>
    <col min="3330" max="3330" width="6.375" style="2156" customWidth="1"/>
    <col min="3331" max="3345" width="7.5" style="2156" customWidth="1"/>
    <col min="3346" max="3584" width="9" style="2156"/>
    <col min="3585" max="3585" width="21.375" style="2156" customWidth="1"/>
    <col min="3586" max="3586" width="6.375" style="2156" customWidth="1"/>
    <col min="3587" max="3601" width="7.5" style="2156" customWidth="1"/>
    <col min="3602" max="3840" width="9" style="2156"/>
    <col min="3841" max="3841" width="21.375" style="2156" customWidth="1"/>
    <col min="3842" max="3842" width="6.375" style="2156" customWidth="1"/>
    <col min="3843" max="3857" width="7.5" style="2156" customWidth="1"/>
    <col min="3858" max="4096" width="9" style="2156"/>
    <col min="4097" max="4097" width="21.375" style="2156" customWidth="1"/>
    <col min="4098" max="4098" width="6.375" style="2156" customWidth="1"/>
    <col min="4099" max="4113" width="7.5" style="2156" customWidth="1"/>
    <col min="4114" max="4352" width="9" style="2156"/>
    <col min="4353" max="4353" width="21.375" style="2156" customWidth="1"/>
    <col min="4354" max="4354" width="6.375" style="2156" customWidth="1"/>
    <col min="4355" max="4369" width="7.5" style="2156" customWidth="1"/>
    <col min="4370" max="4608" width="9" style="2156"/>
    <col min="4609" max="4609" width="21.375" style="2156" customWidth="1"/>
    <col min="4610" max="4610" width="6.375" style="2156" customWidth="1"/>
    <col min="4611" max="4625" width="7.5" style="2156" customWidth="1"/>
    <col min="4626" max="4864" width="9" style="2156"/>
    <col min="4865" max="4865" width="21.375" style="2156" customWidth="1"/>
    <col min="4866" max="4866" width="6.375" style="2156" customWidth="1"/>
    <col min="4867" max="4881" width="7.5" style="2156" customWidth="1"/>
    <col min="4882" max="5120" width="9" style="2156"/>
    <col min="5121" max="5121" width="21.375" style="2156" customWidth="1"/>
    <col min="5122" max="5122" width="6.375" style="2156" customWidth="1"/>
    <col min="5123" max="5137" width="7.5" style="2156" customWidth="1"/>
    <col min="5138" max="5376" width="9" style="2156"/>
    <col min="5377" max="5377" width="21.375" style="2156" customWidth="1"/>
    <col min="5378" max="5378" width="6.375" style="2156" customWidth="1"/>
    <col min="5379" max="5393" width="7.5" style="2156" customWidth="1"/>
    <col min="5394" max="5632" width="9" style="2156"/>
    <col min="5633" max="5633" width="21.375" style="2156" customWidth="1"/>
    <col min="5634" max="5634" width="6.375" style="2156" customWidth="1"/>
    <col min="5635" max="5649" width="7.5" style="2156" customWidth="1"/>
    <col min="5650" max="5888" width="9" style="2156"/>
    <col min="5889" max="5889" width="21.375" style="2156" customWidth="1"/>
    <col min="5890" max="5890" width="6.375" style="2156" customWidth="1"/>
    <col min="5891" max="5905" width="7.5" style="2156" customWidth="1"/>
    <col min="5906" max="6144" width="9" style="2156"/>
    <col min="6145" max="6145" width="21.375" style="2156" customWidth="1"/>
    <col min="6146" max="6146" width="6.375" style="2156" customWidth="1"/>
    <col min="6147" max="6161" width="7.5" style="2156" customWidth="1"/>
    <col min="6162" max="6400" width="9" style="2156"/>
    <col min="6401" max="6401" width="21.375" style="2156" customWidth="1"/>
    <col min="6402" max="6402" width="6.375" style="2156" customWidth="1"/>
    <col min="6403" max="6417" width="7.5" style="2156" customWidth="1"/>
    <col min="6418" max="6656" width="9" style="2156"/>
    <col min="6657" max="6657" width="21.375" style="2156" customWidth="1"/>
    <col min="6658" max="6658" width="6.375" style="2156" customWidth="1"/>
    <col min="6659" max="6673" width="7.5" style="2156" customWidth="1"/>
    <col min="6674" max="6912" width="9" style="2156"/>
    <col min="6913" max="6913" width="21.375" style="2156" customWidth="1"/>
    <col min="6914" max="6914" width="6.375" style="2156" customWidth="1"/>
    <col min="6915" max="6929" width="7.5" style="2156" customWidth="1"/>
    <col min="6930" max="7168" width="9" style="2156"/>
    <col min="7169" max="7169" width="21.375" style="2156" customWidth="1"/>
    <col min="7170" max="7170" width="6.375" style="2156" customWidth="1"/>
    <col min="7171" max="7185" width="7.5" style="2156" customWidth="1"/>
    <col min="7186" max="7424" width="9" style="2156"/>
    <col min="7425" max="7425" width="21.375" style="2156" customWidth="1"/>
    <col min="7426" max="7426" width="6.375" style="2156" customWidth="1"/>
    <col min="7427" max="7441" width="7.5" style="2156" customWidth="1"/>
    <col min="7442" max="7680" width="9" style="2156"/>
    <col min="7681" max="7681" width="21.375" style="2156" customWidth="1"/>
    <col min="7682" max="7682" width="6.375" style="2156" customWidth="1"/>
    <col min="7683" max="7697" width="7.5" style="2156" customWidth="1"/>
    <col min="7698" max="7936" width="9" style="2156"/>
    <col min="7937" max="7937" width="21.375" style="2156" customWidth="1"/>
    <col min="7938" max="7938" width="6.375" style="2156" customWidth="1"/>
    <col min="7939" max="7953" width="7.5" style="2156" customWidth="1"/>
    <col min="7954" max="8192" width="9" style="2156"/>
    <col min="8193" max="8193" width="21.375" style="2156" customWidth="1"/>
    <col min="8194" max="8194" width="6.375" style="2156" customWidth="1"/>
    <col min="8195" max="8209" width="7.5" style="2156" customWidth="1"/>
    <col min="8210" max="8448" width="9" style="2156"/>
    <col min="8449" max="8449" width="21.375" style="2156" customWidth="1"/>
    <col min="8450" max="8450" width="6.375" style="2156" customWidth="1"/>
    <col min="8451" max="8465" width="7.5" style="2156" customWidth="1"/>
    <col min="8466" max="8704" width="9" style="2156"/>
    <col min="8705" max="8705" width="21.375" style="2156" customWidth="1"/>
    <col min="8706" max="8706" width="6.375" style="2156" customWidth="1"/>
    <col min="8707" max="8721" width="7.5" style="2156" customWidth="1"/>
    <col min="8722" max="8960" width="9" style="2156"/>
    <col min="8961" max="8961" width="21.375" style="2156" customWidth="1"/>
    <col min="8962" max="8962" width="6.375" style="2156" customWidth="1"/>
    <col min="8963" max="8977" width="7.5" style="2156" customWidth="1"/>
    <col min="8978" max="9216" width="9" style="2156"/>
    <col min="9217" max="9217" width="21.375" style="2156" customWidth="1"/>
    <col min="9218" max="9218" width="6.375" style="2156" customWidth="1"/>
    <col min="9219" max="9233" width="7.5" style="2156" customWidth="1"/>
    <col min="9234" max="9472" width="9" style="2156"/>
    <col min="9473" max="9473" width="21.375" style="2156" customWidth="1"/>
    <col min="9474" max="9474" width="6.375" style="2156" customWidth="1"/>
    <col min="9475" max="9489" width="7.5" style="2156" customWidth="1"/>
    <col min="9490" max="9728" width="9" style="2156"/>
    <col min="9729" max="9729" width="21.375" style="2156" customWidth="1"/>
    <col min="9730" max="9730" width="6.375" style="2156" customWidth="1"/>
    <col min="9731" max="9745" width="7.5" style="2156" customWidth="1"/>
    <col min="9746" max="9984" width="9" style="2156"/>
    <col min="9985" max="9985" width="21.375" style="2156" customWidth="1"/>
    <col min="9986" max="9986" width="6.375" style="2156" customWidth="1"/>
    <col min="9987" max="10001" width="7.5" style="2156" customWidth="1"/>
    <col min="10002" max="10240" width="9" style="2156"/>
    <col min="10241" max="10241" width="21.375" style="2156" customWidth="1"/>
    <col min="10242" max="10242" width="6.375" style="2156" customWidth="1"/>
    <col min="10243" max="10257" width="7.5" style="2156" customWidth="1"/>
    <col min="10258" max="10496" width="9" style="2156"/>
    <col min="10497" max="10497" width="21.375" style="2156" customWidth="1"/>
    <col min="10498" max="10498" width="6.375" style="2156" customWidth="1"/>
    <col min="10499" max="10513" width="7.5" style="2156" customWidth="1"/>
    <col min="10514" max="10752" width="9" style="2156"/>
    <col min="10753" max="10753" width="21.375" style="2156" customWidth="1"/>
    <col min="10754" max="10754" width="6.375" style="2156" customWidth="1"/>
    <col min="10755" max="10769" width="7.5" style="2156" customWidth="1"/>
    <col min="10770" max="11008" width="9" style="2156"/>
    <col min="11009" max="11009" width="21.375" style="2156" customWidth="1"/>
    <col min="11010" max="11010" width="6.375" style="2156" customWidth="1"/>
    <col min="11011" max="11025" width="7.5" style="2156" customWidth="1"/>
    <col min="11026" max="11264" width="9" style="2156"/>
    <col min="11265" max="11265" width="21.375" style="2156" customWidth="1"/>
    <col min="11266" max="11266" width="6.375" style="2156" customWidth="1"/>
    <col min="11267" max="11281" width="7.5" style="2156" customWidth="1"/>
    <col min="11282" max="11520" width="9" style="2156"/>
    <col min="11521" max="11521" width="21.375" style="2156" customWidth="1"/>
    <col min="11522" max="11522" width="6.375" style="2156" customWidth="1"/>
    <col min="11523" max="11537" width="7.5" style="2156" customWidth="1"/>
    <col min="11538" max="11776" width="9" style="2156"/>
    <col min="11777" max="11777" width="21.375" style="2156" customWidth="1"/>
    <col min="11778" max="11778" width="6.375" style="2156" customWidth="1"/>
    <col min="11779" max="11793" width="7.5" style="2156" customWidth="1"/>
    <col min="11794" max="12032" width="9" style="2156"/>
    <col min="12033" max="12033" width="21.375" style="2156" customWidth="1"/>
    <col min="12034" max="12034" width="6.375" style="2156" customWidth="1"/>
    <col min="12035" max="12049" width="7.5" style="2156" customWidth="1"/>
    <col min="12050" max="12288" width="9" style="2156"/>
    <col min="12289" max="12289" width="21.375" style="2156" customWidth="1"/>
    <col min="12290" max="12290" width="6.375" style="2156" customWidth="1"/>
    <col min="12291" max="12305" width="7.5" style="2156" customWidth="1"/>
    <col min="12306" max="12544" width="9" style="2156"/>
    <col min="12545" max="12545" width="21.375" style="2156" customWidth="1"/>
    <col min="12546" max="12546" width="6.375" style="2156" customWidth="1"/>
    <col min="12547" max="12561" width="7.5" style="2156" customWidth="1"/>
    <col min="12562" max="12800" width="9" style="2156"/>
    <col min="12801" max="12801" width="21.375" style="2156" customWidth="1"/>
    <col min="12802" max="12802" width="6.375" style="2156" customWidth="1"/>
    <col min="12803" max="12817" width="7.5" style="2156" customWidth="1"/>
    <col min="12818" max="13056" width="9" style="2156"/>
    <col min="13057" max="13057" width="21.375" style="2156" customWidth="1"/>
    <col min="13058" max="13058" width="6.375" style="2156" customWidth="1"/>
    <col min="13059" max="13073" width="7.5" style="2156" customWidth="1"/>
    <col min="13074" max="13312" width="9" style="2156"/>
    <col min="13313" max="13313" width="21.375" style="2156" customWidth="1"/>
    <col min="13314" max="13314" width="6.375" style="2156" customWidth="1"/>
    <col min="13315" max="13329" width="7.5" style="2156" customWidth="1"/>
    <col min="13330" max="13568" width="9" style="2156"/>
    <col min="13569" max="13569" width="21.375" style="2156" customWidth="1"/>
    <col min="13570" max="13570" width="6.375" style="2156" customWidth="1"/>
    <col min="13571" max="13585" width="7.5" style="2156" customWidth="1"/>
    <col min="13586" max="13824" width="9" style="2156"/>
    <col min="13825" max="13825" width="21.375" style="2156" customWidth="1"/>
    <col min="13826" max="13826" width="6.375" style="2156" customWidth="1"/>
    <col min="13827" max="13841" width="7.5" style="2156" customWidth="1"/>
    <col min="13842" max="14080" width="9" style="2156"/>
    <col min="14081" max="14081" width="21.375" style="2156" customWidth="1"/>
    <col min="14082" max="14082" width="6.375" style="2156" customWidth="1"/>
    <col min="14083" max="14097" width="7.5" style="2156" customWidth="1"/>
    <col min="14098" max="14336" width="9" style="2156"/>
    <col min="14337" max="14337" width="21.375" style="2156" customWidth="1"/>
    <col min="14338" max="14338" width="6.375" style="2156" customWidth="1"/>
    <col min="14339" max="14353" width="7.5" style="2156" customWidth="1"/>
    <col min="14354" max="14592" width="9" style="2156"/>
    <col min="14593" max="14593" width="21.375" style="2156" customWidth="1"/>
    <col min="14594" max="14594" width="6.375" style="2156" customWidth="1"/>
    <col min="14595" max="14609" width="7.5" style="2156" customWidth="1"/>
    <col min="14610" max="14848" width="9" style="2156"/>
    <col min="14849" max="14849" width="21.375" style="2156" customWidth="1"/>
    <col min="14850" max="14850" width="6.375" style="2156" customWidth="1"/>
    <col min="14851" max="14865" width="7.5" style="2156" customWidth="1"/>
    <col min="14866" max="15104" width="9" style="2156"/>
    <col min="15105" max="15105" width="21.375" style="2156" customWidth="1"/>
    <col min="15106" max="15106" width="6.375" style="2156" customWidth="1"/>
    <col min="15107" max="15121" width="7.5" style="2156" customWidth="1"/>
    <col min="15122" max="15360" width="9" style="2156"/>
    <col min="15361" max="15361" width="21.375" style="2156" customWidth="1"/>
    <col min="15362" max="15362" width="6.375" style="2156" customWidth="1"/>
    <col min="15363" max="15377" width="7.5" style="2156" customWidth="1"/>
    <col min="15378" max="15616" width="9" style="2156"/>
    <col min="15617" max="15617" width="21.375" style="2156" customWidth="1"/>
    <col min="15618" max="15618" width="6.375" style="2156" customWidth="1"/>
    <col min="15619" max="15633" width="7.5" style="2156" customWidth="1"/>
    <col min="15634" max="15872" width="9" style="2156"/>
    <col min="15873" max="15873" width="21.375" style="2156" customWidth="1"/>
    <col min="15874" max="15874" width="6.375" style="2156" customWidth="1"/>
    <col min="15875" max="15889" width="7.5" style="2156" customWidth="1"/>
    <col min="15890" max="16128" width="9" style="2156"/>
    <col min="16129" max="16129" width="21.375" style="2156" customWidth="1"/>
    <col min="16130" max="16130" width="6.375" style="2156" customWidth="1"/>
    <col min="16131" max="16145" width="7.5" style="2156" customWidth="1"/>
    <col min="16146" max="16384" width="9" style="2156"/>
  </cols>
  <sheetData>
    <row r="1" spans="1:17" s="2153" customFormat="1" ht="25.35" customHeight="1">
      <c r="A1" s="3895" t="s">
        <v>3251</v>
      </c>
      <c r="B1" s="3895"/>
      <c r="C1" s="3895"/>
      <c r="D1" s="3895"/>
      <c r="E1" s="3895"/>
      <c r="F1" s="3895"/>
      <c r="G1" s="3895"/>
      <c r="H1" s="3895"/>
      <c r="I1" s="3895"/>
      <c r="J1" s="3895"/>
      <c r="K1" s="3895"/>
      <c r="L1" s="3895"/>
      <c r="M1" s="3895"/>
      <c r="N1" s="3895"/>
      <c r="O1" s="3896"/>
      <c r="P1" s="3896"/>
      <c r="Q1" s="3896"/>
    </row>
    <row r="2" spans="1:17" ht="36.6" customHeight="1">
      <c r="A2" s="3903"/>
      <c r="B2" s="3903"/>
      <c r="C2" s="3912" t="s">
        <v>3252</v>
      </c>
      <c r="D2" s="3912"/>
      <c r="E2" s="3912"/>
      <c r="F2" s="3913" t="s">
        <v>3218</v>
      </c>
      <c r="G2" s="3912"/>
      <c r="H2" s="3912"/>
      <c r="I2" s="3913" t="s">
        <v>3253</v>
      </c>
      <c r="J2" s="3912"/>
      <c r="K2" s="3912"/>
      <c r="L2" s="3913" t="s">
        <v>3201</v>
      </c>
      <c r="M2" s="3912"/>
      <c r="N2" s="3912"/>
      <c r="O2" s="3913" t="s">
        <v>3254</v>
      </c>
      <c r="P2" s="3912"/>
      <c r="Q2" s="3912"/>
    </row>
    <row r="3" spans="1:17" ht="37.35" customHeight="1">
      <c r="A3" s="3904"/>
      <c r="B3" s="3904"/>
      <c r="C3" s="2175" t="s">
        <v>3219</v>
      </c>
      <c r="D3" s="2155" t="s">
        <v>3220</v>
      </c>
      <c r="E3" s="2155" t="s">
        <v>3221</v>
      </c>
      <c r="F3" s="2176" t="s">
        <v>3219</v>
      </c>
      <c r="G3" s="2155" t="s">
        <v>3220</v>
      </c>
      <c r="H3" s="2155" t="s">
        <v>3221</v>
      </c>
      <c r="I3" s="2176" t="s">
        <v>3219</v>
      </c>
      <c r="J3" s="2155" t="s">
        <v>3220</v>
      </c>
      <c r="K3" s="2155" t="s">
        <v>3255</v>
      </c>
      <c r="L3" s="2176" t="s">
        <v>3237</v>
      </c>
      <c r="M3" s="2155" t="s">
        <v>3220</v>
      </c>
      <c r="N3" s="2155" t="s">
        <v>3235</v>
      </c>
      <c r="O3" s="2176" t="s">
        <v>3219</v>
      </c>
      <c r="P3" s="2155" t="s">
        <v>3220</v>
      </c>
      <c r="Q3" s="2155" t="s">
        <v>3221</v>
      </c>
    </row>
    <row r="4" spans="1:17" ht="30" customHeight="1">
      <c r="A4" s="3899" t="s">
        <v>3238</v>
      </c>
      <c r="B4" s="2160" t="s">
        <v>3223</v>
      </c>
      <c r="C4" s="2188">
        <f t="shared" ref="C4:Q5" si="0">SUM(C6,C8,C10,C12,C14)</f>
        <v>3625</v>
      </c>
      <c r="D4" s="2188">
        <f t="shared" si="0"/>
        <v>3064</v>
      </c>
      <c r="E4" s="2188">
        <f t="shared" si="0"/>
        <v>561</v>
      </c>
      <c r="F4" s="2188">
        <f t="shared" si="0"/>
        <v>3380</v>
      </c>
      <c r="G4" s="2188">
        <f t="shared" si="0"/>
        <v>2892</v>
      </c>
      <c r="H4" s="2188">
        <f t="shared" si="0"/>
        <v>488</v>
      </c>
      <c r="I4" s="2188">
        <f t="shared" si="0"/>
        <v>3079</v>
      </c>
      <c r="J4" s="2188">
        <f t="shared" si="0"/>
        <v>2705</v>
      </c>
      <c r="K4" s="2188">
        <f t="shared" si="0"/>
        <v>374</v>
      </c>
      <c r="L4" s="2188">
        <f t="shared" si="0"/>
        <v>2565</v>
      </c>
      <c r="M4" s="2188">
        <f t="shared" si="0"/>
        <v>2263</v>
      </c>
      <c r="N4" s="2188">
        <f t="shared" si="0"/>
        <v>302</v>
      </c>
      <c r="O4" s="2188">
        <f t="shared" si="0"/>
        <v>2502</v>
      </c>
      <c r="P4" s="2188">
        <f t="shared" si="0"/>
        <v>2236</v>
      </c>
      <c r="Q4" s="2193">
        <f t="shared" si="0"/>
        <v>266</v>
      </c>
    </row>
    <row r="5" spans="1:17" ht="30" customHeight="1">
      <c r="A5" s="3900"/>
      <c r="B5" s="2160" t="s">
        <v>0</v>
      </c>
      <c r="C5" s="2190">
        <f t="shared" si="0"/>
        <v>100</v>
      </c>
      <c r="D5" s="2190">
        <f t="shared" si="0"/>
        <v>100</v>
      </c>
      <c r="E5" s="2190">
        <f t="shared" si="0"/>
        <v>100</v>
      </c>
      <c r="F5" s="2190">
        <f t="shared" si="0"/>
        <v>100</v>
      </c>
      <c r="G5" s="2190">
        <f t="shared" si="0"/>
        <v>100.00000000000001</v>
      </c>
      <c r="H5" s="2190">
        <f t="shared" si="0"/>
        <v>100</v>
      </c>
      <c r="I5" s="2190">
        <f t="shared" si="0"/>
        <v>100</v>
      </c>
      <c r="J5" s="2190">
        <f t="shared" si="0"/>
        <v>100</v>
      </c>
      <c r="K5" s="2190">
        <f t="shared" si="0"/>
        <v>99.999999999999986</v>
      </c>
      <c r="L5" s="2190">
        <f t="shared" si="0"/>
        <v>100</v>
      </c>
      <c r="M5" s="2190">
        <f t="shared" si="0"/>
        <v>100</v>
      </c>
      <c r="N5" s="2190">
        <f t="shared" si="0"/>
        <v>100</v>
      </c>
      <c r="O5" s="2190">
        <f t="shared" si="0"/>
        <v>100.00000000000001</v>
      </c>
      <c r="P5" s="2190">
        <f t="shared" si="0"/>
        <v>100</v>
      </c>
      <c r="Q5" s="2191">
        <f t="shared" si="0"/>
        <v>99.999999999999986</v>
      </c>
    </row>
    <row r="6" spans="1:17" ht="30" customHeight="1">
      <c r="A6" s="3899" t="s">
        <v>3256</v>
      </c>
      <c r="B6" s="2160" t="s">
        <v>3223</v>
      </c>
      <c r="C6" s="2188">
        <v>175</v>
      </c>
      <c r="D6" s="2188">
        <v>161</v>
      </c>
      <c r="E6" s="2188">
        <v>14</v>
      </c>
      <c r="F6" s="2188">
        <v>182</v>
      </c>
      <c r="G6" s="2188">
        <v>168</v>
      </c>
      <c r="H6" s="2188">
        <v>14</v>
      </c>
      <c r="I6" s="2188">
        <v>104</v>
      </c>
      <c r="J6" s="2188">
        <v>100</v>
      </c>
      <c r="K6" s="2188">
        <v>4</v>
      </c>
      <c r="L6" s="2188">
        <v>68</v>
      </c>
      <c r="M6" s="2188">
        <v>54</v>
      </c>
      <c r="N6" s="2188">
        <v>14</v>
      </c>
      <c r="O6" s="2188">
        <v>93</v>
      </c>
      <c r="P6" s="2188">
        <v>78</v>
      </c>
      <c r="Q6" s="2193">
        <v>15</v>
      </c>
    </row>
    <row r="7" spans="1:17" ht="30" customHeight="1">
      <c r="A7" s="3900"/>
      <c r="B7" s="2160" t="s">
        <v>0</v>
      </c>
      <c r="C7" s="2191">
        <f t="shared" ref="C7:Q7" si="1">C6/C4*100</f>
        <v>4.8275862068965516</v>
      </c>
      <c r="D7" s="2191">
        <f t="shared" si="1"/>
        <v>5.2545691906005221</v>
      </c>
      <c r="E7" s="2191">
        <f t="shared" si="1"/>
        <v>2.4955436720142603</v>
      </c>
      <c r="F7" s="2191">
        <f t="shared" si="1"/>
        <v>5.384615384615385</v>
      </c>
      <c r="G7" s="2191">
        <f t="shared" si="1"/>
        <v>5.809128630705394</v>
      </c>
      <c r="H7" s="2191">
        <f t="shared" si="1"/>
        <v>2.8688524590163933</v>
      </c>
      <c r="I7" s="2191">
        <f t="shared" si="1"/>
        <v>3.3777200389736932</v>
      </c>
      <c r="J7" s="2191">
        <f t="shared" si="1"/>
        <v>3.6968576709796674</v>
      </c>
      <c r="K7" s="2191">
        <f t="shared" si="1"/>
        <v>1.0695187165775399</v>
      </c>
      <c r="L7" s="2191">
        <f t="shared" si="1"/>
        <v>2.6510721247563351</v>
      </c>
      <c r="M7" s="2191">
        <f t="shared" si="1"/>
        <v>2.3862129916040651</v>
      </c>
      <c r="N7" s="2191">
        <f t="shared" si="1"/>
        <v>4.6357615894039732</v>
      </c>
      <c r="O7" s="2191">
        <f t="shared" si="1"/>
        <v>3.7170263788968825</v>
      </c>
      <c r="P7" s="2191">
        <f t="shared" si="1"/>
        <v>3.4883720930232558</v>
      </c>
      <c r="Q7" s="2191">
        <f t="shared" si="1"/>
        <v>5.6390977443609023</v>
      </c>
    </row>
    <row r="8" spans="1:17" ht="30" customHeight="1">
      <c r="A8" s="3899" t="s">
        <v>3257</v>
      </c>
      <c r="B8" s="2160" t="s">
        <v>3240</v>
      </c>
      <c r="C8" s="2188">
        <v>1607</v>
      </c>
      <c r="D8" s="2188">
        <v>1317</v>
      </c>
      <c r="E8" s="2188">
        <v>290</v>
      </c>
      <c r="F8" s="2188">
        <v>1495</v>
      </c>
      <c r="G8" s="2188">
        <v>1210</v>
      </c>
      <c r="H8" s="2188">
        <v>285</v>
      </c>
      <c r="I8" s="2188">
        <v>1702</v>
      </c>
      <c r="J8" s="2188">
        <v>1444</v>
      </c>
      <c r="K8" s="2188">
        <v>258</v>
      </c>
      <c r="L8" s="2188">
        <v>1774</v>
      </c>
      <c r="M8" s="2188">
        <v>1584</v>
      </c>
      <c r="N8" s="2188">
        <v>190</v>
      </c>
      <c r="O8" s="2188">
        <v>1757</v>
      </c>
      <c r="P8" s="2188">
        <v>1585</v>
      </c>
      <c r="Q8" s="2193">
        <v>172</v>
      </c>
    </row>
    <row r="9" spans="1:17" ht="30" customHeight="1">
      <c r="A9" s="3900"/>
      <c r="B9" s="2160" t="s">
        <v>0</v>
      </c>
      <c r="C9" s="2190">
        <f t="shared" ref="C9:Q9" si="2">C8/C4*100</f>
        <v>44.331034482758618</v>
      </c>
      <c r="D9" s="2190">
        <f t="shared" si="2"/>
        <v>42.983028720626635</v>
      </c>
      <c r="E9" s="2190">
        <f t="shared" si="2"/>
        <v>51.693404634581107</v>
      </c>
      <c r="F9" s="2190">
        <f t="shared" si="2"/>
        <v>44.230769230769226</v>
      </c>
      <c r="G9" s="2190">
        <f t="shared" si="2"/>
        <v>41.839557399723375</v>
      </c>
      <c r="H9" s="2190">
        <f t="shared" si="2"/>
        <v>58.401639344262293</v>
      </c>
      <c r="I9" s="2190">
        <f t="shared" si="2"/>
        <v>55.277687560896396</v>
      </c>
      <c r="J9" s="2190">
        <f t="shared" si="2"/>
        <v>53.3826247689464</v>
      </c>
      <c r="K9" s="2190">
        <f t="shared" si="2"/>
        <v>68.983957219251337</v>
      </c>
      <c r="L9" s="2190">
        <f t="shared" si="2"/>
        <v>69.161793372319693</v>
      </c>
      <c r="M9" s="2190">
        <f t="shared" si="2"/>
        <v>69.995581087052585</v>
      </c>
      <c r="N9" s="2190">
        <f t="shared" si="2"/>
        <v>62.913907284768214</v>
      </c>
      <c r="O9" s="2190">
        <f t="shared" si="2"/>
        <v>70.223820943245414</v>
      </c>
      <c r="P9" s="2190">
        <f t="shared" si="2"/>
        <v>70.885509838998203</v>
      </c>
      <c r="Q9" s="2191">
        <f t="shared" si="2"/>
        <v>64.661654135338338</v>
      </c>
    </row>
    <row r="10" spans="1:17" ht="30" customHeight="1">
      <c r="A10" s="3899" t="s">
        <v>3258</v>
      </c>
      <c r="B10" s="2160" t="s">
        <v>3223</v>
      </c>
      <c r="C10" s="2188">
        <v>1821</v>
      </c>
      <c r="D10" s="2188">
        <v>1569</v>
      </c>
      <c r="E10" s="2188">
        <v>252</v>
      </c>
      <c r="F10" s="2188">
        <v>1690</v>
      </c>
      <c r="G10" s="2188">
        <v>1507</v>
      </c>
      <c r="H10" s="2188">
        <v>183</v>
      </c>
      <c r="I10" s="2188">
        <v>1255</v>
      </c>
      <c r="J10" s="2188">
        <v>1146</v>
      </c>
      <c r="K10" s="2188">
        <v>109</v>
      </c>
      <c r="L10" s="2188">
        <v>703</v>
      </c>
      <c r="M10" s="2188">
        <v>606</v>
      </c>
      <c r="N10" s="2188">
        <v>97</v>
      </c>
      <c r="O10" s="2188">
        <v>637</v>
      </c>
      <c r="P10" s="2188">
        <v>559</v>
      </c>
      <c r="Q10" s="2193">
        <v>78</v>
      </c>
    </row>
    <row r="11" spans="1:17" ht="30" customHeight="1">
      <c r="A11" s="3900"/>
      <c r="B11" s="2160" t="s">
        <v>0</v>
      </c>
      <c r="C11" s="2190">
        <f t="shared" ref="C11:Q11" si="3">C10/C4*100</f>
        <v>50.234482758620693</v>
      </c>
      <c r="D11" s="2190">
        <f t="shared" si="3"/>
        <v>51.207571801566573</v>
      </c>
      <c r="E11" s="2190">
        <f t="shared" si="3"/>
        <v>44.919786096256686</v>
      </c>
      <c r="F11" s="2190">
        <f t="shared" si="3"/>
        <v>50</v>
      </c>
      <c r="G11" s="2190">
        <f t="shared" si="3"/>
        <v>52.109266943291843</v>
      </c>
      <c r="H11" s="2190">
        <f t="shared" si="3"/>
        <v>37.5</v>
      </c>
      <c r="I11" s="2190">
        <f t="shared" si="3"/>
        <v>40.75998700876908</v>
      </c>
      <c r="J11" s="2190">
        <f t="shared" si="3"/>
        <v>42.365988909426989</v>
      </c>
      <c r="K11" s="2190">
        <f t="shared" si="3"/>
        <v>29.144385026737968</v>
      </c>
      <c r="L11" s="2190">
        <f t="shared" si="3"/>
        <v>27.407407407407408</v>
      </c>
      <c r="M11" s="2190">
        <f t="shared" si="3"/>
        <v>26.778612461334511</v>
      </c>
      <c r="N11" s="2190">
        <f t="shared" si="3"/>
        <v>32.119205298013242</v>
      </c>
      <c r="O11" s="2190">
        <f t="shared" si="3"/>
        <v>25.45963229416467</v>
      </c>
      <c r="P11" s="2190">
        <f t="shared" si="3"/>
        <v>25</v>
      </c>
      <c r="Q11" s="2191">
        <f t="shared" si="3"/>
        <v>29.323308270676691</v>
      </c>
    </row>
    <row r="12" spans="1:17" ht="30" customHeight="1">
      <c r="A12" s="3899" t="s">
        <v>3259</v>
      </c>
      <c r="B12" s="2160" t="s">
        <v>3260</v>
      </c>
      <c r="C12" s="2188">
        <v>22</v>
      </c>
      <c r="D12" s="2188">
        <v>17</v>
      </c>
      <c r="E12" s="2188">
        <v>5</v>
      </c>
      <c r="F12" s="2188">
        <v>13</v>
      </c>
      <c r="G12" s="2188">
        <v>7</v>
      </c>
      <c r="H12" s="2188">
        <v>6</v>
      </c>
      <c r="I12" s="2188">
        <v>12</v>
      </c>
      <c r="J12" s="2188">
        <v>10</v>
      </c>
      <c r="K12" s="2188">
        <v>2</v>
      </c>
      <c r="L12" s="2188">
        <v>10</v>
      </c>
      <c r="M12" s="2188">
        <v>9</v>
      </c>
      <c r="N12" s="2188">
        <v>1</v>
      </c>
      <c r="O12" s="2188">
        <v>6</v>
      </c>
      <c r="P12" s="2188">
        <v>6</v>
      </c>
      <c r="Q12" s="2193" t="s">
        <v>1</v>
      </c>
    </row>
    <row r="13" spans="1:17" ht="30" customHeight="1">
      <c r="A13" s="3900"/>
      <c r="B13" s="2160" t="s">
        <v>0</v>
      </c>
      <c r="C13" s="2191">
        <f t="shared" ref="C13:P13" si="4">C12/C4*100</f>
        <v>0.60689655172413792</v>
      </c>
      <c r="D13" s="2191">
        <f t="shared" si="4"/>
        <v>0.55483028720626626</v>
      </c>
      <c r="E13" s="2191">
        <f t="shared" si="4"/>
        <v>0.89126559714795017</v>
      </c>
      <c r="F13" s="2191">
        <f t="shared" si="4"/>
        <v>0.38461538461538464</v>
      </c>
      <c r="G13" s="2191">
        <f t="shared" si="4"/>
        <v>0.24204702627939143</v>
      </c>
      <c r="H13" s="2191">
        <f t="shared" si="4"/>
        <v>1.2295081967213115</v>
      </c>
      <c r="I13" s="2191">
        <f t="shared" si="4"/>
        <v>0.38973692757388761</v>
      </c>
      <c r="J13" s="2191">
        <f t="shared" si="4"/>
        <v>0.36968576709796674</v>
      </c>
      <c r="K13" s="2191">
        <f t="shared" si="4"/>
        <v>0.53475935828876997</v>
      </c>
      <c r="L13" s="2191">
        <f t="shared" si="4"/>
        <v>0.38986354775828458</v>
      </c>
      <c r="M13" s="2191">
        <f t="shared" si="4"/>
        <v>0.3977021652673442</v>
      </c>
      <c r="N13" s="2191">
        <f t="shared" si="4"/>
        <v>0.33112582781456956</v>
      </c>
      <c r="O13" s="2191">
        <f t="shared" si="4"/>
        <v>0.23980815347721821</v>
      </c>
      <c r="P13" s="2191">
        <f t="shared" si="4"/>
        <v>0.26833631484794274</v>
      </c>
      <c r="Q13" s="2191" t="s">
        <v>3225</v>
      </c>
    </row>
    <row r="14" spans="1:17" ht="30" customHeight="1">
      <c r="A14" s="3899" t="s">
        <v>3261</v>
      </c>
      <c r="B14" s="2160" t="s">
        <v>3240</v>
      </c>
      <c r="C14" s="2188" t="s">
        <v>1</v>
      </c>
      <c r="D14" s="2188" t="s">
        <v>1</v>
      </c>
      <c r="E14" s="2188" t="s">
        <v>1</v>
      </c>
      <c r="F14" s="2188" t="s">
        <v>1</v>
      </c>
      <c r="G14" s="2188" t="s">
        <v>1</v>
      </c>
      <c r="H14" s="2188" t="s">
        <v>1</v>
      </c>
      <c r="I14" s="2188">
        <v>6</v>
      </c>
      <c r="J14" s="2188">
        <v>5</v>
      </c>
      <c r="K14" s="2188">
        <v>1</v>
      </c>
      <c r="L14" s="2188">
        <v>10</v>
      </c>
      <c r="M14" s="2188">
        <v>10</v>
      </c>
      <c r="N14" s="2188" t="s">
        <v>1</v>
      </c>
      <c r="O14" s="2188">
        <v>9</v>
      </c>
      <c r="P14" s="2188">
        <v>8</v>
      </c>
      <c r="Q14" s="2193">
        <v>1</v>
      </c>
    </row>
    <row r="15" spans="1:17" ht="30" customHeight="1">
      <c r="A15" s="3904"/>
      <c r="B15" s="2165" t="s">
        <v>0</v>
      </c>
      <c r="C15" s="2194" t="s">
        <v>3242</v>
      </c>
      <c r="D15" s="2194" t="s">
        <v>3225</v>
      </c>
      <c r="E15" s="2194" t="s">
        <v>3262</v>
      </c>
      <c r="F15" s="2194" t="s">
        <v>3242</v>
      </c>
      <c r="G15" s="2194" t="s">
        <v>3225</v>
      </c>
      <c r="H15" s="2194" t="s">
        <v>3242</v>
      </c>
      <c r="I15" s="2194">
        <f>I14/I4*100</f>
        <v>0.19486846378694381</v>
      </c>
      <c r="J15" s="2194">
        <f>J14/J4*100</f>
        <v>0.18484288354898337</v>
      </c>
      <c r="K15" s="2194">
        <f>K14/K4*100</f>
        <v>0.26737967914438499</v>
      </c>
      <c r="L15" s="2194">
        <f>L14/L4*100</f>
        <v>0.38986354775828458</v>
      </c>
      <c r="M15" s="2194">
        <f>M14/M4*100</f>
        <v>0.44189129474149363</v>
      </c>
      <c r="N15" s="2194" t="s">
        <v>3242</v>
      </c>
      <c r="O15" s="2194">
        <f>O14/O4*100</f>
        <v>0.35971223021582738</v>
      </c>
      <c r="P15" s="2194">
        <f>P14/P4*100</f>
        <v>0.35778175313059035</v>
      </c>
      <c r="Q15" s="2195">
        <f>Q14/Q4*100</f>
        <v>0.37593984962406013</v>
      </c>
    </row>
    <row r="16" spans="1:17" s="2170" customFormat="1" ht="14.25">
      <c r="A16" s="2170" t="s">
        <v>997</v>
      </c>
      <c r="B16" s="2196"/>
      <c r="C16" s="2184"/>
      <c r="D16" s="2184"/>
      <c r="E16" s="2184"/>
      <c r="F16" s="2184"/>
      <c r="G16" s="2184"/>
      <c r="H16" s="2184"/>
    </row>
    <row r="17" spans="1:8" s="2170" customFormat="1" ht="14.25">
      <c r="A17" s="2167" t="s">
        <v>3233</v>
      </c>
      <c r="B17" s="2196"/>
    </row>
    <row r="18" spans="1:8">
      <c r="B18" s="2198"/>
      <c r="C18" s="2199"/>
      <c r="D18" s="2199"/>
      <c r="E18" s="2199"/>
      <c r="F18" s="2199"/>
      <c r="G18" s="2199"/>
      <c r="H18" s="2199"/>
    </row>
    <row r="19" spans="1:8">
      <c r="B19" s="2198"/>
    </row>
    <row r="20" spans="1:8">
      <c r="B20" s="2192"/>
    </row>
  </sheetData>
  <mergeCells count="13">
    <mergeCell ref="A14:A15"/>
    <mergeCell ref="A1:Q1"/>
    <mergeCell ref="A2:B3"/>
    <mergeCell ref="C2:E2"/>
    <mergeCell ref="F2:H2"/>
    <mergeCell ref="I2:K2"/>
    <mergeCell ref="L2:N2"/>
    <mergeCell ref="O2:Q2"/>
    <mergeCell ref="A4:A5"/>
    <mergeCell ref="A6:A7"/>
    <mergeCell ref="A8:A9"/>
    <mergeCell ref="A10:A11"/>
    <mergeCell ref="A12:A13"/>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55"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Q40"/>
  <sheetViews>
    <sheetView showGridLines="0" workbookViewId="0">
      <selection activeCell="B18" sqref="B18:D18"/>
    </sheetView>
  </sheetViews>
  <sheetFormatPr defaultRowHeight="15.75"/>
  <cols>
    <col min="1" max="1" width="20.625" style="2156" customWidth="1"/>
    <col min="2" max="2" width="6.375" style="2156" customWidth="1"/>
    <col min="3" max="17" width="8.625" style="2156" customWidth="1"/>
    <col min="18" max="256" width="9" style="2156"/>
    <col min="257" max="257" width="22.375" style="2156" customWidth="1"/>
    <col min="258" max="258" width="6.375" style="2156" customWidth="1"/>
    <col min="259" max="270" width="6.75" style="2156" customWidth="1"/>
    <col min="271" max="273" width="7.125" style="2156" customWidth="1"/>
    <col min="274" max="512" width="9" style="2156"/>
    <col min="513" max="513" width="22.375" style="2156" customWidth="1"/>
    <col min="514" max="514" width="6.375" style="2156" customWidth="1"/>
    <col min="515" max="526" width="6.75" style="2156" customWidth="1"/>
    <col min="527" max="529" width="7.125" style="2156" customWidth="1"/>
    <col min="530" max="768" width="9" style="2156"/>
    <col min="769" max="769" width="22.375" style="2156" customWidth="1"/>
    <col min="770" max="770" width="6.375" style="2156" customWidth="1"/>
    <col min="771" max="782" width="6.75" style="2156" customWidth="1"/>
    <col min="783" max="785" width="7.125" style="2156" customWidth="1"/>
    <col min="786" max="1024" width="9" style="2156"/>
    <col min="1025" max="1025" width="22.375" style="2156" customWidth="1"/>
    <col min="1026" max="1026" width="6.375" style="2156" customWidth="1"/>
    <col min="1027" max="1038" width="6.75" style="2156" customWidth="1"/>
    <col min="1039" max="1041" width="7.125" style="2156" customWidth="1"/>
    <col min="1042" max="1280" width="9" style="2156"/>
    <col min="1281" max="1281" width="22.375" style="2156" customWidth="1"/>
    <col min="1282" max="1282" width="6.375" style="2156" customWidth="1"/>
    <col min="1283" max="1294" width="6.75" style="2156" customWidth="1"/>
    <col min="1295" max="1297" width="7.125" style="2156" customWidth="1"/>
    <col min="1298" max="1536" width="9" style="2156"/>
    <col min="1537" max="1537" width="22.375" style="2156" customWidth="1"/>
    <col min="1538" max="1538" width="6.375" style="2156" customWidth="1"/>
    <col min="1539" max="1550" width="6.75" style="2156" customWidth="1"/>
    <col min="1551" max="1553" width="7.125" style="2156" customWidth="1"/>
    <col min="1554" max="1792" width="9" style="2156"/>
    <col min="1793" max="1793" width="22.375" style="2156" customWidth="1"/>
    <col min="1794" max="1794" width="6.375" style="2156" customWidth="1"/>
    <col min="1795" max="1806" width="6.75" style="2156" customWidth="1"/>
    <col min="1807" max="1809" width="7.125" style="2156" customWidth="1"/>
    <col min="1810" max="2048" width="9" style="2156"/>
    <col min="2049" max="2049" width="22.375" style="2156" customWidth="1"/>
    <col min="2050" max="2050" width="6.375" style="2156" customWidth="1"/>
    <col min="2051" max="2062" width="6.75" style="2156" customWidth="1"/>
    <col min="2063" max="2065" width="7.125" style="2156" customWidth="1"/>
    <col min="2066" max="2304" width="9" style="2156"/>
    <col min="2305" max="2305" width="22.375" style="2156" customWidth="1"/>
    <col min="2306" max="2306" width="6.375" style="2156" customWidth="1"/>
    <col min="2307" max="2318" width="6.75" style="2156" customWidth="1"/>
    <col min="2319" max="2321" width="7.125" style="2156" customWidth="1"/>
    <col min="2322" max="2560" width="9" style="2156"/>
    <col min="2561" max="2561" width="22.375" style="2156" customWidth="1"/>
    <col min="2562" max="2562" width="6.375" style="2156" customWidth="1"/>
    <col min="2563" max="2574" width="6.75" style="2156" customWidth="1"/>
    <col min="2575" max="2577" width="7.125" style="2156" customWidth="1"/>
    <col min="2578" max="2816" width="9" style="2156"/>
    <col min="2817" max="2817" width="22.375" style="2156" customWidth="1"/>
    <col min="2818" max="2818" width="6.375" style="2156" customWidth="1"/>
    <col min="2819" max="2830" width="6.75" style="2156" customWidth="1"/>
    <col min="2831" max="2833" width="7.125" style="2156" customWidth="1"/>
    <col min="2834" max="3072" width="9" style="2156"/>
    <col min="3073" max="3073" width="22.375" style="2156" customWidth="1"/>
    <col min="3074" max="3074" width="6.375" style="2156" customWidth="1"/>
    <col min="3075" max="3086" width="6.75" style="2156" customWidth="1"/>
    <col min="3087" max="3089" width="7.125" style="2156" customWidth="1"/>
    <col min="3090" max="3328" width="9" style="2156"/>
    <col min="3329" max="3329" width="22.375" style="2156" customWidth="1"/>
    <col min="3330" max="3330" width="6.375" style="2156" customWidth="1"/>
    <col min="3331" max="3342" width="6.75" style="2156" customWidth="1"/>
    <col min="3343" max="3345" width="7.125" style="2156" customWidth="1"/>
    <col min="3346" max="3584" width="9" style="2156"/>
    <col min="3585" max="3585" width="22.375" style="2156" customWidth="1"/>
    <col min="3586" max="3586" width="6.375" style="2156" customWidth="1"/>
    <col min="3587" max="3598" width="6.75" style="2156" customWidth="1"/>
    <col min="3599" max="3601" width="7.125" style="2156" customWidth="1"/>
    <col min="3602" max="3840" width="9" style="2156"/>
    <col min="3841" max="3841" width="22.375" style="2156" customWidth="1"/>
    <col min="3842" max="3842" width="6.375" style="2156" customWidth="1"/>
    <col min="3843" max="3854" width="6.75" style="2156" customWidth="1"/>
    <col min="3855" max="3857" width="7.125" style="2156" customWidth="1"/>
    <col min="3858" max="4096" width="9" style="2156"/>
    <col min="4097" max="4097" width="22.375" style="2156" customWidth="1"/>
    <col min="4098" max="4098" width="6.375" style="2156" customWidth="1"/>
    <col min="4099" max="4110" width="6.75" style="2156" customWidth="1"/>
    <col min="4111" max="4113" width="7.125" style="2156" customWidth="1"/>
    <col min="4114" max="4352" width="9" style="2156"/>
    <col min="4353" max="4353" width="22.375" style="2156" customWidth="1"/>
    <col min="4354" max="4354" width="6.375" style="2156" customWidth="1"/>
    <col min="4355" max="4366" width="6.75" style="2156" customWidth="1"/>
    <col min="4367" max="4369" width="7.125" style="2156" customWidth="1"/>
    <col min="4370" max="4608" width="9" style="2156"/>
    <col min="4609" max="4609" width="22.375" style="2156" customWidth="1"/>
    <col min="4610" max="4610" width="6.375" style="2156" customWidth="1"/>
    <col min="4611" max="4622" width="6.75" style="2156" customWidth="1"/>
    <col min="4623" max="4625" width="7.125" style="2156" customWidth="1"/>
    <col min="4626" max="4864" width="9" style="2156"/>
    <col min="4865" max="4865" width="22.375" style="2156" customWidth="1"/>
    <col min="4866" max="4866" width="6.375" style="2156" customWidth="1"/>
    <col min="4867" max="4878" width="6.75" style="2156" customWidth="1"/>
    <col min="4879" max="4881" width="7.125" style="2156" customWidth="1"/>
    <col min="4882" max="5120" width="9" style="2156"/>
    <col min="5121" max="5121" width="22.375" style="2156" customWidth="1"/>
    <col min="5122" max="5122" width="6.375" style="2156" customWidth="1"/>
    <col min="5123" max="5134" width="6.75" style="2156" customWidth="1"/>
    <col min="5135" max="5137" width="7.125" style="2156" customWidth="1"/>
    <col min="5138" max="5376" width="9" style="2156"/>
    <col min="5377" max="5377" width="22.375" style="2156" customWidth="1"/>
    <col min="5378" max="5378" width="6.375" style="2156" customWidth="1"/>
    <col min="5379" max="5390" width="6.75" style="2156" customWidth="1"/>
    <col min="5391" max="5393" width="7.125" style="2156" customWidth="1"/>
    <col min="5394" max="5632" width="9" style="2156"/>
    <col min="5633" max="5633" width="22.375" style="2156" customWidth="1"/>
    <col min="5634" max="5634" width="6.375" style="2156" customWidth="1"/>
    <col min="5635" max="5646" width="6.75" style="2156" customWidth="1"/>
    <col min="5647" max="5649" width="7.125" style="2156" customWidth="1"/>
    <col min="5650" max="5888" width="9" style="2156"/>
    <col min="5889" max="5889" width="22.375" style="2156" customWidth="1"/>
    <col min="5890" max="5890" width="6.375" style="2156" customWidth="1"/>
    <col min="5891" max="5902" width="6.75" style="2156" customWidth="1"/>
    <col min="5903" max="5905" width="7.125" style="2156" customWidth="1"/>
    <col min="5906" max="6144" width="9" style="2156"/>
    <col min="6145" max="6145" width="22.375" style="2156" customWidth="1"/>
    <col min="6146" max="6146" width="6.375" style="2156" customWidth="1"/>
    <col min="6147" max="6158" width="6.75" style="2156" customWidth="1"/>
    <col min="6159" max="6161" width="7.125" style="2156" customWidth="1"/>
    <col min="6162" max="6400" width="9" style="2156"/>
    <col min="6401" max="6401" width="22.375" style="2156" customWidth="1"/>
    <col min="6402" max="6402" width="6.375" style="2156" customWidth="1"/>
    <col min="6403" max="6414" width="6.75" style="2156" customWidth="1"/>
    <col min="6415" max="6417" width="7.125" style="2156" customWidth="1"/>
    <col min="6418" max="6656" width="9" style="2156"/>
    <col min="6657" max="6657" width="22.375" style="2156" customWidth="1"/>
    <col min="6658" max="6658" width="6.375" style="2156" customWidth="1"/>
    <col min="6659" max="6670" width="6.75" style="2156" customWidth="1"/>
    <col min="6671" max="6673" width="7.125" style="2156" customWidth="1"/>
    <col min="6674" max="6912" width="9" style="2156"/>
    <col min="6913" max="6913" width="22.375" style="2156" customWidth="1"/>
    <col min="6914" max="6914" width="6.375" style="2156" customWidth="1"/>
    <col min="6915" max="6926" width="6.75" style="2156" customWidth="1"/>
    <col min="6927" max="6929" width="7.125" style="2156" customWidth="1"/>
    <col min="6930" max="7168" width="9" style="2156"/>
    <col min="7169" max="7169" width="22.375" style="2156" customWidth="1"/>
    <col min="7170" max="7170" width="6.375" style="2156" customWidth="1"/>
    <col min="7171" max="7182" width="6.75" style="2156" customWidth="1"/>
    <col min="7183" max="7185" width="7.125" style="2156" customWidth="1"/>
    <col min="7186" max="7424" width="9" style="2156"/>
    <col min="7425" max="7425" width="22.375" style="2156" customWidth="1"/>
    <col min="7426" max="7426" width="6.375" style="2156" customWidth="1"/>
    <col min="7427" max="7438" width="6.75" style="2156" customWidth="1"/>
    <col min="7439" max="7441" width="7.125" style="2156" customWidth="1"/>
    <col min="7442" max="7680" width="9" style="2156"/>
    <col min="7681" max="7681" width="22.375" style="2156" customWidth="1"/>
    <col min="7682" max="7682" width="6.375" style="2156" customWidth="1"/>
    <col min="7683" max="7694" width="6.75" style="2156" customWidth="1"/>
    <col min="7695" max="7697" width="7.125" style="2156" customWidth="1"/>
    <col min="7698" max="7936" width="9" style="2156"/>
    <col min="7937" max="7937" width="22.375" style="2156" customWidth="1"/>
    <col min="7938" max="7938" width="6.375" style="2156" customWidth="1"/>
    <col min="7939" max="7950" width="6.75" style="2156" customWidth="1"/>
    <col min="7951" max="7953" width="7.125" style="2156" customWidth="1"/>
    <col min="7954" max="8192" width="9" style="2156"/>
    <col min="8193" max="8193" width="22.375" style="2156" customWidth="1"/>
    <col min="8194" max="8194" width="6.375" style="2156" customWidth="1"/>
    <col min="8195" max="8206" width="6.75" style="2156" customWidth="1"/>
    <col min="8207" max="8209" width="7.125" style="2156" customWidth="1"/>
    <col min="8210" max="8448" width="9" style="2156"/>
    <col min="8449" max="8449" width="22.375" style="2156" customWidth="1"/>
    <col min="8450" max="8450" width="6.375" style="2156" customWidth="1"/>
    <col min="8451" max="8462" width="6.75" style="2156" customWidth="1"/>
    <col min="8463" max="8465" width="7.125" style="2156" customWidth="1"/>
    <col min="8466" max="8704" width="9" style="2156"/>
    <col min="8705" max="8705" width="22.375" style="2156" customWidth="1"/>
    <col min="8706" max="8706" width="6.375" style="2156" customWidth="1"/>
    <col min="8707" max="8718" width="6.75" style="2156" customWidth="1"/>
    <col min="8719" max="8721" width="7.125" style="2156" customWidth="1"/>
    <col min="8722" max="8960" width="9" style="2156"/>
    <col min="8961" max="8961" width="22.375" style="2156" customWidth="1"/>
    <col min="8962" max="8962" width="6.375" style="2156" customWidth="1"/>
    <col min="8963" max="8974" width="6.75" style="2156" customWidth="1"/>
    <col min="8975" max="8977" width="7.125" style="2156" customWidth="1"/>
    <col min="8978" max="9216" width="9" style="2156"/>
    <col min="9217" max="9217" width="22.375" style="2156" customWidth="1"/>
    <col min="9218" max="9218" width="6.375" style="2156" customWidth="1"/>
    <col min="9219" max="9230" width="6.75" style="2156" customWidth="1"/>
    <col min="9231" max="9233" width="7.125" style="2156" customWidth="1"/>
    <col min="9234" max="9472" width="9" style="2156"/>
    <col min="9473" max="9473" width="22.375" style="2156" customWidth="1"/>
    <col min="9474" max="9474" width="6.375" style="2156" customWidth="1"/>
    <col min="9475" max="9486" width="6.75" style="2156" customWidth="1"/>
    <col min="9487" max="9489" width="7.125" style="2156" customWidth="1"/>
    <col min="9490" max="9728" width="9" style="2156"/>
    <col min="9729" max="9729" width="22.375" style="2156" customWidth="1"/>
    <col min="9730" max="9730" width="6.375" style="2156" customWidth="1"/>
    <col min="9731" max="9742" width="6.75" style="2156" customWidth="1"/>
    <col min="9743" max="9745" width="7.125" style="2156" customWidth="1"/>
    <col min="9746" max="9984" width="9" style="2156"/>
    <col min="9985" max="9985" width="22.375" style="2156" customWidth="1"/>
    <col min="9986" max="9986" width="6.375" style="2156" customWidth="1"/>
    <col min="9987" max="9998" width="6.75" style="2156" customWidth="1"/>
    <col min="9999" max="10001" width="7.125" style="2156" customWidth="1"/>
    <col min="10002" max="10240" width="9" style="2156"/>
    <col min="10241" max="10241" width="22.375" style="2156" customWidth="1"/>
    <col min="10242" max="10242" width="6.375" style="2156" customWidth="1"/>
    <col min="10243" max="10254" width="6.75" style="2156" customWidth="1"/>
    <col min="10255" max="10257" width="7.125" style="2156" customWidth="1"/>
    <col min="10258" max="10496" width="9" style="2156"/>
    <col min="10497" max="10497" width="22.375" style="2156" customWidth="1"/>
    <col min="10498" max="10498" width="6.375" style="2156" customWidth="1"/>
    <col min="10499" max="10510" width="6.75" style="2156" customWidth="1"/>
    <col min="10511" max="10513" width="7.125" style="2156" customWidth="1"/>
    <col min="10514" max="10752" width="9" style="2156"/>
    <col min="10753" max="10753" width="22.375" style="2156" customWidth="1"/>
    <col min="10754" max="10754" width="6.375" style="2156" customWidth="1"/>
    <col min="10755" max="10766" width="6.75" style="2156" customWidth="1"/>
    <col min="10767" max="10769" width="7.125" style="2156" customWidth="1"/>
    <col min="10770" max="11008" width="9" style="2156"/>
    <col min="11009" max="11009" width="22.375" style="2156" customWidth="1"/>
    <col min="11010" max="11010" width="6.375" style="2156" customWidth="1"/>
    <col min="11011" max="11022" width="6.75" style="2156" customWidth="1"/>
    <col min="11023" max="11025" width="7.125" style="2156" customWidth="1"/>
    <col min="11026" max="11264" width="9" style="2156"/>
    <col min="11265" max="11265" width="22.375" style="2156" customWidth="1"/>
    <col min="11266" max="11266" width="6.375" style="2156" customWidth="1"/>
    <col min="11267" max="11278" width="6.75" style="2156" customWidth="1"/>
    <col min="11279" max="11281" width="7.125" style="2156" customWidth="1"/>
    <col min="11282" max="11520" width="9" style="2156"/>
    <col min="11521" max="11521" width="22.375" style="2156" customWidth="1"/>
    <col min="11522" max="11522" width="6.375" style="2156" customWidth="1"/>
    <col min="11523" max="11534" width="6.75" style="2156" customWidth="1"/>
    <col min="11535" max="11537" width="7.125" style="2156" customWidth="1"/>
    <col min="11538" max="11776" width="9" style="2156"/>
    <col min="11777" max="11777" width="22.375" style="2156" customWidth="1"/>
    <col min="11778" max="11778" width="6.375" style="2156" customWidth="1"/>
    <col min="11779" max="11790" width="6.75" style="2156" customWidth="1"/>
    <col min="11791" max="11793" width="7.125" style="2156" customWidth="1"/>
    <col min="11794" max="12032" width="9" style="2156"/>
    <col min="12033" max="12033" width="22.375" style="2156" customWidth="1"/>
    <col min="12034" max="12034" width="6.375" style="2156" customWidth="1"/>
    <col min="12035" max="12046" width="6.75" style="2156" customWidth="1"/>
    <col min="12047" max="12049" width="7.125" style="2156" customWidth="1"/>
    <col min="12050" max="12288" width="9" style="2156"/>
    <col min="12289" max="12289" width="22.375" style="2156" customWidth="1"/>
    <col min="12290" max="12290" width="6.375" style="2156" customWidth="1"/>
    <col min="12291" max="12302" width="6.75" style="2156" customWidth="1"/>
    <col min="12303" max="12305" width="7.125" style="2156" customWidth="1"/>
    <col min="12306" max="12544" width="9" style="2156"/>
    <col min="12545" max="12545" width="22.375" style="2156" customWidth="1"/>
    <col min="12546" max="12546" width="6.375" style="2156" customWidth="1"/>
    <col min="12547" max="12558" width="6.75" style="2156" customWidth="1"/>
    <col min="12559" max="12561" width="7.125" style="2156" customWidth="1"/>
    <col min="12562" max="12800" width="9" style="2156"/>
    <col min="12801" max="12801" width="22.375" style="2156" customWidth="1"/>
    <col min="12802" max="12802" width="6.375" style="2156" customWidth="1"/>
    <col min="12803" max="12814" width="6.75" style="2156" customWidth="1"/>
    <col min="12815" max="12817" width="7.125" style="2156" customWidth="1"/>
    <col min="12818" max="13056" width="9" style="2156"/>
    <col min="13057" max="13057" width="22.375" style="2156" customWidth="1"/>
    <col min="13058" max="13058" width="6.375" style="2156" customWidth="1"/>
    <col min="13059" max="13070" width="6.75" style="2156" customWidth="1"/>
    <col min="13071" max="13073" width="7.125" style="2156" customWidth="1"/>
    <col min="13074" max="13312" width="9" style="2156"/>
    <col min="13313" max="13313" width="22.375" style="2156" customWidth="1"/>
    <col min="13314" max="13314" width="6.375" style="2156" customWidth="1"/>
    <col min="13315" max="13326" width="6.75" style="2156" customWidth="1"/>
    <col min="13327" max="13329" width="7.125" style="2156" customWidth="1"/>
    <col min="13330" max="13568" width="9" style="2156"/>
    <col min="13569" max="13569" width="22.375" style="2156" customWidth="1"/>
    <col min="13570" max="13570" width="6.375" style="2156" customWidth="1"/>
    <col min="13571" max="13582" width="6.75" style="2156" customWidth="1"/>
    <col min="13583" max="13585" width="7.125" style="2156" customWidth="1"/>
    <col min="13586" max="13824" width="9" style="2156"/>
    <col min="13825" max="13825" width="22.375" style="2156" customWidth="1"/>
    <col min="13826" max="13826" width="6.375" style="2156" customWidth="1"/>
    <col min="13827" max="13838" width="6.75" style="2156" customWidth="1"/>
    <col min="13839" max="13841" width="7.125" style="2156" customWidth="1"/>
    <col min="13842" max="14080" width="9" style="2156"/>
    <col min="14081" max="14081" width="22.375" style="2156" customWidth="1"/>
    <col min="14082" max="14082" width="6.375" style="2156" customWidth="1"/>
    <col min="14083" max="14094" width="6.75" style="2156" customWidth="1"/>
    <col min="14095" max="14097" width="7.125" style="2156" customWidth="1"/>
    <col min="14098" max="14336" width="9" style="2156"/>
    <col min="14337" max="14337" width="22.375" style="2156" customWidth="1"/>
    <col min="14338" max="14338" width="6.375" style="2156" customWidth="1"/>
    <col min="14339" max="14350" width="6.75" style="2156" customWidth="1"/>
    <col min="14351" max="14353" width="7.125" style="2156" customWidth="1"/>
    <col min="14354" max="14592" width="9" style="2156"/>
    <col min="14593" max="14593" width="22.375" style="2156" customWidth="1"/>
    <col min="14594" max="14594" width="6.375" style="2156" customWidth="1"/>
    <col min="14595" max="14606" width="6.75" style="2156" customWidth="1"/>
    <col min="14607" max="14609" width="7.125" style="2156" customWidth="1"/>
    <col min="14610" max="14848" width="9" style="2156"/>
    <col min="14849" max="14849" width="22.375" style="2156" customWidth="1"/>
    <col min="14850" max="14850" width="6.375" style="2156" customWidth="1"/>
    <col min="14851" max="14862" width="6.75" style="2156" customWidth="1"/>
    <col min="14863" max="14865" width="7.125" style="2156" customWidth="1"/>
    <col min="14866" max="15104" width="9" style="2156"/>
    <col min="15105" max="15105" width="22.375" style="2156" customWidth="1"/>
    <col min="15106" max="15106" width="6.375" style="2156" customWidth="1"/>
    <col min="15107" max="15118" width="6.75" style="2156" customWidth="1"/>
    <col min="15119" max="15121" width="7.125" style="2156" customWidth="1"/>
    <col min="15122" max="15360" width="9" style="2156"/>
    <col min="15361" max="15361" width="22.375" style="2156" customWidth="1"/>
    <col min="15362" max="15362" width="6.375" style="2156" customWidth="1"/>
    <col min="15363" max="15374" width="6.75" style="2156" customWidth="1"/>
    <col min="15375" max="15377" width="7.125" style="2156" customWidth="1"/>
    <col min="15378" max="15616" width="9" style="2156"/>
    <col min="15617" max="15617" width="22.375" style="2156" customWidth="1"/>
    <col min="15618" max="15618" width="6.375" style="2156" customWidth="1"/>
    <col min="15619" max="15630" width="6.75" style="2156" customWidth="1"/>
    <col min="15631" max="15633" width="7.125" style="2156" customWidth="1"/>
    <col min="15634" max="15872" width="9" style="2156"/>
    <col min="15873" max="15873" width="22.375" style="2156" customWidth="1"/>
    <col min="15874" max="15874" width="6.375" style="2156" customWidth="1"/>
    <col min="15875" max="15886" width="6.75" style="2156" customWidth="1"/>
    <col min="15887" max="15889" width="7.125" style="2156" customWidth="1"/>
    <col min="15890" max="16128" width="9" style="2156"/>
    <col min="16129" max="16129" width="22.375" style="2156" customWidth="1"/>
    <col min="16130" max="16130" width="6.375" style="2156" customWidth="1"/>
    <col min="16131" max="16142" width="6.75" style="2156" customWidth="1"/>
    <col min="16143" max="16145" width="7.125" style="2156" customWidth="1"/>
    <col min="16146" max="16384" width="9" style="2156"/>
  </cols>
  <sheetData>
    <row r="1" spans="1:17" s="2153" customFormat="1" ht="25.35" customHeight="1">
      <c r="A1" s="3895" t="s">
        <v>3263</v>
      </c>
      <c r="B1" s="3895"/>
      <c r="C1" s="3895"/>
      <c r="D1" s="3895"/>
      <c r="E1" s="3895"/>
      <c r="F1" s="3895"/>
      <c r="G1" s="3895"/>
      <c r="H1" s="3895"/>
      <c r="I1" s="3895"/>
      <c r="J1" s="3895"/>
      <c r="K1" s="3895"/>
      <c r="L1" s="3895"/>
      <c r="M1" s="3895"/>
      <c r="N1" s="3895"/>
      <c r="O1" s="3896"/>
      <c r="P1" s="3896"/>
      <c r="Q1" s="3896"/>
    </row>
    <row r="2" spans="1:17" ht="18" customHeight="1">
      <c r="A2" s="3903"/>
      <c r="B2" s="3903"/>
      <c r="C2" s="3905" t="s">
        <v>3198</v>
      </c>
      <c r="D2" s="3905"/>
      <c r="E2" s="3905"/>
      <c r="F2" s="3907" t="s">
        <v>3218</v>
      </c>
      <c r="G2" s="3905"/>
      <c r="H2" s="3905"/>
      <c r="I2" s="3907" t="s">
        <v>3200</v>
      </c>
      <c r="J2" s="3905"/>
      <c r="K2" s="3905"/>
      <c r="L2" s="3907" t="s">
        <v>3201</v>
      </c>
      <c r="M2" s="3905"/>
      <c r="N2" s="3905"/>
      <c r="O2" s="3907" t="s">
        <v>3202</v>
      </c>
      <c r="P2" s="3905"/>
      <c r="Q2" s="3905"/>
    </row>
    <row r="3" spans="1:17" ht="18" customHeight="1">
      <c r="A3" s="3904"/>
      <c r="B3" s="3904"/>
      <c r="C3" s="2175" t="s">
        <v>3219</v>
      </c>
      <c r="D3" s="2155" t="s">
        <v>3220</v>
      </c>
      <c r="E3" s="2155" t="s">
        <v>3221</v>
      </c>
      <c r="F3" s="2176" t="s">
        <v>3219</v>
      </c>
      <c r="G3" s="2155" t="s">
        <v>3264</v>
      </c>
      <c r="H3" s="2155" t="s">
        <v>3221</v>
      </c>
      <c r="I3" s="2176" t="s">
        <v>3219</v>
      </c>
      <c r="J3" s="2155" t="s">
        <v>3220</v>
      </c>
      <c r="K3" s="2155" t="s">
        <v>3221</v>
      </c>
      <c r="L3" s="2176" t="s">
        <v>3219</v>
      </c>
      <c r="M3" s="2155" t="s">
        <v>3265</v>
      </c>
      <c r="N3" s="2155" t="s">
        <v>3221</v>
      </c>
      <c r="O3" s="2176" t="s">
        <v>3219</v>
      </c>
      <c r="P3" s="2155" t="s">
        <v>3236</v>
      </c>
      <c r="Q3" s="2155" t="s">
        <v>3221</v>
      </c>
    </row>
    <row r="4" spans="1:17" ht="16.5" customHeight="1">
      <c r="A4" s="3899" t="s">
        <v>3238</v>
      </c>
      <c r="B4" s="2160" t="s">
        <v>3223</v>
      </c>
      <c r="C4" s="2200">
        <f t="shared" ref="C4:Q5" si="0">SUM(C16,C14,C18,C12,C20,C8,C24,C28,C6,C22,C30,C26,C10,C32,C34)</f>
        <v>3625</v>
      </c>
      <c r="D4" s="2200">
        <f t="shared" si="0"/>
        <v>3064</v>
      </c>
      <c r="E4" s="2200">
        <f t="shared" si="0"/>
        <v>561</v>
      </c>
      <c r="F4" s="2200">
        <f t="shared" si="0"/>
        <v>3380</v>
      </c>
      <c r="G4" s="2200">
        <f t="shared" si="0"/>
        <v>2892</v>
      </c>
      <c r="H4" s="2200">
        <f t="shared" si="0"/>
        <v>488</v>
      </c>
      <c r="I4" s="2200">
        <f t="shared" si="0"/>
        <v>3079</v>
      </c>
      <c r="J4" s="2200">
        <f t="shared" si="0"/>
        <v>2705</v>
      </c>
      <c r="K4" s="2200">
        <f t="shared" si="0"/>
        <v>374</v>
      </c>
      <c r="L4" s="2200">
        <f t="shared" si="0"/>
        <v>2565</v>
      </c>
      <c r="M4" s="2200">
        <f t="shared" si="0"/>
        <v>2263</v>
      </c>
      <c r="N4" s="2200">
        <f t="shared" si="0"/>
        <v>302</v>
      </c>
      <c r="O4" s="2200">
        <f t="shared" si="0"/>
        <v>2502</v>
      </c>
      <c r="P4" s="2200">
        <f t="shared" si="0"/>
        <v>2236</v>
      </c>
      <c r="Q4" s="2177">
        <f t="shared" si="0"/>
        <v>266</v>
      </c>
    </row>
    <row r="5" spans="1:17" ht="16.5" customHeight="1">
      <c r="A5" s="3899"/>
      <c r="B5" s="2160" t="s">
        <v>0</v>
      </c>
      <c r="C5" s="2178">
        <f t="shared" si="0"/>
        <v>100</v>
      </c>
      <c r="D5" s="2178">
        <f t="shared" si="0"/>
        <v>100</v>
      </c>
      <c r="E5" s="2178">
        <f t="shared" si="0"/>
        <v>100</v>
      </c>
      <c r="F5" s="2178">
        <f t="shared" si="0"/>
        <v>99.999999999999986</v>
      </c>
      <c r="G5" s="2178">
        <f t="shared" si="0"/>
        <v>99.999999999999986</v>
      </c>
      <c r="H5" s="2178">
        <f t="shared" si="0"/>
        <v>100</v>
      </c>
      <c r="I5" s="2178">
        <f t="shared" si="0"/>
        <v>100</v>
      </c>
      <c r="J5" s="2178">
        <f t="shared" si="0"/>
        <v>100.00000000000001</v>
      </c>
      <c r="K5" s="2178">
        <f t="shared" si="0"/>
        <v>100</v>
      </c>
      <c r="L5" s="2178">
        <f t="shared" si="0"/>
        <v>100.00000000000001</v>
      </c>
      <c r="M5" s="2178">
        <f t="shared" si="0"/>
        <v>100.00000000000001</v>
      </c>
      <c r="N5" s="2178">
        <f t="shared" si="0"/>
        <v>100</v>
      </c>
      <c r="O5" s="2178">
        <f t="shared" si="0"/>
        <v>100.00000000000001</v>
      </c>
      <c r="P5" s="2178">
        <f t="shared" si="0"/>
        <v>100</v>
      </c>
      <c r="Q5" s="2179">
        <f t="shared" si="0"/>
        <v>99.999999999999986</v>
      </c>
    </row>
    <row r="6" spans="1:17" ht="16.5" customHeight="1">
      <c r="A6" s="3899" t="s">
        <v>3266</v>
      </c>
      <c r="B6" s="2160" t="s">
        <v>3223</v>
      </c>
      <c r="C6" s="2200">
        <v>296</v>
      </c>
      <c r="D6" s="2200">
        <v>268</v>
      </c>
      <c r="E6" s="2200">
        <v>28</v>
      </c>
      <c r="F6" s="2200">
        <v>439</v>
      </c>
      <c r="G6" s="2200">
        <v>405</v>
      </c>
      <c r="H6" s="2200">
        <v>34</v>
      </c>
      <c r="I6" s="2200">
        <v>520</v>
      </c>
      <c r="J6" s="2200">
        <v>493</v>
      </c>
      <c r="K6" s="2200">
        <v>27</v>
      </c>
      <c r="L6" s="2200">
        <v>510</v>
      </c>
      <c r="M6" s="2200">
        <v>469</v>
      </c>
      <c r="N6" s="2200">
        <v>41</v>
      </c>
      <c r="O6" s="2200">
        <v>508</v>
      </c>
      <c r="P6" s="2200">
        <v>464</v>
      </c>
      <c r="Q6" s="2180">
        <v>44</v>
      </c>
    </row>
    <row r="7" spans="1:17" ht="16.5" customHeight="1">
      <c r="A7" s="3899"/>
      <c r="B7" s="2160" t="s">
        <v>0</v>
      </c>
      <c r="C7" s="2178">
        <v>8.1655172413793107</v>
      </c>
      <c r="D7" s="2178">
        <v>8.7467362924281993</v>
      </c>
      <c r="E7" s="2178">
        <v>4.9910873440285206</v>
      </c>
      <c r="F7" s="2178">
        <v>12.988165680473374</v>
      </c>
      <c r="G7" s="2178">
        <v>14.004149377593361</v>
      </c>
      <c r="H7" s="2178">
        <v>6.9672131147540979</v>
      </c>
      <c r="I7" s="2178">
        <v>16.888600194868463</v>
      </c>
      <c r="J7" s="2178">
        <v>18.225508317929759</v>
      </c>
      <c r="K7" s="2178">
        <v>7.2192513368983953</v>
      </c>
      <c r="L7" s="2178">
        <v>19.883040935672515</v>
      </c>
      <c r="M7" s="2178">
        <v>20.72470172337605</v>
      </c>
      <c r="N7" s="2178">
        <v>13.576158940397351</v>
      </c>
      <c r="O7" s="2178">
        <v>20.303756994404477</v>
      </c>
      <c r="P7" s="2178">
        <v>20.751341681574239</v>
      </c>
      <c r="Q7" s="2179">
        <v>16.541353383458645</v>
      </c>
    </row>
    <row r="8" spans="1:17" ht="16.5" customHeight="1">
      <c r="A8" s="3899" t="s">
        <v>3267</v>
      </c>
      <c r="B8" s="2160" t="s">
        <v>3223</v>
      </c>
      <c r="C8" s="2200">
        <v>666</v>
      </c>
      <c r="D8" s="2200">
        <v>558</v>
      </c>
      <c r="E8" s="2200">
        <v>108</v>
      </c>
      <c r="F8" s="2200">
        <v>562</v>
      </c>
      <c r="G8" s="2200">
        <v>492</v>
      </c>
      <c r="H8" s="2200">
        <v>70</v>
      </c>
      <c r="I8" s="2200">
        <v>500</v>
      </c>
      <c r="J8" s="2200">
        <v>441</v>
      </c>
      <c r="K8" s="2200">
        <v>59</v>
      </c>
      <c r="L8" s="2200">
        <v>415</v>
      </c>
      <c r="M8" s="2200">
        <v>363</v>
      </c>
      <c r="N8" s="2200">
        <v>52</v>
      </c>
      <c r="O8" s="2200">
        <v>451</v>
      </c>
      <c r="P8" s="2200">
        <v>393</v>
      </c>
      <c r="Q8" s="2180">
        <v>58</v>
      </c>
    </row>
    <row r="9" spans="1:17" ht="16.5" customHeight="1">
      <c r="A9" s="3899"/>
      <c r="B9" s="2160" t="s">
        <v>0</v>
      </c>
      <c r="C9" s="2178">
        <v>18.372413793103448</v>
      </c>
      <c r="D9" s="2178">
        <v>18.211488250652742</v>
      </c>
      <c r="E9" s="2178">
        <v>19.251336898395721</v>
      </c>
      <c r="F9" s="2178">
        <v>16.627218934911241</v>
      </c>
      <c r="G9" s="2178">
        <v>17.012448132780083</v>
      </c>
      <c r="H9" s="2178">
        <v>14.344262295081966</v>
      </c>
      <c r="I9" s="2178">
        <v>16.239038648911986</v>
      </c>
      <c r="J9" s="2178">
        <v>16.303142329020332</v>
      </c>
      <c r="K9" s="2178">
        <v>15.775401069518717</v>
      </c>
      <c r="L9" s="2178">
        <v>16.179337231968809</v>
      </c>
      <c r="M9" s="2178">
        <v>16.040653999116216</v>
      </c>
      <c r="N9" s="2178">
        <v>17.218543046357617</v>
      </c>
      <c r="O9" s="2178">
        <v>18.025579536370902</v>
      </c>
      <c r="P9" s="2178">
        <v>17.576028622540253</v>
      </c>
      <c r="Q9" s="2179">
        <v>21.804511278195488</v>
      </c>
    </row>
    <row r="10" spans="1:17" ht="16.5" customHeight="1">
      <c r="A10" s="3899" t="s">
        <v>3268</v>
      </c>
      <c r="B10" s="2160" t="s">
        <v>3223</v>
      </c>
      <c r="C10" s="2200">
        <v>835</v>
      </c>
      <c r="D10" s="2200">
        <v>645</v>
      </c>
      <c r="E10" s="2200">
        <v>190</v>
      </c>
      <c r="F10" s="2200">
        <v>753</v>
      </c>
      <c r="G10" s="2200">
        <v>589</v>
      </c>
      <c r="H10" s="2200">
        <v>164</v>
      </c>
      <c r="I10" s="2200">
        <v>624</v>
      </c>
      <c r="J10" s="2200">
        <v>503</v>
      </c>
      <c r="K10" s="2200">
        <v>121</v>
      </c>
      <c r="L10" s="2200">
        <v>437</v>
      </c>
      <c r="M10" s="2200">
        <v>350</v>
      </c>
      <c r="N10" s="2200">
        <v>87</v>
      </c>
      <c r="O10" s="2200">
        <v>369</v>
      </c>
      <c r="P10" s="2200">
        <v>299</v>
      </c>
      <c r="Q10" s="2180">
        <v>70</v>
      </c>
    </row>
    <row r="11" spans="1:17" ht="16.5" customHeight="1">
      <c r="A11" s="3899"/>
      <c r="B11" s="2160" t="s">
        <v>0</v>
      </c>
      <c r="C11" s="2178">
        <v>23.03448275862069</v>
      </c>
      <c r="D11" s="2178">
        <v>21.050913838120106</v>
      </c>
      <c r="E11" s="2178">
        <v>33.868092691622103</v>
      </c>
      <c r="F11" s="2178">
        <v>22.278106508875737</v>
      </c>
      <c r="G11" s="2178">
        <v>20.36652835408022</v>
      </c>
      <c r="H11" s="2178">
        <v>33.606557377049178</v>
      </c>
      <c r="I11" s="2178">
        <v>20.266320233842155</v>
      </c>
      <c r="J11" s="2178">
        <v>18.595194085027728</v>
      </c>
      <c r="K11" s="2178">
        <v>32.352941176470587</v>
      </c>
      <c r="L11" s="2178">
        <v>17.037037037037038</v>
      </c>
      <c r="M11" s="2178">
        <v>15.466195315952275</v>
      </c>
      <c r="N11" s="2178">
        <v>28.807947019867548</v>
      </c>
      <c r="O11" s="2178">
        <v>14.748201438848922</v>
      </c>
      <c r="P11" s="2178">
        <v>13.372093023255813</v>
      </c>
      <c r="Q11" s="2179">
        <v>26.315789473684209</v>
      </c>
    </row>
    <row r="12" spans="1:17" ht="16.5" customHeight="1">
      <c r="A12" s="3899" t="s">
        <v>3269</v>
      </c>
      <c r="B12" s="2160" t="s">
        <v>3223</v>
      </c>
      <c r="C12" s="2200">
        <v>386</v>
      </c>
      <c r="D12" s="2200">
        <v>351</v>
      </c>
      <c r="E12" s="2200">
        <v>35</v>
      </c>
      <c r="F12" s="2200">
        <v>373</v>
      </c>
      <c r="G12" s="2200">
        <v>344</v>
      </c>
      <c r="H12" s="2200">
        <v>29</v>
      </c>
      <c r="I12" s="2200">
        <v>301</v>
      </c>
      <c r="J12" s="2200">
        <v>279</v>
      </c>
      <c r="K12" s="2200">
        <v>22</v>
      </c>
      <c r="L12" s="2200">
        <v>278</v>
      </c>
      <c r="M12" s="2200">
        <v>263</v>
      </c>
      <c r="N12" s="2200">
        <v>15</v>
      </c>
      <c r="O12" s="2200">
        <v>358</v>
      </c>
      <c r="P12" s="2200">
        <v>330</v>
      </c>
      <c r="Q12" s="2180">
        <v>28</v>
      </c>
    </row>
    <row r="13" spans="1:17" ht="16.5" customHeight="1">
      <c r="A13" s="3899"/>
      <c r="B13" s="2160" t="s">
        <v>0</v>
      </c>
      <c r="C13" s="2178">
        <f t="shared" ref="C13:Q13" si="1">C12/C4*100</f>
        <v>10.648275862068965</v>
      </c>
      <c r="D13" s="2178">
        <f t="shared" si="1"/>
        <v>11.455613577023499</v>
      </c>
      <c r="E13" s="2178">
        <f t="shared" si="1"/>
        <v>6.2388591800356501</v>
      </c>
      <c r="F13" s="2178">
        <f t="shared" si="1"/>
        <v>11.035502958579881</v>
      </c>
      <c r="G13" s="2178">
        <f t="shared" si="1"/>
        <v>11.89488243430152</v>
      </c>
      <c r="H13" s="2178">
        <f t="shared" si="1"/>
        <v>5.942622950819672</v>
      </c>
      <c r="I13" s="2178">
        <f t="shared" si="1"/>
        <v>9.7759012666450147</v>
      </c>
      <c r="J13" s="2178">
        <f t="shared" si="1"/>
        <v>10.314232902033272</v>
      </c>
      <c r="K13" s="2178">
        <f t="shared" si="1"/>
        <v>5.8823529411764701</v>
      </c>
      <c r="L13" s="2178">
        <f t="shared" si="1"/>
        <v>10.838206627680313</v>
      </c>
      <c r="M13" s="2178">
        <f t="shared" si="1"/>
        <v>11.621741051701282</v>
      </c>
      <c r="N13" s="2178">
        <f t="shared" si="1"/>
        <v>4.9668874172185431</v>
      </c>
      <c r="O13" s="2178">
        <f t="shared" si="1"/>
        <v>14.308553157474021</v>
      </c>
      <c r="P13" s="2178">
        <f t="shared" si="1"/>
        <v>14.75849731663685</v>
      </c>
      <c r="Q13" s="2179">
        <f t="shared" si="1"/>
        <v>10.526315789473683</v>
      </c>
    </row>
    <row r="14" spans="1:17" ht="16.5" customHeight="1">
      <c r="A14" s="3914" t="s">
        <v>3270</v>
      </c>
      <c r="B14" s="2160" t="s">
        <v>3223</v>
      </c>
      <c r="C14" s="2200">
        <v>192</v>
      </c>
      <c r="D14" s="2200">
        <v>174</v>
      </c>
      <c r="E14" s="2200">
        <v>18</v>
      </c>
      <c r="F14" s="2200">
        <v>151</v>
      </c>
      <c r="G14" s="2200">
        <v>136</v>
      </c>
      <c r="H14" s="2200">
        <v>15</v>
      </c>
      <c r="I14" s="2200">
        <v>165</v>
      </c>
      <c r="J14" s="2200">
        <v>148</v>
      </c>
      <c r="K14" s="2200">
        <v>17</v>
      </c>
      <c r="L14" s="2200">
        <v>147</v>
      </c>
      <c r="M14" s="2200">
        <v>124</v>
      </c>
      <c r="N14" s="2200">
        <v>23</v>
      </c>
      <c r="O14" s="2200">
        <v>131</v>
      </c>
      <c r="P14" s="2200">
        <v>122</v>
      </c>
      <c r="Q14" s="2180">
        <v>9</v>
      </c>
    </row>
    <row r="15" spans="1:17" ht="16.5" customHeight="1">
      <c r="A15" s="3899"/>
      <c r="B15" s="2160" t="s">
        <v>0</v>
      </c>
      <c r="C15" s="2178">
        <f t="shared" ref="C15:Q15" si="2">C14/C4*100</f>
        <v>5.296551724137931</v>
      </c>
      <c r="D15" s="2178">
        <f t="shared" si="2"/>
        <v>5.6788511749347261</v>
      </c>
      <c r="E15" s="2178">
        <f t="shared" si="2"/>
        <v>3.2085561497326207</v>
      </c>
      <c r="F15" s="2178">
        <f t="shared" si="2"/>
        <v>4.4674556213017755</v>
      </c>
      <c r="G15" s="2178">
        <f t="shared" si="2"/>
        <v>4.7026279391424621</v>
      </c>
      <c r="H15" s="2178">
        <f t="shared" si="2"/>
        <v>3.0737704918032787</v>
      </c>
      <c r="I15" s="2178">
        <f t="shared" si="2"/>
        <v>5.3588827541409545</v>
      </c>
      <c r="J15" s="2178">
        <f t="shared" si="2"/>
        <v>5.4713493530499075</v>
      </c>
      <c r="K15" s="2178">
        <f t="shared" si="2"/>
        <v>4.5454545454545459</v>
      </c>
      <c r="L15" s="2178">
        <f t="shared" si="2"/>
        <v>5.730994152046784</v>
      </c>
      <c r="M15" s="2178">
        <f t="shared" si="2"/>
        <v>5.4794520547945202</v>
      </c>
      <c r="N15" s="2178">
        <f t="shared" si="2"/>
        <v>7.6158940397350996</v>
      </c>
      <c r="O15" s="2178">
        <f t="shared" si="2"/>
        <v>5.2358113509192643</v>
      </c>
      <c r="P15" s="2178">
        <f t="shared" si="2"/>
        <v>5.4561717352415027</v>
      </c>
      <c r="Q15" s="2179">
        <f t="shared" si="2"/>
        <v>3.3834586466165413</v>
      </c>
    </row>
    <row r="16" spans="1:17" ht="16.5" customHeight="1">
      <c r="A16" s="3899" t="s">
        <v>3271</v>
      </c>
      <c r="B16" s="2160" t="s">
        <v>3223</v>
      </c>
      <c r="C16" s="2200">
        <v>123</v>
      </c>
      <c r="D16" s="2200">
        <v>107</v>
      </c>
      <c r="E16" s="2200">
        <v>16</v>
      </c>
      <c r="F16" s="2200">
        <v>123</v>
      </c>
      <c r="G16" s="2200">
        <v>109</v>
      </c>
      <c r="H16" s="2200">
        <v>14</v>
      </c>
      <c r="I16" s="2200">
        <v>136</v>
      </c>
      <c r="J16" s="2200">
        <v>116</v>
      </c>
      <c r="K16" s="2200">
        <v>20</v>
      </c>
      <c r="L16" s="2200">
        <v>98</v>
      </c>
      <c r="M16" s="2200">
        <v>87</v>
      </c>
      <c r="N16" s="2200">
        <v>11</v>
      </c>
      <c r="O16" s="2200">
        <v>106</v>
      </c>
      <c r="P16" s="2200">
        <v>103</v>
      </c>
      <c r="Q16" s="2180">
        <v>3</v>
      </c>
    </row>
    <row r="17" spans="1:17" ht="16.5" customHeight="1">
      <c r="A17" s="3899"/>
      <c r="B17" s="2160" t="s">
        <v>0</v>
      </c>
      <c r="C17" s="2178">
        <f t="shared" ref="C17:Q17" si="3">C16/C4*100</f>
        <v>3.3931034482758622</v>
      </c>
      <c r="D17" s="2178">
        <f t="shared" si="3"/>
        <v>3.4921671018276763</v>
      </c>
      <c r="E17" s="2178">
        <f t="shared" si="3"/>
        <v>2.8520499108734403</v>
      </c>
      <c r="F17" s="2178">
        <f t="shared" si="3"/>
        <v>3.63905325443787</v>
      </c>
      <c r="G17" s="2178">
        <f t="shared" si="3"/>
        <v>3.7690179806362378</v>
      </c>
      <c r="H17" s="2178">
        <f t="shared" si="3"/>
        <v>2.8688524590163933</v>
      </c>
      <c r="I17" s="2178">
        <f t="shared" si="3"/>
        <v>4.4170185125040593</v>
      </c>
      <c r="J17" s="2178">
        <f t="shared" si="3"/>
        <v>4.2883548983364141</v>
      </c>
      <c r="K17" s="2178">
        <f t="shared" si="3"/>
        <v>5.3475935828877006</v>
      </c>
      <c r="L17" s="2178">
        <f t="shared" si="3"/>
        <v>3.8206627680311889</v>
      </c>
      <c r="M17" s="2178">
        <f t="shared" si="3"/>
        <v>3.8444542642509938</v>
      </c>
      <c r="N17" s="2178">
        <f t="shared" si="3"/>
        <v>3.6423841059602649</v>
      </c>
      <c r="O17" s="2178">
        <f t="shared" si="3"/>
        <v>4.2366107114308553</v>
      </c>
      <c r="P17" s="2178">
        <f t="shared" si="3"/>
        <v>4.6064400715563512</v>
      </c>
      <c r="Q17" s="2179">
        <f t="shared" si="3"/>
        <v>1.1278195488721803</v>
      </c>
    </row>
    <row r="18" spans="1:17" ht="16.5" customHeight="1">
      <c r="A18" s="3899" t="s">
        <v>3272</v>
      </c>
      <c r="B18" s="2160" t="s">
        <v>3273</v>
      </c>
      <c r="C18" s="2200">
        <v>109</v>
      </c>
      <c r="D18" s="2200">
        <v>103</v>
      </c>
      <c r="E18" s="2200">
        <v>6</v>
      </c>
      <c r="F18" s="2200">
        <v>96</v>
      </c>
      <c r="G18" s="2200">
        <v>93</v>
      </c>
      <c r="H18" s="2200">
        <v>3</v>
      </c>
      <c r="I18" s="2200">
        <v>91</v>
      </c>
      <c r="J18" s="2200">
        <v>84</v>
      </c>
      <c r="K18" s="2200">
        <v>7</v>
      </c>
      <c r="L18" s="2200">
        <v>106</v>
      </c>
      <c r="M18" s="2200">
        <v>103</v>
      </c>
      <c r="N18" s="2200">
        <v>3</v>
      </c>
      <c r="O18" s="2200">
        <v>78</v>
      </c>
      <c r="P18" s="2200">
        <v>75</v>
      </c>
      <c r="Q18" s="2180">
        <v>3</v>
      </c>
    </row>
    <row r="19" spans="1:17" ht="16.5" customHeight="1">
      <c r="A19" s="3899"/>
      <c r="B19" s="2160" t="s">
        <v>0</v>
      </c>
      <c r="C19" s="2178">
        <f t="shared" ref="C19:Q19" si="4">C18/C4*100</f>
        <v>3.0068965517241377</v>
      </c>
      <c r="D19" s="2178">
        <f t="shared" si="4"/>
        <v>3.3616187989556137</v>
      </c>
      <c r="E19" s="2178">
        <f t="shared" si="4"/>
        <v>1.0695187165775399</v>
      </c>
      <c r="F19" s="2178">
        <f t="shared" si="4"/>
        <v>2.8402366863905324</v>
      </c>
      <c r="G19" s="2178">
        <f t="shared" si="4"/>
        <v>3.2157676348547715</v>
      </c>
      <c r="H19" s="2178">
        <f t="shared" si="4"/>
        <v>0.61475409836065575</v>
      </c>
      <c r="I19" s="2178">
        <f t="shared" si="4"/>
        <v>2.9555050341019813</v>
      </c>
      <c r="J19" s="2178">
        <f t="shared" si="4"/>
        <v>3.1053604436229203</v>
      </c>
      <c r="K19" s="2178">
        <f t="shared" si="4"/>
        <v>1.8716577540106951</v>
      </c>
      <c r="L19" s="2178">
        <f t="shared" si="4"/>
        <v>4.132553606237817</v>
      </c>
      <c r="M19" s="2178">
        <f t="shared" si="4"/>
        <v>4.5514803358373834</v>
      </c>
      <c r="N19" s="2178">
        <f t="shared" si="4"/>
        <v>0.99337748344370869</v>
      </c>
      <c r="O19" s="2178">
        <f t="shared" si="4"/>
        <v>3.1175059952038371</v>
      </c>
      <c r="P19" s="2178">
        <f t="shared" si="4"/>
        <v>3.3542039355992843</v>
      </c>
      <c r="Q19" s="2179">
        <f t="shared" si="4"/>
        <v>1.1278195488721803</v>
      </c>
    </row>
    <row r="20" spans="1:17" ht="16.5" customHeight="1">
      <c r="A20" s="3899" t="s">
        <v>3274</v>
      </c>
      <c r="B20" s="2160" t="s">
        <v>3275</v>
      </c>
      <c r="C20" s="2200">
        <v>39</v>
      </c>
      <c r="D20" s="2200">
        <v>35</v>
      </c>
      <c r="E20" s="2200">
        <v>4</v>
      </c>
      <c r="F20" s="2200">
        <v>65</v>
      </c>
      <c r="G20" s="2200">
        <v>60</v>
      </c>
      <c r="H20" s="2200">
        <v>5</v>
      </c>
      <c r="I20" s="2200">
        <v>67</v>
      </c>
      <c r="J20" s="2200">
        <v>59</v>
      </c>
      <c r="K20" s="2200">
        <v>8</v>
      </c>
      <c r="L20" s="2200">
        <v>58</v>
      </c>
      <c r="M20" s="2200">
        <v>51</v>
      </c>
      <c r="N20" s="2200">
        <v>7</v>
      </c>
      <c r="O20" s="2200">
        <v>76</v>
      </c>
      <c r="P20" s="2200">
        <v>72</v>
      </c>
      <c r="Q20" s="2180">
        <v>4</v>
      </c>
    </row>
    <row r="21" spans="1:17" ht="16.5" customHeight="1">
      <c r="A21" s="3899"/>
      <c r="B21" s="2160" t="s">
        <v>0</v>
      </c>
      <c r="C21" s="2178">
        <f t="shared" ref="C21:Q21" si="5">C20/C4*100</f>
        <v>1.0758620689655174</v>
      </c>
      <c r="D21" s="2178">
        <f t="shared" si="5"/>
        <v>1.1422976501305482</v>
      </c>
      <c r="E21" s="2178">
        <f t="shared" si="5"/>
        <v>0.71301247771836007</v>
      </c>
      <c r="F21" s="2178">
        <f t="shared" si="5"/>
        <v>1.9230769230769231</v>
      </c>
      <c r="G21" s="2178">
        <f t="shared" si="5"/>
        <v>2.0746887966804977</v>
      </c>
      <c r="H21" s="2178">
        <f t="shared" si="5"/>
        <v>1.0245901639344261</v>
      </c>
      <c r="I21" s="2178">
        <f t="shared" si="5"/>
        <v>2.1760311789542057</v>
      </c>
      <c r="J21" s="2178">
        <f t="shared" si="5"/>
        <v>2.1811460258780038</v>
      </c>
      <c r="K21" s="2178">
        <f t="shared" si="5"/>
        <v>2.1390374331550799</v>
      </c>
      <c r="L21" s="2178">
        <f t="shared" si="5"/>
        <v>2.2612085769980506</v>
      </c>
      <c r="M21" s="2178">
        <f t="shared" si="5"/>
        <v>2.2536456031816177</v>
      </c>
      <c r="N21" s="2178">
        <f t="shared" si="5"/>
        <v>2.3178807947019866</v>
      </c>
      <c r="O21" s="2178">
        <f t="shared" si="5"/>
        <v>3.0375699440447641</v>
      </c>
      <c r="P21" s="2178">
        <f t="shared" si="5"/>
        <v>3.2200357781753133</v>
      </c>
      <c r="Q21" s="2179">
        <f t="shared" si="5"/>
        <v>1.5037593984962405</v>
      </c>
    </row>
    <row r="22" spans="1:17" ht="16.5" customHeight="1">
      <c r="A22" s="3899" t="s">
        <v>3276</v>
      </c>
      <c r="B22" s="2160" t="s">
        <v>3223</v>
      </c>
      <c r="C22" s="2200">
        <v>80</v>
      </c>
      <c r="D22" s="2200">
        <v>75</v>
      </c>
      <c r="E22" s="2200">
        <v>5</v>
      </c>
      <c r="F22" s="2200">
        <v>76</v>
      </c>
      <c r="G22" s="2200">
        <v>68</v>
      </c>
      <c r="H22" s="2200">
        <v>8</v>
      </c>
      <c r="I22" s="2200">
        <v>57</v>
      </c>
      <c r="J22" s="2200">
        <v>52</v>
      </c>
      <c r="K22" s="2200">
        <v>5</v>
      </c>
      <c r="L22" s="2200">
        <v>56</v>
      </c>
      <c r="M22" s="2200">
        <v>53</v>
      </c>
      <c r="N22" s="2200">
        <v>3</v>
      </c>
      <c r="O22" s="2200">
        <v>49</v>
      </c>
      <c r="P22" s="2200">
        <v>45</v>
      </c>
      <c r="Q22" s="2180">
        <v>4</v>
      </c>
    </row>
    <row r="23" spans="1:17" ht="16.5" customHeight="1">
      <c r="A23" s="3899"/>
      <c r="B23" s="2160" t="s">
        <v>0</v>
      </c>
      <c r="C23" s="2178">
        <v>2.2068965517241379</v>
      </c>
      <c r="D23" s="2178">
        <v>2.4477806788511751</v>
      </c>
      <c r="E23" s="2178">
        <v>0.89126559714795017</v>
      </c>
      <c r="F23" s="2178">
        <v>2.2485207100591715</v>
      </c>
      <c r="G23" s="2178">
        <v>2.3513139695712311</v>
      </c>
      <c r="H23" s="2178">
        <v>1.639344262295082</v>
      </c>
      <c r="I23" s="2178">
        <v>1.8512504059759662</v>
      </c>
      <c r="J23" s="2178">
        <v>1.9223659889094271</v>
      </c>
      <c r="K23" s="2178">
        <v>1.3368983957219251</v>
      </c>
      <c r="L23" s="2178">
        <v>2.1832358674463941</v>
      </c>
      <c r="M23" s="2178">
        <v>2.3420238621299161</v>
      </c>
      <c r="N23" s="2178">
        <v>0.99337748344370869</v>
      </c>
      <c r="O23" s="2178">
        <v>1.9584332533972821</v>
      </c>
      <c r="P23" s="2178">
        <v>2.0125223613595709</v>
      </c>
      <c r="Q23" s="2179">
        <v>1.5037593984962405</v>
      </c>
    </row>
    <row r="24" spans="1:17" ht="16.5" customHeight="1">
      <c r="A24" s="3899" t="s">
        <v>3277</v>
      </c>
      <c r="B24" s="2160" t="s">
        <v>3240</v>
      </c>
      <c r="C24" s="2200">
        <v>39</v>
      </c>
      <c r="D24" s="2200">
        <v>36</v>
      </c>
      <c r="E24" s="2200">
        <v>3</v>
      </c>
      <c r="F24" s="2200">
        <v>31</v>
      </c>
      <c r="G24" s="2200">
        <v>29</v>
      </c>
      <c r="H24" s="2200">
        <v>2</v>
      </c>
      <c r="I24" s="2200">
        <v>31</v>
      </c>
      <c r="J24" s="2200">
        <v>30</v>
      </c>
      <c r="K24" s="2200">
        <v>1</v>
      </c>
      <c r="L24" s="2200">
        <v>42</v>
      </c>
      <c r="M24" s="2200">
        <v>37</v>
      </c>
      <c r="N24" s="2200">
        <v>5</v>
      </c>
      <c r="O24" s="2200">
        <v>42</v>
      </c>
      <c r="P24" s="2200">
        <v>37</v>
      </c>
      <c r="Q24" s="2180">
        <v>5</v>
      </c>
    </row>
    <row r="25" spans="1:17" ht="16.5" customHeight="1">
      <c r="A25" s="3899"/>
      <c r="B25" s="2160" t="s">
        <v>0</v>
      </c>
      <c r="C25" s="2178">
        <v>1.0758620689655174</v>
      </c>
      <c r="D25" s="2178">
        <v>1.1749347258485638</v>
      </c>
      <c r="E25" s="2178">
        <v>0.53475935828876997</v>
      </c>
      <c r="F25" s="2178">
        <v>0.91715976331360938</v>
      </c>
      <c r="G25" s="2178">
        <v>1.0027662517289073</v>
      </c>
      <c r="H25" s="2178">
        <v>0.4098360655737705</v>
      </c>
      <c r="I25" s="2178">
        <v>1.006820396232543</v>
      </c>
      <c r="J25" s="2178">
        <v>1.1090573012939002</v>
      </c>
      <c r="K25" s="2178">
        <v>0.26737967914438499</v>
      </c>
      <c r="L25" s="2178">
        <v>1.6374269005847955</v>
      </c>
      <c r="M25" s="2178">
        <v>1.6349977905435262</v>
      </c>
      <c r="N25" s="2178">
        <v>1.6556291390728477</v>
      </c>
      <c r="O25" s="2178">
        <v>1.6786570743405276</v>
      </c>
      <c r="P25" s="2178">
        <v>1.6547406082289804</v>
      </c>
      <c r="Q25" s="2179">
        <v>1.8796992481203008</v>
      </c>
    </row>
    <row r="26" spans="1:17" ht="16.5" customHeight="1">
      <c r="A26" s="3899" t="s">
        <v>3278</v>
      </c>
      <c r="B26" s="2160" t="s">
        <v>3223</v>
      </c>
      <c r="C26" s="2200">
        <v>25</v>
      </c>
      <c r="D26" s="2200">
        <v>22</v>
      </c>
      <c r="E26" s="2200">
        <v>3</v>
      </c>
      <c r="F26" s="2200">
        <v>28</v>
      </c>
      <c r="G26" s="2200">
        <v>28</v>
      </c>
      <c r="H26" s="2200" t="s">
        <v>1</v>
      </c>
      <c r="I26" s="2200">
        <v>34</v>
      </c>
      <c r="J26" s="2200">
        <v>34</v>
      </c>
      <c r="K26" s="2200" t="s">
        <v>1</v>
      </c>
      <c r="L26" s="2200">
        <v>16</v>
      </c>
      <c r="M26" s="2200">
        <v>16</v>
      </c>
      <c r="N26" s="2200" t="s">
        <v>1</v>
      </c>
      <c r="O26" s="2200">
        <v>22</v>
      </c>
      <c r="P26" s="2200">
        <v>20</v>
      </c>
      <c r="Q26" s="2180">
        <v>2</v>
      </c>
    </row>
    <row r="27" spans="1:17" ht="16.5" customHeight="1">
      <c r="A27" s="3899"/>
      <c r="B27" s="2160" t="s">
        <v>0</v>
      </c>
      <c r="C27" s="2178">
        <v>0.68965517241379315</v>
      </c>
      <c r="D27" s="2178">
        <v>0.71801566579634468</v>
      </c>
      <c r="E27" s="2178">
        <v>0.53475935828876997</v>
      </c>
      <c r="F27" s="2178">
        <v>0.82840236686390534</v>
      </c>
      <c r="G27" s="2178">
        <v>0.9681881051175657</v>
      </c>
      <c r="H27" s="2178" t="s">
        <v>1</v>
      </c>
      <c r="I27" s="2178">
        <v>1.1042546281260148</v>
      </c>
      <c r="J27" s="2178">
        <v>1.2569316081330868</v>
      </c>
      <c r="K27" s="2178" t="s">
        <v>1</v>
      </c>
      <c r="L27" s="2178">
        <v>0.62378167641325533</v>
      </c>
      <c r="M27" s="2178">
        <v>0.70702607158638975</v>
      </c>
      <c r="N27" s="2178" t="s">
        <v>1</v>
      </c>
      <c r="O27" s="2178">
        <v>0.87929656274980017</v>
      </c>
      <c r="P27" s="2178">
        <v>0.89445438282647582</v>
      </c>
      <c r="Q27" s="2179">
        <v>0.75187969924812026</v>
      </c>
    </row>
    <row r="28" spans="1:17" ht="16.5" customHeight="1">
      <c r="A28" s="3899" t="s">
        <v>3279</v>
      </c>
      <c r="B28" s="2160" t="s">
        <v>3223</v>
      </c>
      <c r="C28" s="2200">
        <v>11</v>
      </c>
      <c r="D28" s="2200">
        <v>9</v>
      </c>
      <c r="E28" s="2200">
        <v>2</v>
      </c>
      <c r="F28" s="2200">
        <v>5</v>
      </c>
      <c r="G28" s="2200">
        <v>5</v>
      </c>
      <c r="H28" s="2200" t="s">
        <v>1</v>
      </c>
      <c r="I28" s="2200">
        <v>12</v>
      </c>
      <c r="J28" s="2200">
        <v>12</v>
      </c>
      <c r="K28" s="2200" t="s">
        <v>1</v>
      </c>
      <c r="L28" s="2200">
        <v>10</v>
      </c>
      <c r="M28" s="2200">
        <v>10</v>
      </c>
      <c r="N28" s="2200" t="s">
        <v>1</v>
      </c>
      <c r="O28" s="2200">
        <v>15</v>
      </c>
      <c r="P28" s="2200">
        <v>15</v>
      </c>
      <c r="Q28" s="2180" t="s">
        <v>1</v>
      </c>
    </row>
    <row r="29" spans="1:17" ht="16.5" customHeight="1">
      <c r="A29" s="3899"/>
      <c r="B29" s="2160" t="s">
        <v>0</v>
      </c>
      <c r="C29" s="2178">
        <v>0.30344827586206896</v>
      </c>
      <c r="D29" s="2178">
        <v>0.29373368146214096</v>
      </c>
      <c r="E29" s="2178">
        <v>0.35650623885918004</v>
      </c>
      <c r="F29" s="2178">
        <v>0.14792899408284024</v>
      </c>
      <c r="G29" s="2178">
        <v>0.17289073305670816</v>
      </c>
      <c r="H29" s="2178" t="s">
        <v>1</v>
      </c>
      <c r="I29" s="2178">
        <v>0.38973692757388761</v>
      </c>
      <c r="J29" s="2178">
        <v>0.44362292051756003</v>
      </c>
      <c r="K29" s="2178" t="s">
        <v>1</v>
      </c>
      <c r="L29" s="2178">
        <v>0.38986354775828458</v>
      </c>
      <c r="M29" s="2178">
        <v>0.44189129474149363</v>
      </c>
      <c r="N29" s="2178" t="s">
        <v>1</v>
      </c>
      <c r="O29" s="2178">
        <v>0.59952038369304561</v>
      </c>
      <c r="P29" s="2178">
        <v>0.67084078711985684</v>
      </c>
      <c r="Q29" s="2179" t="s">
        <v>1</v>
      </c>
    </row>
    <row r="30" spans="1:17" ht="16.5" customHeight="1">
      <c r="A30" s="3899" t="s">
        <v>3280</v>
      </c>
      <c r="B30" s="2160" t="s">
        <v>3240</v>
      </c>
      <c r="C30" s="2200">
        <v>6</v>
      </c>
      <c r="D30" s="2200">
        <v>6</v>
      </c>
      <c r="E30" s="2200" t="s">
        <v>1</v>
      </c>
      <c r="F30" s="2200">
        <v>6</v>
      </c>
      <c r="G30" s="2200">
        <v>6</v>
      </c>
      <c r="H30" s="2200" t="s">
        <v>1</v>
      </c>
      <c r="I30" s="2200">
        <v>2</v>
      </c>
      <c r="J30" s="2200">
        <v>2</v>
      </c>
      <c r="K30" s="2200" t="s">
        <v>1</v>
      </c>
      <c r="L30" s="2200">
        <v>3</v>
      </c>
      <c r="M30" s="2200">
        <v>3</v>
      </c>
      <c r="N30" s="2200" t="s">
        <v>1</v>
      </c>
      <c r="O30" s="2200">
        <v>1</v>
      </c>
      <c r="P30" s="2200">
        <v>1</v>
      </c>
      <c r="Q30" s="2180" t="s">
        <v>1</v>
      </c>
    </row>
    <row r="31" spans="1:17" ht="16.5" customHeight="1">
      <c r="A31" s="3899"/>
      <c r="B31" s="2160" t="s">
        <v>0</v>
      </c>
      <c r="C31" s="2178">
        <v>0.16551724137931034</v>
      </c>
      <c r="D31" s="2178">
        <v>0.19582245430809397</v>
      </c>
      <c r="E31" s="2178" t="s">
        <v>1</v>
      </c>
      <c r="F31" s="2178">
        <v>0.17751479289940827</v>
      </c>
      <c r="G31" s="2178">
        <v>0.2074688796680498</v>
      </c>
      <c r="H31" s="2178" t="s">
        <v>1</v>
      </c>
      <c r="I31" s="2178">
        <v>6.4956154595647936E-2</v>
      </c>
      <c r="J31" s="2178">
        <v>7.3937153419593338E-2</v>
      </c>
      <c r="K31" s="2178" t="s">
        <v>1</v>
      </c>
      <c r="L31" s="2178">
        <v>0.11695906432748539</v>
      </c>
      <c r="M31" s="2178">
        <v>0.13256738842244808</v>
      </c>
      <c r="N31" s="2178" t="s">
        <v>1</v>
      </c>
      <c r="O31" s="2178">
        <v>3.9968025579536368E-2</v>
      </c>
      <c r="P31" s="2178">
        <v>4.4722719141323794E-2</v>
      </c>
      <c r="Q31" s="2179" t="s">
        <v>1</v>
      </c>
    </row>
    <row r="32" spans="1:17" ht="16.5" customHeight="1">
      <c r="A32" s="3899" t="s">
        <v>3281</v>
      </c>
      <c r="B32" s="2160" t="s">
        <v>3240</v>
      </c>
      <c r="C32" s="2200">
        <v>288</v>
      </c>
      <c r="D32" s="2200">
        <v>257</v>
      </c>
      <c r="E32" s="2200">
        <v>31</v>
      </c>
      <c r="F32" s="2200">
        <v>304</v>
      </c>
      <c r="G32" s="2200">
        <v>265</v>
      </c>
      <c r="H32" s="2200">
        <v>39</v>
      </c>
      <c r="I32" s="2200">
        <v>334</v>
      </c>
      <c r="J32" s="2200">
        <v>290</v>
      </c>
      <c r="K32" s="2200">
        <v>44</v>
      </c>
      <c r="L32" s="2200">
        <v>294</v>
      </c>
      <c r="M32" s="2200">
        <v>260</v>
      </c>
      <c r="N32" s="2200">
        <v>34</v>
      </c>
      <c r="O32" s="2200">
        <v>223</v>
      </c>
      <c r="P32" s="2200">
        <v>202</v>
      </c>
      <c r="Q32" s="2180">
        <v>21</v>
      </c>
    </row>
    <row r="33" spans="1:17" ht="16.5" customHeight="1">
      <c r="A33" s="3899"/>
      <c r="B33" s="2160" t="s">
        <v>0</v>
      </c>
      <c r="C33" s="2178">
        <v>7.9448275862068973</v>
      </c>
      <c r="D33" s="2178">
        <v>8.3877284595300257</v>
      </c>
      <c r="E33" s="2178">
        <v>5.525846702317291</v>
      </c>
      <c r="F33" s="2178">
        <v>8.9940828402366861</v>
      </c>
      <c r="G33" s="2178">
        <v>9.1632088520055319</v>
      </c>
      <c r="H33" s="2178">
        <v>7.9918032786885256</v>
      </c>
      <c r="I33" s="2178">
        <v>10.847677817473206</v>
      </c>
      <c r="J33" s="2178">
        <v>10.720887245841034</v>
      </c>
      <c r="K33" s="2178">
        <v>11.76470588235294</v>
      </c>
      <c r="L33" s="2178">
        <v>11.461988304093568</v>
      </c>
      <c r="M33" s="2178">
        <v>11.489173663278834</v>
      </c>
      <c r="N33" s="2178">
        <v>11.258278145695364</v>
      </c>
      <c r="O33" s="2178">
        <v>8.912869704236611</v>
      </c>
      <c r="P33" s="2178">
        <v>9.0339892665474064</v>
      </c>
      <c r="Q33" s="2179">
        <v>7.8947368421052628</v>
      </c>
    </row>
    <row r="34" spans="1:17" ht="16.5" customHeight="1">
      <c r="A34" s="3899" t="s">
        <v>3282</v>
      </c>
      <c r="B34" s="2160" t="s">
        <v>3283</v>
      </c>
      <c r="C34" s="2200">
        <v>530</v>
      </c>
      <c r="D34" s="2200">
        <v>418</v>
      </c>
      <c r="E34" s="2200">
        <v>112</v>
      </c>
      <c r="F34" s="2200">
        <v>368</v>
      </c>
      <c r="G34" s="2200">
        <v>263</v>
      </c>
      <c r="H34" s="2200">
        <v>105</v>
      </c>
      <c r="I34" s="2200">
        <v>205</v>
      </c>
      <c r="J34" s="2200">
        <v>162</v>
      </c>
      <c r="K34" s="2200">
        <v>43</v>
      </c>
      <c r="L34" s="2200">
        <v>95</v>
      </c>
      <c r="M34" s="2200">
        <v>74</v>
      </c>
      <c r="N34" s="2200">
        <v>21</v>
      </c>
      <c r="O34" s="2200">
        <v>73</v>
      </c>
      <c r="P34" s="2200">
        <v>58</v>
      </c>
      <c r="Q34" s="2180">
        <v>15</v>
      </c>
    </row>
    <row r="35" spans="1:17" ht="16.5" customHeight="1">
      <c r="A35" s="3904"/>
      <c r="B35" s="2165" t="s">
        <v>0</v>
      </c>
      <c r="C35" s="2182">
        <v>14.620689655172415</v>
      </c>
      <c r="D35" s="2182">
        <v>13.642297650130548</v>
      </c>
      <c r="E35" s="2182">
        <v>19.964349376114082</v>
      </c>
      <c r="F35" s="2182">
        <v>10.88757396449704</v>
      </c>
      <c r="G35" s="2182">
        <v>9.0940525587828489</v>
      </c>
      <c r="H35" s="2182">
        <v>21.516393442622949</v>
      </c>
      <c r="I35" s="2182">
        <v>6.6580058460539133</v>
      </c>
      <c r="J35" s="2182">
        <v>5.9889094269870613</v>
      </c>
      <c r="K35" s="2182">
        <v>11.497326203208557</v>
      </c>
      <c r="L35" s="2182">
        <v>3.7037037037037033</v>
      </c>
      <c r="M35" s="2182">
        <v>3.2699955810870525</v>
      </c>
      <c r="N35" s="2182">
        <v>6.9536423841059598</v>
      </c>
      <c r="O35" s="2182">
        <v>2.9176658673061553</v>
      </c>
      <c r="P35" s="2182">
        <v>2.5939177101967799</v>
      </c>
      <c r="Q35" s="2183">
        <v>5.6390977443609023</v>
      </c>
    </row>
    <row r="36" spans="1:17" s="2170" customFormat="1" ht="13.9" customHeight="1">
      <c r="A36" s="2170" t="s">
        <v>997</v>
      </c>
      <c r="C36" s="2184"/>
      <c r="D36" s="2184"/>
      <c r="E36" s="2184"/>
      <c r="F36" s="2184"/>
      <c r="G36" s="2184"/>
      <c r="H36" s="2184"/>
      <c r="I36" s="2184"/>
      <c r="J36" s="2184"/>
      <c r="K36" s="2184"/>
      <c r="L36" s="2184"/>
      <c r="M36" s="2184"/>
      <c r="N36" s="2184"/>
    </row>
    <row r="37" spans="1:17" s="2170" customFormat="1" ht="13.9" customHeight="1">
      <c r="A37" s="2167" t="s">
        <v>3284</v>
      </c>
    </row>
    <row r="38" spans="1:17" s="2170" customFormat="1" ht="13.9" customHeight="1">
      <c r="A38" s="2170" t="s">
        <v>3285</v>
      </c>
      <c r="B38" s="2185"/>
      <c r="C38" s="2185"/>
      <c r="D38" s="2185"/>
      <c r="E38" s="2185"/>
      <c r="F38" s="2185"/>
      <c r="G38" s="2185"/>
      <c r="H38" s="2185"/>
      <c r="I38" s="2197"/>
      <c r="J38" s="2197"/>
      <c r="K38" s="2197"/>
      <c r="L38" s="2197"/>
      <c r="M38" s="2197"/>
      <c r="N38" s="2197"/>
    </row>
    <row r="39" spans="1:17" ht="13.9" customHeight="1"/>
    <row r="40" spans="1:17" ht="13.9" customHeight="1">
      <c r="C40" s="2199"/>
    </row>
  </sheetData>
  <mergeCells count="23">
    <mergeCell ref="A28:A29"/>
    <mergeCell ref="A30:A31"/>
    <mergeCell ref="A32:A33"/>
    <mergeCell ref="A34:A35"/>
    <mergeCell ref="A16:A17"/>
    <mergeCell ref="A18:A19"/>
    <mergeCell ref="A20:A21"/>
    <mergeCell ref="A22:A23"/>
    <mergeCell ref="A24:A25"/>
    <mergeCell ref="A26:A27"/>
    <mergeCell ref="A14:A15"/>
    <mergeCell ref="A1:Q1"/>
    <mergeCell ref="A2:B3"/>
    <mergeCell ref="C2:E2"/>
    <mergeCell ref="F2:H2"/>
    <mergeCell ref="I2:K2"/>
    <mergeCell ref="L2:N2"/>
    <mergeCell ref="O2:Q2"/>
    <mergeCell ref="A4:A5"/>
    <mergeCell ref="A6:A7"/>
    <mergeCell ref="A8:A9"/>
    <mergeCell ref="A10:A11"/>
    <mergeCell ref="A12:A13"/>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51"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Q13"/>
  <sheetViews>
    <sheetView showGridLines="0" zoomScale="85" zoomScaleNormal="85" workbookViewId="0">
      <selection activeCell="B18" sqref="B18:D18"/>
    </sheetView>
  </sheetViews>
  <sheetFormatPr defaultRowHeight="15.75"/>
  <cols>
    <col min="1" max="1" width="21.375" style="2156" customWidth="1"/>
    <col min="2" max="2" width="6.375" style="2156" customWidth="1"/>
    <col min="3" max="17" width="9.125" style="2156" customWidth="1"/>
    <col min="18" max="256" width="9" style="2156"/>
    <col min="257" max="257" width="21.375" style="2156" customWidth="1"/>
    <col min="258" max="258" width="6.375" style="2156" customWidth="1"/>
    <col min="259" max="273" width="6.875" style="2156" customWidth="1"/>
    <col min="274" max="512" width="9" style="2156"/>
    <col min="513" max="513" width="21.375" style="2156" customWidth="1"/>
    <col min="514" max="514" width="6.375" style="2156" customWidth="1"/>
    <col min="515" max="529" width="6.875" style="2156" customWidth="1"/>
    <col min="530" max="768" width="9" style="2156"/>
    <col min="769" max="769" width="21.375" style="2156" customWidth="1"/>
    <col min="770" max="770" width="6.375" style="2156" customWidth="1"/>
    <col min="771" max="785" width="6.875" style="2156" customWidth="1"/>
    <col min="786" max="1024" width="9" style="2156"/>
    <col min="1025" max="1025" width="21.375" style="2156" customWidth="1"/>
    <col min="1026" max="1026" width="6.375" style="2156" customWidth="1"/>
    <col min="1027" max="1041" width="6.875" style="2156" customWidth="1"/>
    <col min="1042" max="1280" width="9" style="2156"/>
    <col min="1281" max="1281" width="21.375" style="2156" customWidth="1"/>
    <col min="1282" max="1282" width="6.375" style="2156" customWidth="1"/>
    <col min="1283" max="1297" width="6.875" style="2156" customWidth="1"/>
    <col min="1298" max="1536" width="9" style="2156"/>
    <col min="1537" max="1537" width="21.375" style="2156" customWidth="1"/>
    <col min="1538" max="1538" width="6.375" style="2156" customWidth="1"/>
    <col min="1539" max="1553" width="6.875" style="2156" customWidth="1"/>
    <col min="1554" max="1792" width="9" style="2156"/>
    <col min="1793" max="1793" width="21.375" style="2156" customWidth="1"/>
    <col min="1794" max="1794" width="6.375" style="2156" customWidth="1"/>
    <col min="1795" max="1809" width="6.875" style="2156" customWidth="1"/>
    <col min="1810" max="2048" width="9" style="2156"/>
    <col min="2049" max="2049" width="21.375" style="2156" customWidth="1"/>
    <col min="2050" max="2050" width="6.375" style="2156" customWidth="1"/>
    <col min="2051" max="2065" width="6.875" style="2156" customWidth="1"/>
    <col min="2066" max="2304" width="9" style="2156"/>
    <col min="2305" max="2305" width="21.375" style="2156" customWidth="1"/>
    <col min="2306" max="2306" width="6.375" style="2156" customWidth="1"/>
    <col min="2307" max="2321" width="6.875" style="2156" customWidth="1"/>
    <col min="2322" max="2560" width="9" style="2156"/>
    <col min="2561" max="2561" width="21.375" style="2156" customWidth="1"/>
    <col min="2562" max="2562" width="6.375" style="2156" customWidth="1"/>
    <col min="2563" max="2577" width="6.875" style="2156" customWidth="1"/>
    <col min="2578" max="2816" width="9" style="2156"/>
    <col min="2817" max="2817" width="21.375" style="2156" customWidth="1"/>
    <col min="2818" max="2818" width="6.375" style="2156" customWidth="1"/>
    <col min="2819" max="2833" width="6.875" style="2156" customWidth="1"/>
    <col min="2834" max="3072" width="9" style="2156"/>
    <col min="3073" max="3073" width="21.375" style="2156" customWidth="1"/>
    <col min="3074" max="3074" width="6.375" style="2156" customWidth="1"/>
    <col min="3075" max="3089" width="6.875" style="2156" customWidth="1"/>
    <col min="3090" max="3328" width="9" style="2156"/>
    <col min="3329" max="3329" width="21.375" style="2156" customWidth="1"/>
    <col min="3330" max="3330" width="6.375" style="2156" customWidth="1"/>
    <col min="3331" max="3345" width="6.875" style="2156" customWidth="1"/>
    <col min="3346" max="3584" width="9" style="2156"/>
    <col min="3585" max="3585" width="21.375" style="2156" customWidth="1"/>
    <col min="3586" max="3586" width="6.375" style="2156" customWidth="1"/>
    <col min="3587" max="3601" width="6.875" style="2156" customWidth="1"/>
    <col min="3602" max="3840" width="9" style="2156"/>
    <col min="3841" max="3841" width="21.375" style="2156" customWidth="1"/>
    <col min="3842" max="3842" width="6.375" style="2156" customWidth="1"/>
    <col min="3843" max="3857" width="6.875" style="2156" customWidth="1"/>
    <col min="3858" max="4096" width="9" style="2156"/>
    <col min="4097" max="4097" width="21.375" style="2156" customWidth="1"/>
    <col min="4098" max="4098" width="6.375" style="2156" customWidth="1"/>
    <col min="4099" max="4113" width="6.875" style="2156" customWidth="1"/>
    <col min="4114" max="4352" width="9" style="2156"/>
    <col min="4353" max="4353" width="21.375" style="2156" customWidth="1"/>
    <col min="4354" max="4354" width="6.375" style="2156" customWidth="1"/>
    <col min="4355" max="4369" width="6.875" style="2156" customWidth="1"/>
    <col min="4370" max="4608" width="9" style="2156"/>
    <col min="4609" max="4609" width="21.375" style="2156" customWidth="1"/>
    <col min="4610" max="4610" width="6.375" style="2156" customWidth="1"/>
    <col min="4611" max="4625" width="6.875" style="2156" customWidth="1"/>
    <col min="4626" max="4864" width="9" style="2156"/>
    <col min="4865" max="4865" width="21.375" style="2156" customWidth="1"/>
    <col min="4866" max="4866" width="6.375" style="2156" customWidth="1"/>
    <col min="4867" max="4881" width="6.875" style="2156" customWidth="1"/>
    <col min="4882" max="5120" width="9" style="2156"/>
    <col min="5121" max="5121" width="21.375" style="2156" customWidth="1"/>
    <col min="5122" max="5122" width="6.375" style="2156" customWidth="1"/>
    <col min="5123" max="5137" width="6.875" style="2156" customWidth="1"/>
    <col min="5138" max="5376" width="9" style="2156"/>
    <col min="5377" max="5377" width="21.375" style="2156" customWidth="1"/>
    <col min="5378" max="5378" width="6.375" style="2156" customWidth="1"/>
    <col min="5379" max="5393" width="6.875" style="2156" customWidth="1"/>
    <col min="5394" max="5632" width="9" style="2156"/>
    <col min="5633" max="5633" width="21.375" style="2156" customWidth="1"/>
    <col min="5634" max="5634" width="6.375" style="2156" customWidth="1"/>
    <col min="5635" max="5649" width="6.875" style="2156" customWidth="1"/>
    <col min="5650" max="5888" width="9" style="2156"/>
    <col min="5889" max="5889" width="21.375" style="2156" customWidth="1"/>
    <col min="5890" max="5890" width="6.375" style="2156" customWidth="1"/>
    <col min="5891" max="5905" width="6.875" style="2156" customWidth="1"/>
    <col min="5906" max="6144" width="9" style="2156"/>
    <col min="6145" max="6145" width="21.375" style="2156" customWidth="1"/>
    <col min="6146" max="6146" width="6.375" style="2156" customWidth="1"/>
    <col min="6147" max="6161" width="6.875" style="2156" customWidth="1"/>
    <col min="6162" max="6400" width="9" style="2156"/>
    <col min="6401" max="6401" width="21.375" style="2156" customWidth="1"/>
    <col min="6402" max="6402" width="6.375" style="2156" customWidth="1"/>
    <col min="6403" max="6417" width="6.875" style="2156" customWidth="1"/>
    <col min="6418" max="6656" width="9" style="2156"/>
    <col min="6657" max="6657" width="21.375" style="2156" customWidth="1"/>
    <col min="6658" max="6658" width="6.375" style="2156" customWidth="1"/>
    <col min="6659" max="6673" width="6.875" style="2156" customWidth="1"/>
    <col min="6674" max="6912" width="9" style="2156"/>
    <col min="6913" max="6913" width="21.375" style="2156" customWidth="1"/>
    <col min="6914" max="6914" width="6.375" style="2156" customWidth="1"/>
    <col min="6915" max="6929" width="6.875" style="2156" customWidth="1"/>
    <col min="6930" max="7168" width="9" style="2156"/>
    <col min="7169" max="7169" width="21.375" style="2156" customWidth="1"/>
    <col min="7170" max="7170" width="6.375" style="2156" customWidth="1"/>
    <col min="7171" max="7185" width="6.875" style="2156" customWidth="1"/>
    <col min="7186" max="7424" width="9" style="2156"/>
    <col min="7425" max="7425" width="21.375" style="2156" customWidth="1"/>
    <col min="7426" max="7426" width="6.375" style="2156" customWidth="1"/>
    <col min="7427" max="7441" width="6.875" style="2156" customWidth="1"/>
    <col min="7442" max="7680" width="9" style="2156"/>
    <col min="7681" max="7681" width="21.375" style="2156" customWidth="1"/>
    <col min="7682" max="7682" width="6.375" style="2156" customWidth="1"/>
    <col min="7683" max="7697" width="6.875" style="2156" customWidth="1"/>
    <col min="7698" max="7936" width="9" style="2156"/>
    <col min="7937" max="7937" width="21.375" style="2156" customWidth="1"/>
    <col min="7938" max="7938" width="6.375" style="2156" customWidth="1"/>
    <col min="7939" max="7953" width="6.875" style="2156" customWidth="1"/>
    <col min="7954" max="8192" width="9" style="2156"/>
    <col min="8193" max="8193" width="21.375" style="2156" customWidth="1"/>
    <col min="8194" max="8194" width="6.375" style="2156" customWidth="1"/>
    <col min="8195" max="8209" width="6.875" style="2156" customWidth="1"/>
    <col min="8210" max="8448" width="9" style="2156"/>
    <col min="8449" max="8449" width="21.375" style="2156" customWidth="1"/>
    <col min="8450" max="8450" width="6.375" style="2156" customWidth="1"/>
    <col min="8451" max="8465" width="6.875" style="2156" customWidth="1"/>
    <col min="8466" max="8704" width="9" style="2156"/>
    <col min="8705" max="8705" width="21.375" style="2156" customWidth="1"/>
    <col min="8706" max="8706" width="6.375" style="2156" customWidth="1"/>
    <col min="8707" max="8721" width="6.875" style="2156" customWidth="1"/>
    <col min="8722" max="8960" width="9" style="2156"/>
    <col min="8961" max="8961" width="21.375" style="2156" customWidth="1"/>
    <col min="8962" max="8962" width="6.375" style="2156" customWidth="1"/>
    <col min="8963" max="8977" width="6.875" style="2156" customWidth="1"/>
    <col min="8978" max="9216" width="9" style="2156"/>
    <col min="9217" max="9217" width="21.375" style="2156" customWidth="1"/>
    <col min="9218" max="9218" width="6.375" style="2156" customWidth="1"/>
    <col min="9219" max="9233" width="6.875" style="2156" customWidth="1"/>
    <col min="9234" max="9472" width="9" style="2156"/>
    <col min="9473" max="9473" width="21.375" style="2156" customWidth="1"/>
    <col min="9474" max="9474" width="6.375" style="2156" customWidth="1"/>
    <col min="9475" max="9489" width="6.875" style="2156" customWidth="1"/>
    <col min="9490" max="9728" width="9" style="2156"/>
    <col min="9729" max="9729" width="21.375" style="2156" customWidth="1"/>
    <col min="9730" max="9730" width="6.375" style="2156" customWidth="1"/>
    <col min="9731" max="9745" width="6.875" style="2156" customWidth="1"/>
    <col min="9746" max="9984" width="9" style="2156"/>
    <col min="9985" max="9985" width="21.375" style="2156" customWidth="1"/>
    <col min="9986" max="9986" width="6.375" style="2156" customWidth="1"/>
    <col min="9987" max="10001" width="6.875" style="2156" customWidth="1"/>
    <col min="10002" max="10240" width="9" style="2156"/>
    <col min="10241" max="10241" width="21.375" style="2156" customWidth="1"/>
    <col min="10242" max="10242" width="6.375" style="2156" customWidth="1"/>
    <col min="10243" max="10257" width="6.875" style="2156" customWidth="1"/>
    <col min="10258" max="10496" width="9" style="2156"/>
    <col min="10497" max="10497" width="21.375" style="2156" customWidth="1"/>
    <col min="10498" max="10498" width="6.375" style="2156" customWidth="1"/>
    <col min="10499" max="10513" width="6.875" style="2156" customWidth="1"/>
    <col min="10514" max="10752" width="9" style="2156"/>
    <col min="10753" max="10753" width="21.375" style="2156" customWidth="1"/>
    <col min="10754" max="10754" width="6.375" style="2156" customWidth="1"/>
    <col min="10755" max="10769" width="6.875" style="2156" customWidth="1"/>
    <col min="10770" max="11008" width="9" style="2156"/>
    <col min="11009" max="11009" width="21.375" style="2156" customWidth="1"/>
    <col min="11010" max="11010" width="6.375" style="2156" customWidth="1"/>
    <col min="11011" max="11025" width="6.875" style="2156" customWidth="1"/>
    <col min="11026" max="11264" width="9" style="2156"/>
    <col min="11265" max="11265" width="21.375" style="2156" customWidth="1"/>
    <col min="11266" max="11266" width="6.375" style="2156" customWidth="1"/>
    <col min="11267" max="11281" width="6.875" style="2156" customWidth="1"/>
    <col min="11282" max="11520" width="9" style="2156"/>
    <col min="11521" max="11521" width="21.375" style="2156" customWidth="1"/>
    <col min="11522" max="11522" width="6.375" style="2156" customWidth="1"/>
    <col min="11523" max="11537" width="6.875" style="2156" customWidth="1"/>
    <col min="11538" max="11776" width="9" style="2156"/>
    <col min="11777" max="11777" width="21.375" style="2156" customWidth="1"/>
    <col min="11778" max="11778" width="6.375" style="2156" customWidth="1"/>
    <col min="11779" max="11793" width="6.875" style="2156" customWidth="1"/>
    <col min="11794" max="12032" width="9" style="2156"/>
    <col min="12033" max="12033" width="21.375" style="2156" customWidth="1"/>
    <col min="12034" max="12034" width="6.375" style="2156" customWidth="1"/>
    <col min="12035" max="12049" width="6.875" style="2156" customWidth="1"/>
    <col min="12050" max="12288" width="9" style="2156"/>
    <col min="12289" max="12289" width="21.375" style="2156" customWidth="1"/>
    <col min="12290" max="12290" width="6.375" style="2156" customWidth="1"/>
    <col min="12291" max="12305" width="6.875" style="2156" customWidth="1"/>
    <col min="12306" max="12544" width="9" style="2156"/>
    <col min="12545" max="12545" width="21.375" style="2156" customWidth="1"/>
    <col min="12546" max="12546" width="6.375" style="2156" customWidth="1"/>
    <col min="12547" max="12561" width="6.875" style="2156" customWidth="1"/>
    <col min="12562" max="12800" width="9" style="2156"/>
    <col min="12801" max="12801" width="21.375" style="2156" customWidth="1"/>
    <col min="12802" max="12802" width="6.375" style="2156" customWidth="1"/>
    <col min="12803" max="12817" width="6.875" style="2156" customWidth="1"/>
    <col min="12818" max="13056" width="9" style="2156"/>
    <col min="13057" max="13057" width="21.375" style="2156" customWidth="1"/>
    <col min="13058" max="13058" width="6.375" style="2156" customWidth="1"/>
    <col min="13059" max="13073" width="6.875" style="2156" customWidth="1"/>
    <col min="13074" max="13312" width="9" style="2156"/>
    <col min="13313" max="13313" width="21.375" style="2156" customWidth="1"/>
    <col min="13314" max="13314" width="6.375" style="2156" customWidth="1"/>
    <col min="13315" max="13329" width="6.875" style="2156" customWidth="1"/>
    <col min="13330" max="13568" width="9" style="2156"/>
    <col min="13569" max="13569" width="21.375" style="2156" customWidth="1"/>
    <col min="13570" max="13570" width="6.375" style="2156" customWidth="1"/>
    <col min="13571" max="13585" width="6.875" style="2156" customWidth="1"/>
    <col min="13586" max="13824" width="9" style="2156"/>
    <col min="13825" max="13825" width="21.375" style="2156" customWidth="1"/>
    <col min="13826" max="13826" width="6.375" style="2156" customWidth="1"/>
    <col min="13827" max="13841" width="6.875" style="2156" customWidth="1"/>
    <col min="13842" max="14080" width="9" style="2156"/>
    <col min="14081" max="14081" width="21.375" style="2156" customWidth="1"/>
    <col min="14082" max="14082" width="6.375" style="2156" customWidth="1"/>
    <col min="14083" max="14097" width="6.875" style="2156" customWidth="1"/>
    <col min="14098" max="14336" width="9" style="2156"/>
    <col min="14337" max="14337" width="21.375" style="2156" customWidth="1"/>
    <col min="14338" max="14338" width="6.375" style="2156" customWidth="1"/>
    <col min="14339" max="14353" width="6.875" style="2156" customWidth="1"/>
    <col min="14354" max="14592" width="9" style="2156"/>
    <col min="14593" max="14593" width="21.375" style="2156" customWidth="1"/>
    <col min="14594" max="14594" width="6.375" style="2156" customWidth="1"/>
    <col min="14595" max="14609" width="6.875" style="2156" customWidth="1"/>
    <col min="14610" max="14848" width="9" style="2156"/>
    <col min="14849" max="14849" width="21.375" style="2156" customWidth="1"/>
    <col min="14850" max="14850" width="6.375" style="2156" customWidth="1"/>
    <col min="14851" max="14865" width="6.875" style="2156" customWidth="1"/>
    <col min="14866" max="15104" width="9" style="2156"/>
    <col min="15105" max="15105" width="21.375" style="2156" customWidth="1"/>
    <col min="15106" max="15106" width="6.375" style="2156" customWidth="1"/>
    <col min="15107" max="15121" width="6.875" style="2156" customWidth="1"/>
    <col min="15122" max="15360" width="9" style="2156"/>
    <col min="15361" max="15361" width="21.375" style="2156" customWidth="1"/>
    <col min="15362" max="15362" width="6.375" style="2156" customWidth="1"/>
    <col min="15363" max="15377" width="6.875" style="2156" customWidth="1"/>
    <col min="15378" max="15616" width="9" style="2156"/>
    <col min="15617" max="15617" width="21.375" style="2156" customWidth="1"/>
    <col min="15618" max="15618" width="6.375" style="2156" customWidth="1"/>
    <col min="15619" max="15633" width="6.875" style="2156" customWidth="1"/>
    <col min="15634" max="15872" width="9" style="2156"/>
    <col min="15873" max="15873" width="21.375" style="2156" customWidth="1"/>
    <col min="15874" max="15874" width="6.375" style="2156" customWidth="1"/>
    <col min="15875" max="15889" width="6.875" style="2156" customWidth="1"/>
    <col min="15890" max="16128" width="9" style="2156"/>
    <col min="16129" max="16129" width="21.375" style="2156" customWidth="1"/>
    <col min="16130" max="16130" width="6.375" style="2156" customWidth="1"/>
    <col min="16131" max="16145" width="6.875" style="2156" customWidth="1"/>
    <col min="16146" max="16384" width="9" style="2156"/>
  </cols>
  <sheetData>
    <row r="1" spans="1:17" s="2153" customFormat="1" ht="25.35" customHeight="1">
      <c r="A1" s="3895" t="s">
        <v>3286</v>
      </c>
      <c r="B1" s="3895"/>
      <c r="C1" s="3895"/>
      <c r="D1" s="3895"/>
      <c r="E1" s="3895"/>
      <c r="F1" s="3895"/>
      <c r="G1" s="3895"/>
      <c r="H1" s="3895"/>
      <c r="I1" s="3895"/>
      <c r="J1" s="3895"/>
      <c r="K1" s="3895"/>
      <c r="L1" s="3895"/>
      <c r="M1" s="3895"/>
      <c r="N1" s="3895"/>
      <c r="O1" s="3896"/>
      <c r="P1" s="3896"/>
      <c r="Q1" s="3896"/>
    </row>
    <row r="2" spans="1:17" ht="36.6" customHeight="1">
      <c r="A2" s="3903"/>
      <c r="B2" s="3903"/>
      <c r="C2" s="3905" t="s">
        <v>2362</v>
      </c>
      <c r="D2" s="3905"/>
      <c r="E2" s="3906"/>
      <c r="F2" s="3907" t="s">
        <v>3218</v>
      </c>
      <c r="G2" s="3905"/>
      <c r="H2" s="3906"/>
      <c r="I2" s="3907" t="s">
        <v>3200</v>
      </c>
      <c r="J2" s="3905"/>
      <c r="K2" s="3906"/>
      <c r="L2" s="3907" t="s">
        <v>3201</v>
      </c>
      <c r="M2" s="3905"/>
      <c r="N2" s="3906"/>
      <c r="O2" s="3907" t="s">
        <v>3202</v>
      </c>
      <c r="P2" s="3905"/>
      <c r="Q2" s="3905"/>
    </row>
    <row r="3" spans="1:17" ht="37.35" customHeight="1">
      <c r="A3" s="3904"/>
      <c r="B3" s="3904"/>
      <c r="C3" s="2175" t="s">
        <v>3219</v>
      </c>
      <c r="D3" s="2176" t="s">
        <v>3220</v>
      </c>
      <c r="E3" s="2176" t="s">
        <v>3221</v>
      </c>
      <c r="F3" s="2176" t="s">
        <v>3237</v>
      </c>
      <c r="G3" s="2176" t="s">
        <v>3287</v>
      </c>
      <c r="H3" s="2176" t="s">
        <v>3221</v>
      </c>
      <c r="I3" s="2176" t="s">
        <v>3219</v>
      </c>
      <c r="J3" s="2176" t="s">
        <v>3220</v>
      </c>
      <c r="K3" s="2176" t="s">
        <v>3221</v>
      </c>
      <c r="L3" s="2155" t="s">
        <v>3219</v>
      </c>
      <c r="M3" s="2155" t="s">
        <v>3288</v>
      </c>
      <c r="N3" s="2155" t="s">
        <v>3289</v>
      </c>
      <c r="O3" s="2155" t="s">
        <v>3219</v>
      </c>
      <c r="P3" s="2155" t="s">
        <v>3220</v>
      </c>
      <c r="Q3" s="2155" t="s">
        <v>3221</v>
      </c>
    </row>
    <row r="4" spans="1:17" ht="54" customHeight="1">
      <c r="A4" s="3899" t="s">
        <v>3290</v>
      </c>
      <c r="B4" s="2157" t="s">
        <v>3223</v>
      </c>
      <c r="C4" s="2188">
        <f t="shared" ref="C4:Q5" si="0">SUM(C6,C8,C10)</f>
        <v>825</v>
      </c>
      <c r="D4" s="2188">
        <f t="shared" si="0"/>
        <v>724</v>
      </c>
      <c r="E4" s="2188">
        <f t="shared" si="0"/>
        <v>101</v>
      </c>
      <c r="F4" s="2188">
        <f t="shared" si="0"/>
        <v>833</v>
      </c>
      <c r="G4" s="2188">
        <f t="shared" si="0"/>
        <v>709</v>
      </c>
      <c r="H4" s="2188">
        <f t="shared" si="0"/>
        <v>124</v>
      </c>
      <c r="I4" s="2188">
        <f t="shared" si="0"/>
        <v>738</v>
      </c>
      <c r="J4" s="2188">
        <f t="shared" si="0"/>
        <v>636</v>
      </c>
      <c r="K4" s="2188">
        <f t="shared" si="0"/>
        <v>102</v>
      </c>
      <c r="L4" s="2188">
        <f t="shared" si="0"/>
        <v>475</v>
      </c>
      <c r="M4" s="2188">
        <f t="shared" si="0"/>
        <v>420</v>
      </c>
      <c r="N4" s="2188">
        <f t="shared" si="0"/>
        <v>55</v>
      </c>
      <c r="O4" s="2188">
        <f t="shared" si="0"/>
        <v>473</v>
      </c>
      <c r="P4" s="2188">
        <f t="shared" si="0"/>
        <v>402</v>
      </c>
      <c r="Q4" s="2189">
        <f t="shared" si="0"/>
        <v>71</v>
      </c>
    </row>
    <row r="5" spans="1:17" ht="54" customHeight="1">
      <c r="A5" s="3899"/>
      <c r="B5" s="2160" t="s">
        <v>0</v>
      </c>
      <c r="C5" s="2190">
        <f t="shared" si="0"/>
        <v>100</v>
      </c>
      <c r="D5" s="2190">
        <f t="shared" si="0"/>
        <v>99.999999999999986</v>
      </c>
      <c r="E5" s="2190">
        <f t="shared" si="0"/>
        <v>100</v>
      </c>
      <c r="F5" s="2190">
        <f t="shared" si="0"/>
        <v>100</v>
      </c>
      <c r="G5" s="2190">
        <f t="shared" si="0"/>
        <v>100</v>
      </c>
      <c r="H5" s="2190">
        <f t="shared" si="0"/>
        <v>100</v>
      </c>
      <c r="I5" s="2190">
        <f t="shared" si="0"/>
        <v>100</v>
      </c>
      <c r="J5" s="2190">
        <f t="shared" si="0"/>
        <v>100</v>
      </c>
      <c r="K5" s="2190">
        <f t="shared" si="0"/>
        <v>100</v>
      </c>
      <c r="L5" s="2190">
        <f t="shared" si="0"/>
        <v>100.00000000000001</v>
      </c>
      <c r="M5" s="2190">
        <f t="shared" si="0"/>
        <v>99.999999999999986</v>
      </c>
      <c r="N5" s="2190">
        <f t="shared" si="0"/>
        <v>100</v>
      </c>
      <c r="O5" s="2190">
        <f t="shared" si="0"/>
        <v>100</v>
      </c>
      <c r="P5" s="2190">
        <f t="shared" si="0"/>
        <v>100</v>
      </c>
      <c r="Q5" s="2191">
        <f t="shared" si="0"/>
        <v>100</v>
      </c>
    </row>
    <row r="6" spans="1:17" ht="54" customHeight="1">
      <c r="A6" s="3899" t="s">
        <v>3291</v>
      </c>
      <c r="B6" s="2157" t="s">
        <v>3292</v>
      </c>
      <c r="C6" s="2188">
        <v>307</v>
      </c>
      <c r="D6" s="2188">
        <v>307</v>
      </c>
      <c r="E6" s="2188" t="s">
        <v>1</v>
      </c>
      <c r="F6" s="2188">
        <v>309</v>
      </c>
      <c r="G6" s="2188">
        <v>309</v>
      </c>
      <c r="H6" s="2188" t="s">
        <v>1</v>
      </c>
      <c r="I6" s="2188">
        <v>297</v>
      </c>
      <c r="J6" s="2188">
        <v>297</v>
      </c>
      <c r="K6" s="2188" t="s">
        <v>1</v>
      </c>
      <c r="L6" s="2188">
        <v>172</v>
      </c>
      <c r="M6" s="2188">
        <v>172</v>
      </c>
      <c r="N6" s="2188" t="s">
        <v>1</v>
      </c>
      <c r="O6" s="2188">
        <v>155</v>
      </c>
      <c r="P6" s="2188">
        <v>155</v>
      </c>
      <c r="Q6" s="2193" t="s">
        <v>1</v>
      </c>
    </row>
    <row r="7" spans="1:17" ht="54" customHeight="1">
      <c r="A7" s="3899"/>
      <c r="B7" s="2160" t="s">
        <v>0</v>
      </c>
      <c r="C7" s="2190">
        <f>C6/C4*100</f>
        <v>37.212121212121211</v>
      </c>
      <c r="D7" s="2190">
        <f>D6/D4*100</f>
        <v>42.403314917127069</v>
      </c>
      <c r="E7" s="2190" t="s">
        <v>3249</v>
      </c>
      <c r="F7" s="2190">
        <f>F6/F4*100</f>
        <v>37.09483793517407</v>
      </c>
      <c r="G7" s="2190">
        <f>G6/G4*100</f>
        <v>43.582510578279269</v>
      </c>
      <c r="H7" s="2190" t="s">
        <v>3225</v>
      </c>
      <c r="I7" s="2190">
        <f>I6/I4*100</f>
        <v>40.243902439024396</v>
      </c>
      <c r="J7" s="2190">
        <f>J6/J4*100</f>
        <v>46.698113207547173</v>
      </c>
      <c r="K7" s="2190" t="s">
        <v>3225</v>
      </c>
      <c r="L7" s="2190">
        <f>L6/L4*100</f>
        <v>36.21052631578948</v>
      </c>
      <c r="M7" s="2190">
        <f>M6/M4*100</f>
        <v>40.952380952380949</v>
      </c>
      <c r="N7" s="2190" t="s">
        <v>3225</v>
      </c>
      <c r="O7" s="2190">
        <f>O6/O4*100</f>
        <v>32.76955602536998</v>
      </c>
      <c r="P7" s="2190">
        <f>P6/P4*100</f>
        <v>38.557213930348261</v>
      </c>
      <c r="Q7" s="2191" t="s">
        <v>3293</v>
      </c>
    </row>
    <row r="8" spans="1:17" ht="54" customHeight="1">
      <c r="A8" s="3899" t="s">
        <v>3294</v>
      </c>
      <c r="B8" s="2157" t="s">
        <v>3223</v>
      </c>
      <c r="C8" s="2188">
        <v>357</v>
      </c>
      <c r="D8" s="2188">
        <v>256</v>
      </c>
      <c r="E8" s="2188">
        <v>101</v>
      </c>
      <c r="F8" s="2188">
        <v>369</v>
      </c>
      <c r="G8" s="2188">
        <v>245</v>
      </c>
      <c r="H8" s="2188">
        <v>124</v>
      </c>
      <c r="I8" s="2188">
        <v>298</v>
      </c>
      <c r="J8" s="2188">
        <v>196</v>
      </c>
      <c r="K8" s="2188">
        <v>102</v>
      </c>
      <c r="L8" s="2188">
        <v>163</v>
      </c>
      <c r="M8" s="2188">
        <v>108</v>
      </c>
      <c r="N8" s="2188">
        <v>55</v>
      </c>
      <c r="O8" s="2188">
        <v>209</v>
      </c>
      <c r="P8" s="2188">
        <v>138</v>
      </c>
      <c r="Q8" s="2193">
        <v>71</v>
      </c>
    </row>
    <row r="9" spans="1:17" ht="54" customHeight="1">
      <c r="A9" s="3899"/>
      <c r="B9" s="2160" t="s">
        <v>0</v>
      </c>
      <c r="C9" s="2190">
        <v>43.272727272727273</v>
      </c>
      <c r="D9" s="2190">
        <v>35.359116022099442</v>
      </c>
      <c r="E9" s="2190">
        <v>100</v>
      </c>
      <c r="F9" s="2190">
        <v>44.297719087635052</v>
      </c>
      <c r="G9" s="2190">
        <v>34.555712270803951</v>
      </c>
      <c r="H9" s="2190">
        <v>100</v>
      </c>
      <c r="I9" s="2190">
        <v>40.379403794037941</v>
      </c>
      <c r="J9" s="2190">
        <v>30.817610062893081</v>
      </c>
      <c r="K9" s="2190">
        <v>100</v>
      </c>
      <c r="L9" s="2190">
        <v>34.315789473684212</v>
      </c>
      <c r="M9" s="2190">
        <v>25.714285714285712</v>
      </c>
      <c r="N9" s="2190">
        <v>100</v>
      </c>
      <c r="O9" s="2190">
        <v>44.186046511627907</v>
      </c>
      <c r="P9" s="2190">
        <v>34.328358208955223</v>
      </c>
      <c r="Q9" s="2191">
        <v>100</v>
      </c>
    </row>
    <row r="10" spans="1:17" ht="54" customHeight="1">
      <c r="A10" s="3899" t="s">
        <v>3295</v>
      </c>
      <c r="B10" s="2157" t="s">
        <v>3244</v>
      </c>
      <c r="C10" s="2188">
        <v>161</v>
      </c>
      <c r="D10" s="2188">
        <v>161</v>
      </c>
      <c r="E10" s="2188" t="s">
        <v>1</v>
      </c>
      <c r="F10" s="2188">
        <v>155</v>
      </c>
      <c r="G10" s="2188">
        <v>155</v>
      </c>
      <c r="H10" s="2188" t="s">
        <v>1</v>
      </c>
      <c r="I10" s="2188">
        <v>143</v>
      </c>
      <c r="J10" s="2188">
        <v>143</v>
      </c>
      <c r="K10" s="2188" t="s">
        <v>1</v>
      </c>
      <c r="L10" s="2188">
        <v>140</v>
      </c>
      <c r="M10" s="2188">
        <v>140</v>
      </c>
      <c r="N10" s="2188" t="s">
        <v>1</v>
      </c>
      <c r="O10" s="2188">
        <v>109</v>
      </c>
      <c r="P10" s="2188">
        <v>109</v>
      </c>
      <c r="Q10" s="2193" t="s">
        <v>1</v>
      </c>
    </row>
    <row r="11" spans="1:17" ht="54" customHeight="1">
      <c r="A11" s="3904"/>
      <c r="B11" s="2165" t="s">
        <v>0</v>
      </c>
      <c r="C11" s="2194">
        <v>19.515151515151516</v>
      </c>
      <c r="D11" s="2194">
        <v>22.237569060773481</v>
      </c>
      <c r="E11" s="2194" t="s">
        <v>1</v>
      </c>
      <c r="F11" s="2194">
        <v>18.607442977190878</v>
      </c>
      <c r="G11" s="2194">
        <v>21.861777150916783</v>
      </c>
      <c r="H11" s="2194" t="s">
        <v>1</v>
      </c>
      <c r="I11" s="2194">
        <v>19.37669376693767</v>
      </c>
      <c r="J11" s="2194">
        <v>22.484276729559749</v>
      </c>
      <c r="K11" s="2194" t="s">
        <v>1</v>
      </c>
      <c r="L11" s="2194">
        <v>29.473684210526311</v>
      </c>
      <c r="M11" s="2194">
        <v>33.333333333333329</v>
      </c>
      <c r="N11" s="2194" t="s">
        <v>1</v>
      </c>
      <c r="O11" s="2194">
        <v>23.044397463002113</v>
      </c>
      <c r="P11" s="2194">
        <v>27.114427860696516</v>
      </c>
      <c r="Q11" s="2195" t="s">
        <v>1</v>
      </c>
    </row>
    <row r="12" spans="1:17">
      <c r="A12" s="2201" t="s">
        <v>3296</v>
      </c>
      <c r="C12" s="2202"/>
      <c r="D12" s="2202"/>
      <c r="E12" s="2202"/>
      <c r="F12" s="2202"/>
      <c r="G12" s="2202"/>
      <c r="H12" s="2202"/>
      <c r="I12" s="2202"/>
      <c r="J12" s="2202"/>
      <c r="K12" s="2202"/>
    </row>
    <row r="13" spans="1:17" ht="16.149999999999999" customHeight="1">
      <c r="A13" s="2201"/>
    </row>
  </sheetData>
  <mergeCells count="11">
    <mergeCell ref="A4:A5"/>
    <mergeCell ref="A6:A7"/>
    <mergeCell ref="A8:A9"/>
    <mergeCell ref="A10:A11"/>
    <mergeCell ref="A1:Q1"/>
    <mergeCell ref="A2:B3"/>
    <mergeCell ref="C2:E2"/>
    <mergeCell ref="F2:H2"/>
    <mergeCell ref="I2:K2"/>
    <mergeCell ref="L2:N2"/>
    <mergeCell ref="O2:Q2"/>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57"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Q16"/>
  <sheetViews>
    <sheetView showGridLines="0" workbookViewId="0">
      <selection activeCell="B18" sqref="B18:D18"/>
    </sheetView>
  </sheetViews>
  <sheetFormatPr defaultRowHeight="15.75"/>
  <cols>
    <col min="1" max="1" width="21.375" style="2156" customWidth="1"/>
    <col min="2" max="2" width="6.375" style="2156" customWidth="1"/>
    <col min="3" max="17" width="8.875" style="2156" customWidth="1"/>
    <col min="18" max="256" width="9" style="2156"/>
    <col min="257" max="257" width="21.375" style="2156" customWidth="1"/>
    <col min="258" max="258" width="6.375" style="2156" customWidth="1"/>
    <col min="259" max="259" width="8.625" style="2156" customWidth="1"/>
    <col min="260" max="266" width="6.875" style="2156" customWidth="1"/>
    <col min="267" max="267" width="7.25" style="2156" customWidth="1"/>
    <col min="268" max="273" width="7.125" style="2156" customWidth="1"/>
    <col min="274" max="512" width="9" style="2156"/>
    <col min="513" max="513" width="21.375" style="2156" customWidth="1"/>
    <col min="514" max="514" width="6.375" style="2156" customWidth="1"/>
    <col min="515" max="515" width="8.625" style="2156" customWidth="1"/>
    <col min="516" max="522" width="6.875" style="2156" customWidth="1"/>
    <col min="523" max="523" width="7.25" style="2156" customWidth="1"/>
    <col min="524" max="529" width="7.125" style="2156" customWidth="1"/>
    <col min="530" max="768" width="9" style="2156"/>
    <col min="769" max="769" width="21.375" style="2156" customWidth="1"/>
    <col min="770" max="770" width="6.375" style="2156" customWidth="1"/>
    <col min="771" max="771" width="8.625" style="2156" customWidth="1"/>
    <col min="772" max="778" width="6.875" style="2156" customWidth="1"/>
    <col min="779" max="779" width="7.25" style="2156" customWidth="1"/>
    <col min="780" max="785" width="7.125" style="2156" customWidth="1"/>
    <col min="786" max="1024" width="9" style="2156"/>
    <col min="1025" max="1025" width="21.375" style="2156" customWidth="1"/>
    <col min="1026" max="1026" width="6.375" style="2156" customWidth="1"/>
    <col min="1027" max="1027" width="8.625" style="2156" customWidth="1"/>
    <col min="1028" max="1034" width="6.875" style="2156" customWidth="1"/>
    <col min="1035" max="1035" width="7.25" style="2156" customWidth="1"/>
    <col min="1036" max="1041" width="7.125" style="2156" customWidth="1"/>
    <col min="1042" max="1280" width="9" style="2156"/>
    <col min="1281" max="1281" width="21.375" style="2156" customWidth="1"/>
    <col min="1282" max="1282" width="6.375" style="2156" customWidth="1"/>
    <col min="1283" max="1283" width="8.625" style="2156" customWidth="1"/>
    <col min="1284" max="1290" width="6.875" style="2156" customWidth="1"/>
    <col min="1291" max="1291" width="7.25" style="2156" customWidth="1"/>
    <col min="1292" max="1297" width="7.125" style="2156" customWidth="1"/>
    <col min="1298" max="1536" width="9" style="2156"/>
    <col min="1537" max="1537" width="21.375" style="2156" customWidth="1"/>
    <col min="1538" max="1538" width="6.375" style="2156" customWidth="1"/>
    <col min="1539" max="1539" width="8.625" style="2156" customWidth="1"/>
    <col min="1540" max="1546" width="6.875" style="2156" customWidth="1"/>
    <col min="1547" max="1547" width="7.25" style="2156" customWidth="1"/>
    <col min="1548" max="1553" width="7.125" style="2156" customWidth="1"/>
    <col min="1554" max="1792" width="9" style="2156"/>
    <col min="1793" max="1793" width="21.375" style="2156" customWidth="1"/>
    <col min="1794" max="1794" width="6.375" style="2156" customWidth="1"/>
    <col min="1795" max="1795" width="8.625" style="2156" customWidth="1"/>
    <col min="1796" max="1802" width="6.875" style="2156" customWidth="1"/>
    <col min="1803" max="1803" width="7.25" style="2156" customWidth="1"/>
    <col min="1804" max="1809" width="7.125" style="2156" customWidth="1"/>
    <col min="1810" max="2048" width="9" style="2156"/>
    <col min="2049" max="2049" width="21.375" style="2156" customWidth="1"/>
    <col min="2050" max="2050" width="6.375" style="2156" customWidth="1"/>
    <col min="2051" max="2051" width="8.625" style="2156" customWidth="1"/>
    <col min="2052" max="2058" width="6.875" style="2156" customWidth="1"/>
    <col min="2059" max="2059" width="7.25" style="2156" customWidth="1"/>
    <col min="2060" max="2065" width="7.125" style="2156" customWidth="1"/>
    <col min="2066" max="2304" width="9" style="2156"/>
    <col min="2305" max="2305" width="21.375" style="2156" customWidth="1"/>
    <col min="2306" max="2306" width="6.375" style="2156" customWidth="1"/>
    <col min="2307" max="2307" width="8.625" style="2156" customWidth="1"/>
    <col min="2308" max="2314" width="6.875" style="2156" customWidth="1"/>
    <col min="2315" max="2315" width="7.25" style="2156" customWidth="1"/>
    <col min="2316" max="2321" width="7.125" style="2156" customWidth="1"/>
    <col min="2322" max="2560" width="9" style="2156"/>
    <col min="2561" max="2561" width="21.375" style="2156" customWidth="1"/>
    <col min="2562" max="2562" width="6.375" style="2156" customWidth="1"/>
    <col min="2563" max="2563" width="8.625" style="2156" customWidth="1"/>
    <col min="2564" max="2570" width="6.875" style="2156" customWidth="1"/>
    <col min="2571" max="2571" width="7.25" style="2156" customWidth="1"/>
    <col min="2572" max="2577" width="7.125" style="2156" customWidth="1"/>
    <col min="2578" max="2816" width="9" style="2156"/>
    <col min="2817" max="2817" width="21.375" style="2156" customWidth="1"/>
    <col min="2818" max="2818" width="6.375" style="2156" customWidth="1"/>
    <col min="2819" max="2819" width="8.625" style="2156" customWidth="1"/>
    <col min="2820" max="2826" width="6.875" style="2156" customWidth="1"/>
    <col min="2827" max="2827" width="7.25" style="2156" customWidth="1"/>
    <col min="2828" max="2833" width="7.125" style="2156" customWidth="1"/>
    <col min="2834" max="3072" width="9" style="2156"/>
    <col min="3073" max="3073" width="21.375" style="2156" customWidth="1"/>
    <col min="3074" max="3074" width="6.375" style="2156" customWidth="1"/>
    <col min="3075" max="3075" width="8.625" style="2156" customWidth="1"/>
    <col min="3076" max="3082" width="6.875" style="2156" customWidth="1"/>
    <col min="3083" max="3083" width="7.25" style="2156" customWidth="1"/>
    <col min="3084" max="3089" width="7.125" style="2156" customWidth="1"/>
    <col min="3090" max="3328" width="9" style="2156"/>
    <col min="3329" max="3329" width="21.375" style="2156" customWidth="1"/>
    <col min="3330" max="3330" width="6.375" style="2156" customWidth="1"/>
    <col min="3331" max="3331" width="8.625" style="2156" customWidth="1"/>
    <col min="3332" max="3338" width="6.875" style="2156" customWidth="1"/>
    <col min="3339" max="3339" width="7.25" style="2156" customWidth="1"/>
    <col min="3340" max="3345" width="7.125" style="2156" customWidth="1"/>
    <col min="3346" max="3584" width="9" style="2156"/>
    <col min="3585" max="3585" width="21.375" style="2156" customWidth="1"/>
    <col min="3586" max="3586" width="6.375" style="2156" customWidth="1"/>
    <col min="3587" max="3587" width="8.625" style="2156" customWidth="1"/>
    <col min="3588" max="3594" width="6.875" style="2156" customWidth="1"/>
    <col min="3595" max="3595" width="7.25" style="2156" customWidth="1"/>
    <col min="3596" max="3601" width="7.125" style="2156" customWidth="1"/>
    <col min="3602" max="3840" width="9" style="2156"/>
    <col min="3841" max="3841" width="21.375" style="2156" customWidth="1"/>
    <col min="3842" max="3842" width="6.375" style="2156" customWidth="1"/>
    <col min="3843" max="3843" width="8.625" style="2156" customWidth="1"/>
    <col min="3844" max="3850" width="6.875" style="2156" customWidth="1"/>
    <col min="3851" max="3851" width="7.25" style="2156" customWidth="1"/>
    <col min="3852" max="3857" width="7.125" style="2156" customWidth="1"/>
    <col min="3858" max="4096" width="9" style="2156"/>
    <col min="4097" max="4097" width="21.375" style="2156" customWidth="1"/>
    <col min="4098" max="4098" width="6.375" style="2156" customWidth="1"/>
    <col min="4099" max="4099" width="8.625" style="2156" customWidth="1"/>
    <col min="4100" max="4106" width="6.875" style="2156" customWidth="1"/>
    <col min="4107" max="4107" width="7.25" style="2156" customWidth="1"/>
    <col min="4108" max="4113" width="7.125" style="2156" customWidth="1"/>
    <col min="4114" max="4352" width="9" style="2156"/>
    <col min="4353" max="4353" width="21.375" style="2156" customWidth="1"/>
    <col min="4354" max="4354" width="6.375" style="2156" customWidth="1"/>
    <col min="4355" max="4355" width="8.625" style="2156" customWidth="1"/>
    <col min="4356" max="4362" width="6.875" style="2156" customWidth="1"/>
    <col min="4363" max="4363" width="7.25" style="2156" customWidth="1"/>
    <col min="4364" max="4369" width="7.125" style="2156" customWidth="1"/>
    <col min="4370" max="4608" width="9" style="2156"/>
    <col min="4609" max="4609" width="21.375" style="2156" customWidth="1"/>
    <col min="4610" max="4610" width="6.375" style="2156" customWidth="1"/>
    <col min="4611" max="4611" width="8.625" style="2156" customWidth="1"/>
    <col min="4612" max="4618" width="6.875" style="2156" customWidth="1"/>
    <col min="4619" max="4619" width="7.25" style="2156" customWidth="1"/>
    <col min="4620" max="4625" width="7.125" style="2156" customWidth="1"/>
    <col min="4626" max="4864" width="9" style="2156"/>
    <col min="4865" max="4865" width="21.375" style="2156" customWidth="1"/>
    <col min="4866" max="4866" width="6.375" style="2156" customWidth="1"/>
    <col min="4867" max="4867" width="8.625" style="2156" customWidth="1"/>
    <col min="4868" max="4874" width="6.875" style="2156" customWidth="1"/>
    <col min="4875" max="4875" width="7.25" style="2156" customWidth="1"/>
    <col min="4876" max="4881" width="7.125" style="2156" customWidth="1"/>
    <col min="4882" max="5120" width="9" style="2156"/>
    <col min="5121" max="5121" width="21.375" style="2156" customWidth="1"/>
    <col min="5122" max="5122" width="6.375" style="2156" customWidth="1"/>
    <col min="5123" max="5123" width="8.625" style="2156" customWidth="1"/>
    <col min="5124" max="5130" width="6.875" style="2156" customWidth="1"/>
    <col min="5131" max="5131" width="7.25" style="2156" customWidth="1"/>
    <col min="5132" max="5137" width="7.125" style="2156" customWidth="1"/>
    <col min="5138" max="5376" width="9" style="2156"/>
    <col min="5377" max="5377" width="21.375" style="2156" customWidth="1"/>
    <col min="5378" max="5378" width="6.375" style="2156" customWidth="1"/>
    <col min="5379" max="5379" width="8.625" style="2156" customWidth="1"/>
    <col min="5380" max="5386" width="6.875" style="2156" customWidth="1"/>
    <col min="5387" max="5387" width="7.25" style="2156" customWidth="1"/>
    <col min="5388" max="5393" width="7.125" style="2156" customWidth="1"/>
    <col min="5394" max="5632" width="9" style="2156"/>
    <col min="5633" max="5633" width="21.375" style="2156" customWidth="1"/>
    <col min="5634" max="5634" width="6.375" style="2156" customWidth="1"/>
    <col min="5635" max="5635" width="8.625" style="2156" customWidth="1"/>
    <col min="5636" max="5642" width="6.875" style="2156" customWidth="1"/>
    <col min="5643" max="5643" width="7.25" style="2156" customWidth="1"/>
    <col min="5644" max="5649" width="7.125" style="2156" customWidth="1"/>
    <col min="5650" max="5888" width="9" style="2156"/>
    <col min="5889" max="5889" width="21.375" style="2156" customWidth="1"/>
    <col min="5890" max="5890" width="6.375" style="2156" customWidth="1"/>
    <col min="5891" max="5891" width="8.625" style="2156" customWidth="1"/>
    <col min="5892" max="5898" width="6.875" style="2156" customWidth="1"/>
    <col min="5899" max="5899" width="7.25" style="2156" customWidth="1"/>
    <col min="5900" max="5905" width="7.125" style="2156" customWidth="1"/>
    <col min="5906" max="6144" width="9" style="2156"/>
    <col min="6145" max="6145" width="21.375" style="2156" customWidth="1"/>
    <col min="6146" max="6146" width="6.375" style="2156" customWidth="1"/>
    <col min="6147" max="6147" width="8.625" style="2156" customWidth="1"/>
    <col min="6148" max="6154" width="6.875" style="2156" customWidth="1"/>
    <col min="6155" max="6155" width="7.25" style="2156" customWidth="1"/>
    <col min="6156" max="6161" width="7.125" style="2156" customWidth="1"/>
    <col min="6162" max="6400" width="9" style="2156"/>
    <col min="6401" max="6401" width="21.375" style="2156" customWidth="1"/>
    <col min="6402" max="6402" width="6.375" style="2156" customWidth="1"/>
    <col min="6403" max="6403" width="8.625" style="2156" customWidth="1"/>
    <col min="6404" max="6410" width="6.875" style="2156" customWidth="1"/>
    <col min="6411" max="6411" width="7.25" style="2156" customWidth="1"/>
    <col min="6412" max="6417" width="7.125" style="2156" customWidth="1"/>
    <col min="6418" max="6656" width="9" style="2156"/>
    <col min="6657" max="6657" width="21.375" style="2156" customWidth="1"/>
    <col min="6658" max="6658" width="6.375" style="2156" customWidth="1"/>
    <col min="6659" max="6659" width="8.625" style="2156" customWidth="1"/>
    <col min="6660" max="6666" width="6.875" style="2156" customWidth="1"/>
    <col min="6667" max="6667" width="7.25" style="2156" customWidth="1"/>
    <col min="6668" max="6673" width="7.125" style="2156" customWidth="1"/>
    <col min="6674" max="6912" width="9" style="2156"/>
    <col min="6913" max="6913" width="21.375" style="2156" customWidth="1"/>
    <col min="6914" max="6914" width="6.375" style="2156" customWidth="1"/>
    <col min="6915" max="6915" width="8.625" style="2156" customWidth="1"/>
    <col min="6916" max="6922" width="6.875" style="2156" customWidth="1"/>
    <col min="6923" max="6923" width="7.25" style="2156" customWidth="1"/>
    <col min="6924" max="6929" width="7.125" style="2156" customWidth="1"/>
    <col min="6930" max="7168" width="9" style="2156"/>
    <col min="7169" max="7169" width="21.375" style="2156" customWidth="1"/>
    <col min="7170" max="7170" width="6.375" style="2156" customWidth="1"/>
    <col min="7171" max="7171" width="8.625" style="2156" customWidth="1"/>
    <col min="7172" max="7178" width="6.875" style="2156" customWidth="1"/>
    <col min="7179" max="7179" width="7.25" style="2156" customWidth="1"/>
    <col min="7180" max="7185" width="7.125" style="2156" customWidth="1"/>
    <col min="7186" max="7424" width="9" style="2156"/>
    <col min="7425" max="7425" width="21.375" style="2156" customWidth="1"/>
    <col min="7426" max="7426" width="6.375" style="2156" customWidth="1"/>
    <col min="7427" max="7427" width="8.625" style="2156" customWidth="1"/>
    <col min="7428" max="7434" width="6.875" style="2156" customWidth="1"/>
    <col min="7435" max="7435" width="7.25" style="2156" customWidth="1"/>
    <col min="7436" max="7441" width="7.125" style="2156" customWidth="1"/>
    <col min="7442" max="7680" width="9" style="2156"/>
    <col min="7681" max="7681" width="21.375" style="2156" customWidth="1"/>
    <col min="7682" max="7682" width="6.375" style="2156" customWidth="1"/>
    <col min="7683" max="7683" width="8.625" style="2156" customWidth="1"/>
    <col min="7684" max="7690" width="6.875" style="2156" customWidth="1"/>
    <col min="7691" max="7691" width="7.25" style="2156" customWidth="1"/>
    <col min="7692" max="7697" width="7.125" style="2156" customWidth="1"/>
    <col min="7698" max="7936" width="9" style="2156"/>
    <col min="7937" max="7937" width="21.375" style="2156" customWidth="1"/>
    <col min="7938" max="7938" width="6.375" style="2156" customWidth="1"/>
    <col min="7939" max="7939" width="8.625" style="2156" customWidth="1"/>
    <col min="7940" max="7946" width="6.875" style="2156" customWidth="1"/>
    <col min="7947" max="7947" width="7.25" style="2156" customWidth="1"/>
    <col min="7948" max="7953" width="7.125" style="2156" customWidth="1"/>
    <col min="7954" max="8192" width="9" style="2156"/>
    <col min="8193" max="8193" width="21.375" style="2156" customWidth="1"/>
    <col min="8194" max="8194" width="6.375" style="2156" customWidth="1"/>
    <col min="8195" max="8195" width="8.625" style="2156" customWidth="1"/>
    <col min="8196" max="8202" width="6.875" style="2156" customWidth="1"/>
    <col min="8203" max="8203" width="7.25" style="2156" customWidth="1"/>
    <col min="8204" max="8209" width="7.125" style="2156" customWidth="1"/>
    <col min="8210" max="8448" width="9" style="2156"/>
    <col min="8449" max="8449" width="21.375" style="2156" customWidth="1"/>
    <col min="8450" max="8450" width="6.375" style="2156" customWidth="1"/>
    <col min="8451" max="8451" width="8.625" style="2156" customWidth="1"/>
    <col min="8452" max="8458" width="6.875" style="2156" customWidth="1"/>
    <col min="8459" max="8459" width="7.25" style="2156" customWidth="1"/>
    <col min="8460" max="8465" width="7.125" style="2156" customWidth="1"/>
    <col min="8466" max="8704" width="9" style="2156"/>
    <col min="8705" max="8705" width="21.375" style="2156" customWidth="1"/>
    <col min="8706" max="8706" width="6.375" style="2156" customWidth="1"/>
    <col min="8707" max="8707" width="8.625" style="2156" customWidth="1"/>
    <col min="8708" max="8714" width="6.875" style="2156" customWidth="1"/>
    <col min="8715" max="8715" width="7.25" style="2156" customWidth="1"/>
    <col min="8716" max="8721" width="7.125" style="2156" customWidth="1"/>
    <col min="8722" max="8960" width="9" style="2156"/>
    <col min="8961" max="8961" width="21.375" style="2156" customWidth="1"/>
    <col min="8962" max="8962" width="6.375" style="2156" customWidth="1"/>
    <col min="8963" max="8963" width="8.625" style="2156" customWidth="1"/>
    <col min="8964" max="8970" width="6.875" style="2156" customWidth="1"/>
    <col min="8971" max="8971" width="7.25" style="2156" customWidth="1"/>
    <col min="8972" max="8977" width="7.125" style="2156" customWidth="1"/>
    <col min="8978" max="9216" width="9" style="2156"/>
    <col min="9217" max="9217" width="21.375" style="2156" customWidth="1"/>
    <col min="9218" max="9218" width="6.375" style="2156" customWidth="1"/>
    <col min="9219" max="9219" width="8.625" style="2156" customWidth="1"/>
    <col min="9220" max="9226" width="6.875" style="2156" customWidth="1"/>
    <col min="9227" max="9227" width="7.25" style="2156" customWidth="1"/>
    <col min="9228" max="9233" width="7.125" style="2156" customWidth="1"/>
    <col min="9234" max="9472" width="9" style="2156"/>
    <col min="9473" max="9473" width="21.375" style="2156" customWidth="1"/>
    <col min="9474" max="9474" width="6.375" style="2156" customWidth="1"/>
    <col min="9475" max="9475" width="8.625" style="2156" customWidth="1"/>
    <col min="9476" max="9482" width="6.875" style="2156" customWidth="1"/>
    <col min="9483" max="9483" width="7.25" style="2156" customWidth="1"/>
    <col min="9484" max="9489" width="7.125" style="2156" customWidth="1"/>
    <col min="9490" max="9728" width="9" style="2156"/>
    <col min="9729" max="9729" width="21.375" style="2156" customWidth="1"/>
    <col min="9730" max="9730" width="6.375" style="2156" customWidth="1"/>
    <col min="9731" max="9731" width="8.625" style="2156" customWidth="1"/>
    <col min="9732" max="9738" width="6.875" style="2156" customWidth="1"/>
    <col min="9739" max="9739" width="7.25" style="2156" customWidth="1"/>
    <col min="9740" max="9745" width="7.125" style="2156" customWidth="1"/>
    <col min="9746" max="9984" width="9" style="2156"/>
    <col min="9985" max="9985" width="21.375" style="2156" customWidth="1"/>
    <col min="9986" max="9986" width="6.375" style="2156" customWidth="1"/>
    <col min="9987" max="9987" width="8.625" style="2156" customWidth="1"/>
    <col min="9988" max="9994" width="6.875" style="2156" customWidth="1"/>
    <col min="9995" max="9995" width="7.25" style="2156" customWidth="1"/>
    <col min="9996" max="10001" width="7.125" style="2156" customWidth="1"/>
    <col min="10002" max="10240" width="9" style="2156"/>
    <col min="10241" max="10241" width="21.375" style="2156" customWidth="1"/>
    <col min="10242" max="10242" width="6.375" style="2156" customWidth="1"/>
    <col min="10243" max="10243" width="8.625" style="2156" customWidth="1"/>
    <col min="10244" max="10250" width="6.875" style="2156" customWidth="1"/>
    <col min="10251" max="10251" width="7.25" style="2156" customWidth="1"/>
    <col min="10252" max="10257" width="7.125" style="2156" customWidth="1"/>
    <col min="10258" max="10496" width="9" style="2156"/>
    <col min="10497" max="10497" width="21.375" style="2156" customWidth="1"/>
    <col min="10498" max="10498" width="6.375" style="2156" customWidth="1"/>
    <col min="10499" max="10499" width="8.625" style="2156" customWidth="1"/>
    <col min="10500" max="10506" width="6.875" style="2156" customWidth="1"/>
    <col min="10507" max="10507" width="7.25" style="2156" customWidth="1"/>
    <col min="10508" max="10513" width="7.125" style="2156" customWidth="1"/>
    <col min="10514" max="10752" width="9" style="2156"/>
    <col min="10753" max="10753" width="21.375" style="2156" customWidth="1"/>
    <col min="10754" max="10754" width="6.375" style="2156" customWidth="1"/>
    <col min="10755" max="10755" width="8.625" style="2156" customWidth="1"/>
    <col min="10756" max="10762" width="6.875" style="2156" customWidth="1"/>
    <col min="10763" max="10763" width="7.25" style="2156" customWidth="1"/>
    <col min="10764" max="10769" width="7.125" style="2156" customWidth="1"/>
    <col min="10770" max="11008" width="9" style="2156"/>
    <col min="11009" max="11009" width="21.375" style="2156" customWidth="1"/>
    <col min="11010" max="11010" width="6.375" style="2156" customWidth="1"/>
    <col min="11011" max="11011" width="8.625" style="2156" customWidth="1"/>
    <col min="11012" max="11018" width="6.875" style="2156" customWidth="1"/>
    <col min="11019" max="11019" width="7.25" style="2156" customWidth="1"/>
    <col min="11020" max="11025" width="7.125" style="2156" customWidth="1"/>
    <col min="11026" max="11264" width="9" style="2156"/>
    <col min="11265" max="11265" width="21.375" style="2156" customWidth="1"/>
    <col min="11266" max="11266" width="6.375" style="2156" customWidth="1"/>
    <col min="11267" max="11267" width="8.625" style="2156" customWidth="1"/>
    <col min="11268" max="11274" width="6.875" style="2156" customWidth="1"/>
    <col min="11275" max="11275" width="7.25" style="2156" customWidth="1"/>
    <col min="11276" max="11281" width="7.125" style="2156" customWidth="1"/>
    <col min="11282" max="11520" width="9" style="2156"/>
    <col min="11521" max="11521" width="21.375" style="2156" customWidth="1"/>
    <col min="11522" max="11522" width="6.375" style="2156" customWidth="1"/>
    <col min="11523" max="11523" width="8.625" style="2156" customWidth="1"/>
    <col min="11524" max="11530" width="6.875" style="2156" customWidth="1"/>
    <col min="11531" max="11531" width="7.25" style="2156" customWidth="1"/>
    <col min="11532" max="11537" width="7.125" style="2156" customWidth="1"/>
    <col min="11538" max="11776" width="9" style="2156"/>
    <col min="11777" max="11777" width="21.375" style="2156" customWidth="1"/>
    <col min="11778" max="11778" width="6.375" style="2156" customWidth="1"/>
    <col min="11779" max="11779" width="8.625" style="2156" customWidth="1"/>
    <col min="11780" max="11786" width="6.875" style="2156" customWidth="1"/>
    <col min="11787" max="11787" width="7.25" style="2156" customWidth="1"/>
    <col min="11788" max="11793" width="7.125" style="2156" customWidth="1"/>
    <col min="11794" max="12032" width="9" style="2156"/>
    <col min="12033" max="12033" width="21.375" style="2156" customWidth="1"/>
    <col min="12034" max="12034" width="6.375" style="2156" customWidth="1"/>
    <col min="12035" max="12035" width="8.625" style="2156" customWidth="1"/>
    <col min="12036" max="12042" width="6.875" style="2156" customWidth="1"/>
    <col min="12043" max="12043" width="7.25" style="2156" customWidth="1"/>
    <col min="12044" max="12049" width="7.125" style="2156" customWidth="1"/>
    <col min="12050" max="12288" width="9" style="2156"/>
    <col min="12289" max="12289" width="21.375" style="2156" customWidth="1"/>
    <col min="12290" max="12290" width="6.375" style="2156" customWidth="1"/>
    <col min="12291" max="12291" width="8.625" style="2156" customWidth="1"/>
    <col min="12292" max="12298" width="6.875" style="2156" customWidth="1"/>
    <col min="12299" max="12299" width="7.25" style="2156" customWidth="1"/>
    <col min="12300" max="12305" width="7.125" style="2156" customWidth="1"/>
    <col min="12306" max="12544" width="9" style="2156"/>
    <col min="12545" max="12545" width="21.375" style="2156" customWidth="1"/>
    <col min="12546" max="12546" width="6.375" style="2156" customWidth="1"/>
    <col min="12547" max="12547" width="8.625" style="2156" customWidth="1"/>
    <col min="12548" max="12554" width="6.875" style="2156" customWidth="1"/>
    <col min="12555" max="12555" width="7.25" style="2156" customWidth="1"/>
    <col min="12556" max="12561" width="7.125" style="2156" customWidth="1"/>
    <col min="12562" max="12800" width="9" style="2156"/>
    <col min="12801" max="12801" width="21.375" style="2156" customWidth="1"/>
    <col min="12802" max="12802" width="6.375" style="2156" customWidth="1"/>
    <col min="12803" max="12803" width="8.625" style="2156" customWidth="1"/>
    <col min="12804" max="12810" width="6.875" style="2156" customWidth="1"/>
    <col min="12811" max="12811" width="7.25" style="2156" customWidth="1"/>
    <col min="12812" max="12817" width="7.125" style="2156" customWidth="1"/>
    <col min="12818" max="13056" width="9" style="2156"/>
    <col min="13057" max="13057" width="21.375" style="2156" customWidth="1"/>
    <col min="13058" max="13058" width="6.375" style="2156" customWidth="1"/>
    <col min="13059" max="13059" width="8.625" style="2156" customWidth="1"/>
    <col min="13060" max="13066" width="6.875" style="2156" customWidth="1"/>
    <col min="13067" max="13067" width="7.25" style="2156" customWidth="1"/>
    <col min="13068" max="13073" width="7.125" style="2156" customWidth="1"/>
    <col min="13074" max="13312" width="9" style="2156"/>
    <col min="13313" max="13313" width="21.375" style="2156" customWidth="1"/>
    <col min="13314" max="13314" width="6.375" style="2156" customWidth="1"/>
    <col min="13315" max="13315" width="8.625" style="2156" customWidth="1"/>
    <col min="13316" max="13322" width="6.875" style="2156" customWidth="1"/>
    <col min="13323" max="13323" width="7.25" style="2156" customWidth="1"/>
    <col min="13324" max="13329" width="7.125" style="2156" customWidth="1"/>
    <col min="13330" max="13568" width="9" style="2156"/>
    <col min="13569" max="13569" width="21.375" style="2156" customWidth="1"/>
    <col min="13570" max="13570" width="6.375" style="2156" customWidth="1"/>
    <col min="13571" max="13571" width="8.625" style="2156" customWidth="1"/>
    <col min="13572" max="13578" width="6.875" style="2156" customWidth="1"/>
    <col min="13579" max="13579" width="7.25" style="2156" customWidth="1"/>
    <col min="13580" max="13585" width="7.125" style="2156" customWidth="1"/>
    <col min="13586" max="13824" width="9" style="2156"/>
    <col min="13825" max="13825" width="21.375" style="2156" customWidth="1"/>
    <col min="13826" max="13826" width="6.375" style="2156" customWidth="1"/>
    <col min="13827" max="13827" width="8.625" style="2156" customWidth="1"/>
    <col min="13828" max="13834" width="6.875" style="2156" customWidth="1"/>
    <col min="13835" max="13835" width="7.25" style="2156" customWidth="1"/>
    <col min="13836" max="13841" width="7.125" style="2156" customWidth="1"/>
    <col min="13842" max="14080" width="9" style="2156"/>
    <col min="14081" max="14081" width="21.375" style="2156" customWidth="1"/>
    <col min="14082" max="14082" width="6.375" style="2156" customWidth="1"/>
    <col min="14083" max="14083" width="8.625" style="2156" customWidth="1"/>
    <col min="14084" max="14090" width="6.875" style="2156" customWidth="1"/>
    <col min="14091" max="14091" width="7.25" style="2156" customWidth="1"/>
    <col min="14092" max="14097" width="7.125" style="2156" customWidth="1"/>
    <col min="14098" max="14336" width="9" style="2156"/>
    <col min="14337" max="14337" width="21.375" style="2156" customWidth="1"/>
    <col min="14338" max="14338" width="6.375" style="2156" customWidth="1"/>
    <col min="14339" max="14339" width="8.625" style="2156" customWidth="1"/>
    <col min="14340" max="14346" width="6.875" style="2156" customWidth="1"/>
    <col min="14347" max="14347" width="7.25" style="2156" customWidth="1"/>
    <col min="14348" max="14353" width="7.125" style="2156" customWidth="1"/>
    <col min="14354" max="14592" width="9" style="2156"/>
    <col min="14593" max="14593" width="21.375" style="2156" customWidth="1"/>
    <col min="14594" max="14594" width="6.375" style="2156" customWidth="1"/>
    <col min="14595" max="14595" width="8.625" style="2156" customWidth="1"/>
    <col min="14596" max="14602" width="6.875" style="2156" customWidth="1"/>
    <col min="14603" max="14603" width="7.25" style="2156" customWidth="1"/>
    <col min="14604" max="14609" width="7.125" style="2156" customWidth="1"/>
    <col min="14610" max="14848" width="9" style="2156"/>
    <col min="14849" max="14849" width="21.375" style="2156" customWidth="1"/>
    <col min="14850" max="14850" width="6.375" style="2156" customWidth="1"/>
    <col min="14851" max="14851" width="8.625" style="2156" customWidth="1"/>
    <col min="14852" max="14858" width="6.875" style="2156" customWidth="1"/>
    <col min="14859" max="14859" width="7.25" style="2156" customWidth="1"/>
    <col min="14860" max="14865" width="7.125" style="2156" customWidth="1"/>
    <col min="14866" max="15104" width="9" style="2156"/>
    <col min="15105" max="15105" width="21.375" style="2156" customWidth="1"/>
    <col min="15106" max="15106" width="6.375" style="2156" customWidth="1"/>
    <col min="15107" max="15107" width="8.625" style="2156" customWidth="1"/>
    <col min="15108" max="15114" width="6.875" style="2156" customWidth="1"/>
    <col min="15115" max="15115" width="7.25" style="2156" customWidth="1"/>
    <col min="15116" max="15121" width="7.125" style="2156" customWidth="1"/>
    <col min="15122" max="15360" width="9" style="2156"/>
    <col min="15361" max="15361" width="21.375" style="2156" customWidth="1"/>
    <col min="15362" max="15362" width="6.375" style="2156" customWidth="1"/>
    <col min="15363" max="15363" width="8.625" style="2156" customWidth="1"/>
    <col min="15364" max="15370" width="6.875" style="2156" customWidth="1"/>
    <col min="15371" max="15371" width="7.25" style="2156" customWidth="1"/>
    <col min="15372" max="15377" width="7.125" style="2156" customWidth="1"/>
    <col min="15378" max="15616" width="9" style="2156"/>
    <col min="15617" max="15617" width="21.375" style="2156" customWidth="1"/>
    <col min="15618" max="15618" width="6.375" style="2156" customWidth="1"/>
    <col min="15619" max="15619" width="8.625" style="2156" customWidth="1"/>
    <col min="15620" max="15626" width="6.875" style="2156" customWidth="1"/>
    <col min="15627" max="15627" width="7.25" style="2156" customWidth="1"/>
    <col min="15628" max="15633" width="7.125" style="2156" customWidth="1"/>
    <col min="15634" max="15872" width="9" style="2156"/>
    <col min="15873" max="15873" width="21.375" style="2156" customWidth="1"/>
    <col min="15874" max="15874" width="6.375" style="2156" customWidth="1"/>
    <col min="15875" max="15875" width="8.625" style="2156" customWidth="1"/>
    <col min="15876" max="15882" width="6.875" style="2156" customWidth="1"/>
    <col min="15883" max="15883" width="7.25" style="2156" customWidth="1"/>
    <col min="15884" max="15889" width="7.125" style="2156" customWidth="1"/>
    <col min="15890" max="16128" width="9" style="2156"/>
    <col min="16129" max="16129" width="21.375" style="2156" customWidth="1"/>
    <col min="16130" max="16130" width="6.375" style="2156" customWidth="1"/>
    <col min="16131" max="16131" width="8.625" style="2156" customWidth="1"/>
    <col min="16132" max="16138" width="6.875" style="2156" customWidth="1"/>
    <col min="16139" max="16139" width="7.25" style="2156" customWidth="1"/>
    <col min="16140" max="16145" width="7.125" style="2156" customWidth="1"/>
    <col min="16146" max="16384" width="9" style="2156"/>
  </cols>
  <sheetData>
    <row r="1" spans="1:17" s="2153" customFormat="1" ht="25.35" customHeight="1">
      <c r="A1" s="3895" t="s">
        <v>3297</v>
      </c>
      <c r="B1" s="3895"/>
      <c r="C1" s="3895"/>
      <c r="D1" s="3895"/>
      <c r="E1" s="3895"/>
      <c r="F1" s="3895"/>
      <c r="G1" s="3895"/>
      <c r="H1" s="3895"/>
      <c r="I1" s="3895"/>
      <c r="J1" s="3895"/>
      <c r="K1" s="3895"/>
      <c r="L1" s="3895"/>
      <c r="M1" s="3895"/>
      <c r="N1" s="3895"/>
      <c r="O1" s="3896"/>
      <c r="P1" s="3896"/>
      <c r="Q1" s="3896"/>
    </row>
    <row r="2" spans="1:17" ht="36.6" customHeight="1">
      <c r="A2" s="3903"/>
      <c r="B2" s="3903"/>
      <c r="C2" s="3905" t="s">
        <v>3198</v>
      </c>
      <c r="D2" s="3905"/>
      <c r="E2" s="3906"/>
      <c r="F2" s="3907" t="s">
        <v>3218</v>
      </c>
      <c r="G2" s="3905"/>
      <c r="H2" s="3906"/>
      <c r="I2" s="3907" t="s">
        <v>3200</v>
      </c>
      <c r="J2" s="3905"/>
      <c r="K2" s="3906"/>
      <c r="L2" s="3907" t="s">
        <v>3201</v>
      </c>
      <c r="M2" s="3905"/>
      <c r="N2" s="3906"/>
      <c r="O2" s="3907" t="s">
        <v>3202</v>
      </c>
      <c r="P2" s="3905"/>
      <c r="Q2" s="3905"/>
    </row>
    <row r="3" spans="1:17" ht="37.35" customHeight="1">
      <c r="A3" s="3904"/>
      <c r="B3" s="3904"/>
      <c r="C3" s="2175" t="s">
        <v>3219</v>
      </c>
      <c r="D3" s="2176" t="s">
        <v>3236</v>
      </c>
      <c r="E3" s="2176" t="s">
        <v>3255</v>
      </c>
      <c r="F3" s="2176" t="s">
        <v>3219</v>
      </c>
      <c r="G3" s="2176" t="s">
        <v>3220</v>
      </c>
      <c r="H3" s="2176" t="s">
        <v>3221</v>
      </c>
      <c r="I3" s="2176" t="s">
        <v>3219</v>
      </c>
      <c r="J3" s="2176" t="s">
        <v>3220</v>
      </c>
      <c r="K3" s="2176" t="s">
        <v>3221</v>
      </c>
      <c r="L3" s="2155" t="s">
        <v>3237</v>
      </c>
      <c r="M3" s="2155" t="s">
        <v>3220</v>
      </c>
      <c r="N3" s="2155" t="s">
        <v>3221</v>
      </c>
      <c r="O3" s="2155" t="s">
        <v>3298</v>
      </c>
      <c r="P3" s="2155" t="s">
        <v>3236</v>
      </c>
      <c r="Q3" s="2155" t="s">
        <v>3221</v>
      </c>
    </row>
    <row r="4" spans="1:17" ht="44.45" customHeight="1">
      <c r="A4" s="3899" t="s">
        <v>3299</v>
      </c>
      <c r="B4" s="2157" t="s">
        <v>3300</v>
      </c>
      <c r="C4" s="2188">
        <f t="shared" ref="C4:Q5" si="0">SUM(C6,C8,C10)</f>
        <v>809</v>
      </c>
      <c r="D4" s="2188">
        <f t="shared" si="0"/>
        <v>692</v>
      </c>
      <c r="E4" s="2188">
        <f t="shared" si="0"/>
        <v>117</v>
      </c>
      <c r="F4" s="2188">
        <f t="shared" si="0"/>
        <v>788</v>
      </c>
      <c r="G4" s="2188">
        <f t="shared" si="0"/>
        <v>699</v>
      </c>
      <c r="H4" s="2188">
        <f t="shared" si="0"/>
        <v>89</v>
      </c>
      <c r="I4" s="2188">
        <f t="shared" si="0"/>
        <v>778</v>
      </c>
      <c r="J4" s="2188">
        <f t="shared" si="0"/>
        <v>680</v>
      </c>
      <c r="K4" s="2188">
        <f t="shared" si="0"/>
        <v>98</v>
      </c>
      <c r="L4" s="2188">
        <f t="shared" si="0"/>
        <v>739</v>
      </c>
      <c r="M4" s="2188">
        <f t="shared" si="0"/>
        <v>619</v>
      </c>
      <c r="N4" s="2188">
        <f t="shared" si="0"/>
        <v>120</v>
      </c>
      <c r="O4" s="2188">
        <f t="shared" si="0"/>
        <v>589</v>
      </c>
      <c r="P4" s="2188">
        <f t="shared" si="0"/>
        <v>505</v>
      </c>
      <c r="Q4" s="2193">
        <f t="shared" si="0"/>
        <v>84</v>
      </c>
    </row>
    <row r="5" spans="1:17" ht="44.45" customHeight="1">
      <c r="A5" s="3899"/>
      <c r="B5" s="2160" t="s">
        <v>3301</v>
      </c>
      <c r="C5" s="2191">
        <f t="shared" si="0"/>
        <v>100</v>
      </c>
      <c r="D5" s="2191">
        <f t="shared" si="0"/>
        <v>100</v>
      </c>
      <c r="E5" s="2191">
        <f t="shared" si="0"/>
        <v>100</v>
      </c>
      <c r="F5" s="2191">
        <f t="shared" si="0"/>
        <v>100</v>
      </c>
      <c r="G5" s="2191">
        <f t="shared" si="0"/>
        <v>100</v>
      </c>
      <c r="H5" s="2191">
        <f t="shared" si="0"/>
        <v>100</v>
      </c>
      <c r="I5" s="2191">
        <f t="shared" si="0"/>
        <v>100</v>
      </c>
      <c r="J5" s="2191">
        <f t="shared" si="0"/>
        <v>99.999999999999986</v>
      </c>
      <c r="K5" s="2191">
        <f t="shared" si="0"/>
        <v>100</v>
      </c>
      <c r="L5" s="2191">
        <f t="shared" si="0"/>
        <v>100</v>
      </c>
      <c r="M5" s="2191">
        <f t="shared" si="0"/>
        <v>100</v>
      </c>
      <c r="N5" s="2191">
        <f t="shared" si="0"/>
        <v>100</v>
      </c>
      <c r="O5" s="2191">
        <f t="shared" si="0"/>
        <v>100</v>
      </c>
      <c r="P5" s="2191">
        <f t="shared" si="0"/>
        <v>100.00000000000001</v>
      </c>
      <c r="Q5" s="2191">
        <f t="shared" si="0"/>
        <v>100</v>
      </c>
    </row>
    <row r="6" spans="1:17" ht="44.45" customHeight="1">
      <c r="A6" s="3915" t="s">
        <v>3302</v>
      </c>
      <c r="B6" s="2157" t="s">
        <v>3300</v>
      </c>
      <c r="C6" s="2188">
        <v>245</v>
      </c>
      <c r="D6" s="2188">
        <v>245</v>
      </c>
      <c r="E6" s="2193" t="s">
        <v>1</v>
      </c>
      <c r="F6" s="2188">
        <v>289</v>
      </c>
      <c r="G6" s="2188">
        <v>289</v>
      </c>
      <c r="H6" s="2193" t="s">
        <v>1</v>
      </c>
      <c r="I6" s="2188">
        <v>309</v>
      </c>
      <c r="J6" s="2188">
        <v>309</v>
      </c>
      <c r="K6" s="2193" t="s">
        <v>1</v>
      </c>
      <c r="L6" s="2188">
        <v>261</v>
      </c>
      <c r="M6" s="2188">
        <v>261</v>
      </c>
      <c r="N6" s="2193" t="s">
        <v>1</v>
      </c>
      <c r="O6" s="2188">
        <v>236</v>
      </c>
      <c r="P6" s="2188">
        <v>236</v>
      </c>
      <c r="Q6" s="2193" t="s">
        <v>1</v>
      </c>
    </row>
    <row r="7" spans="1:17" ht="44.45" customHeight="1">
      <c r="A7" s="3916"/>
      <c r="B7" s="2160" t="s">
        <v>3301</v>
      </c>
      <c r="C7" s="2190">
        <f>C6/C4*100</f>
        <v>30.284301606922128</v>
      </c>
      <c r="D7" s="2190">
        <f>D6/D4*100</f>
        <v>35.404624277456648</v>
      </c>
      <c r="E7" s="2190" t="s">
        <v>3225</v>
      </c>
      <c r="F7" s="2190">
        <f>F6/F4*100</f>
        <v>36.675126903553299</v>
      </c>
      <c r="G7" s="2190">
        <f>G6/G4*100</f>
        <v>41.344778254649498</v>
      </c>
      <c r="H7" s="2190" t="s">
        <v>3249</v>
      </c>
      <c r="I7" s="2190">
        <f>I6/I4*100</f>
        <v>39.717223650385606</v>
      </c>
      <c r="J7" s="2190">
        <f>J6/J4*100</f>
        <v>45.441176470588232</v>
      </c>
      <c r="K7" s="2190" t="s">
        <v>3225</v>
      </c>
      <c r="L7" s="2190">
        <f>L6/L4*100</f>
        <v>35.317997293640055</v>
      </c>
      <c r="M7" s="2190">
        <f>M6/M4*100</f>
        <v>42.164781906300483</v>
      </c>
      <c r="N7" s="2190">
        <f>-N15</f>
        <v>0</v>
      </c>
      <c r="O7" s="2190">
        <f>O6/O4*100</f>
        <v>40.067911714770801</v>
      </c>
      <c r="P7" s="2190">
        <f>P6/P4*100</f>
        <v>46.732673267326739</v>
      </c>
      <c r="Q7" s="2191" t="s">
        <v>3225</v>
      </c>
    </row>
    <row r="8" spans="1:17" ht="44.45" customHeight="1">
      <c r="A8" s="3915" t="s">
        <v>3303</v>
      </c>
      <c r="B8" s="2157" t="s">
        <v>3300</v>
      </c>
      <c r="C8" s="2188">
        <v>383</v>
      </c>
      <c r="D8" s="2188">
        <v>266</v>
      </c>
      <c r="E8" s="2193">
        <v>117</v>
      </c>
      <c r="F8" s="2188">
        <v>349</v>
      </c>
      <c r="G8" s="2188">
        <v>260</v>
      </c>
      <c r="H8" s="2193">
        <v>89</v>
      </c>
      <c r="I8" s="2188">
        <v>325</v>
      </c>
      <c r="J8" s="2188">
        <v>227</v>
      </c>
      <c r="K8" s="2193">
        <v>98</v>
      </c>
      <c r="L8" s="2188">
        <v>328</v>
      </c>
      <c r="M8" s="2188">
        <v>208</v>
      </c>
      <c r="N8" s="2193">
        <v>120</v>
      </c>
      <c r="O8" s="2188">
        <v>222</v>
      </c>
      <c r="P8" s="2188">
        <v>138</v>
      </c>
      <c r="Q8" s="2193">
        <v>84</v>
      </c>
    </row>
    <row r="9" spans="1:17" ht="44.45" customHeight="1">
      <c r="A9" s="3916"/>
      <c r="B9" s="2160" t="s">
        <v>3301</v>
      </c>
      <c r="C9" s="2190">
        <f t="shared" ref="C9:Q9" si="1">C8/C4*100</f>
        <v>47.342398022249697</v>
      </c>
      <c r="D9" s="2190">
        <f t="shared" si="1"/>
        <v>38.439306358381501</v>
      </c>
      <c r="E9" s="2190">
        <f t="shared" si="1"/>
        <v>100</v>
      </c>
      <c r="F9" s="2190">
        <f t="shared" si="1"/>
        <v>44.289340101522846</v>
      </c>
      <c r="G9" s="2190">
        <f t="shared" si="1"/>
        <v>37.195994277539342</v>
      </c>
      <c r="H9" s="2190">
        <f t="shared" si="1"/>
        <v>100</v>
      </c>
      <c r="I9" s="2190">
        <f t="shared" si="1"/>
        <v>41.773778920308487</v>
      </c>
      <c r="J9" s="2190">
        <f t="shared" si="1"/>
        <v>33.382352941176471</v>
      </c>
      <c r="K9" s="2190">
        <f t="shared" si="1"/>
        <v>100</v>
      </c>
      <c r="L9" s="2190">
        <f t="shared" si="1"/>
        <v>44.384303112313937</v>
      </c>
      <c r="M9" s="2190">
        <f t="shared" si="1"/>
        <v>33.602584814216478</v>
      </c>
      <c r="N9" s="2190">
        <f t="shared" si="1"/>
        <v>100</v>
      </c>
      <c r="O9" s="2190">
        <f t="shared" si="1"/>
        <v>37.691001697792871</v>
      </c>
      <c r="P9" s="2190">
        <f t="shared" si="1"/>
        <v>27.32673267326733</v>
      </c>
      <c r="Q9" s="2191">
        <f t="shared" si="1"/>
        <v>100</v>
      </c>
    </row>
    <row r="10" spans="1:17" ht="44.45" customHeight="1">
      <c r="A10" s="3915" t="s">
        <v>3304</v>
      </c>
      <c r="B10" s="2157" t="s">
        <v>3300</v>
      </c>
      <c r="C10" s="2188">
        <v>181</v>
      </c>
      <c r="D10" s="2188">
        <v>181</v>
      </c>
      <c r="E10" s="2193" t="s">
        <v>1</v>
      </c>
      <c r="F10" s="2188">
        <v>150</v>
      </c>
      <c r="G10" s="2188">
        <v>150</v>
      </c>
      <c r="H10" s="2193" t="s">
        <v>1</v>
      </c>
      <c r="I10" s="2188">
        <v>144</v>
      </c>
      <c r="J10" s="2188">
        <v>144</v>
      </c>
      <c r="K10" s="2193" t="s">
        <v>1</v>
      </c>
      <c r="L10" s="2188">
        <v>150</v>
      </c>
      <c r="M10" s="2188">
        <v>150</v>
      </c>
      <c r="N10" s="2193" t="s">
        <v>1</v>
      </c>
      <c r="O10" s="2188">
        <v>131</v>
      </c>
      <c r="P10" s="2188">
        <v>131</v>
      </c>
      <c r="Q10" s="2193" t="s">
        <v>1</v>
      </c>
    </row>
    <row r="11" spans="1:17" ht="44.45" customHeight="1">
      <c r="A11" s="3917"/>
      <c r="B11" s="2165" t="s">
        <v>3301</v>
      </c>
      <c r="C11" s="2194">
        <f>C10/C4*100</f>
        <v>22.373300370828183</v>
      </c>
      <c r="D11" s="2194">
        <f>D10/D4*100</f>
        <v>26.156069364161848</v>
      </c>
      <c r="E11" s="2194" t="s">
        <v>3225</v>
      </c>
      <c r="F11" s="2194">
        <f>F10/F4*100</f>
        <v>19.035532994923855</v>
      </c>
      <c r="G11" s="2194">
        <f>G10/G4*100</f>
        <v>21.459227467811161</v>
      </c>
      <c r="H11" s="2194" t="s">
        <v>3225</v>
      </c>
      <c r="I11" s="2194">
        <f>I10/I4*100</f>
        <v>18.508997429305911</v>
      </c>
      <c r="J11" s="2194">
        <f>J10/J4*100</f>
        <v>21.176470588235293</v>
      </c>
      <c r="K11" s="2194" t="s">
        <v>3225</v>
      </c>
      <c r="L11" s="2194">
        <f>L10/L4*100</f>
        <v>20.297699594046009</v>
      </c>
      <c r="M11" s="2194">
        <f>M10/M4*100</f>
        <v>24.232633279483036</v>
      </c>
      <c r="N11" s="2194" t="s">
        <v>3249</v>
      </c>
      <c r="O11" s="2194">
        <f>O10/O4*100</f>
        <v>22.241086587436332</v>
      </c>
      <c r="P11" s="2194">
        <f>P10/P4*100</f>
        <v>25.940594059405942</v>
      </c>
      <c r="Q11" s="2195" t="s">
        <v>3305</v>
      </c>
    </row>
    <row r="12" spans="1:17" s="2170" customFormat="1" ht="14.25">
      <c r="A12" s="3918" t="s">
        <v>997</v>
      </c>
      <c r="B12" s="3918"/>
      <c r="C12" s="3918"/>
      <c r="D12" s="3918"/>
      <c r="E12" s="3918"/>
      <c r="F12" s="3918"/>
      <c r="G12" s="3918"/>
      <c r="H12" s="3918"/>
      <c r="I12" s="3918"/>
      <c r="J12" s="3918"/>
      <c r="K12" s="3918"/>
    </row>
    <row r="13" spans="1:17" s="2170" customFormat="1" ht="14.25">
      <c r="A13" s="2170" t="s">
        <v>3306</v>
      </c>
    </row>
    <row r="15" spans="1:17">
      <c r="L15" s="2203"/>
      <c r="O15" s="2203"/>
    </row>
    <row r="16" spans="1:17">
      <c r="L16" s="2203"/>
      <c r="O16" s="2203"/>
    </row>
  </sheetData>
  <mergeCells count="12">
    <mergeCell ref="A4:A5"/>
    <mergeCell ref="A6:A7"/>
    <mergeCell ref="A8:A9"/>
    <mergeCell ref="A10:A11"/>
    <mergeCell ref="A12:K12"/>
    <mergeCell ref="A1:Q1"/>
    <mergeCell ref="A2:B3"/>
    <mergeCell ref="C2:E2"/>
    <mergeCell ref="F2:H2"/>
    <mergeCell ref="I2:K2"/>
    <mergeCell ref="L2:N2"/>
    <mergeCell ref="O2:Q2"/>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53"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Q24"/>
  <sheetViews>
    <sheetView showGridLines="0" workbookViewId="0">
      <selection activeCell="B18" sqref="B18:D18"/>
    </sheetView>
  </sheetViews>
  <sheetFormatPr defaultRowHeight="15.75"/>
  <cols>
    <col min="1" max="1" width="21.25" style="2156" customWidth="1"/>
    <col min="2" max="2" width="6.375" style="2156" customWidth="1"/>
    <col min="3" max="17" width="8.625" style="2156" customWidth="1"/>
    <col min="18" max="256" width="9" style="2156"/>
    <col min="257" max="257" width="21.25" style="2156" customWidth="1"/>
    <col min="258" max="258" width="6.375" style="2156" customWidth="1"/>
    <col min="259" max="273" width="7.375" style="2156" customWidth="1"/>
    <col min="274" max="512" width="9" style="2156"/>
    <col min="513" max="513" width="21.25" style="2156" customWidth="1"/>
    <col min="514" max="514" width="6.375" style="2156" customWidth="1"/>
    <col min="515" max="529" width="7.375" style="2156" customWidth="1"/>
    <col min="530" max="768" width="9" style="2156"/>
    <col min="769" max="769" width="21.25" style="2156" customWidth="1"/>
    <col min="770" max="770" width="6.375" style="2156" customWidth="1"/>
    <col min="771" max="785" width="7.375" style="2156" customWidth="1"/>
    <col min="786" max="1024" width="9" style="2156"/>
    <col min="1025" max="1025" width="21.25" style="2156" customWidth="1"/>
    <col min="1026" max="1026" width="6.375" style="2156" customWidth="1"/>
    <col min="1027" max="1041" width="7.375" style="2156" customWidth="1"/>
    <col min="1042" max="1280" width="9" style="2156"/>
    <col min="1281" max="1281" width="21.25" style="2156" customWidth="1"/>
    <col min="1282" max="1282" width="6.375" style="2156" customWidth="1"/>
    <col min="1283" max="1297" width="7.375" style="2156" customWidth="1"/>
    <col min="1298" max="1536" width="9" style="2156"/>
    <col min="1537" max="1537" width="21.25" style="2156" customWidth="1"/>
    <col min="1538" max="1538" width="6.375" style="2156" customWidth="1"/>
    <col min="1539" max="1553" width="7.375" style="2156" customWidth="1"/>
    <col min="1554" max="1792" width="9" style="2156"/>
    <col min="1793" max="1793" width="21.25" style="2156" customWidth="1"/>
    <col min="1794" max="1794" width="6.375" style="2156" customWidth="1"/>
    <col min="1795" max="1809" width="7.375" style="2156" customWidth="1"/>
    <col min="1810" max="2048" width="9" style="2156"/>
    <col min="2049" max="2049" width="21.25" style="2156" customWidth="1"/>
    <col min="2050" max="2050" width="6.375" style="2156" customWidth="1"/>
    <col min="2051" max="2065" width="7.375" style="2156" customWidth="1"/>
    <col min="2066" max="2304" width="9" style="2156"/>
    <col min="2305" max="2305" width="21.25" style="2156" customWidth="1"/>
    <col min="2306" max="2306" width="6.375" style="2156" customWidth="1"/>
    <col min="2307" max="2321" width="7.375" style="2156" customWidth="1"/>
    <col min="2322" max="2560" width="9" style="2156"/>
    <col min="2561" max="2561" width="21.25" style="2156" customWidth="1"/>
    <col min="2562" max="2562" width="6.375" style="2156" customWidth="1"/>
    <col min="2563" max="2577" width="7.375" style="2156" customWidth="1"/>
    <col min="2578" max="2816" width="9" style="2156"/>
    <col min="2817" max="2817" width="21.25" style="2156" customWidth="1"/>
    <col min="2818" max="2818" width="6.375" style="2156" customWidth="1"/>
    <col min="2819" max="2833" width="7.375" style="2156" customWidth="1"/>
    <col min="2834" max="3072" width="9" style="2156"/>
    <col min="3073" max="3073" width="21.25" style="2156" customWidth="1"/>
    <col min="3074" max="3074" width="6.375" style="2156" customWidth="1"/>
    <col min="3075" max="3089" width="7.375" style="2156" customWidth="1"/>
    <col min="3090" max="3328" width="9" style="2156"/>
    <col min="3329" max="3329" width="21.25" style="2156" customWidth="1"/>
    <col min="3330" max="3330" width="6.375" style="2156" customWidth="1"/>
    <col min="3331" max="3345" width="7.375" style="2156" customWidth="1"/>
    <col min="3346" max="3584" width="9" style="2156"/>
    <col min="3585" max="3585" width="21.25" style="2156" customWidth="1"/>
    <col min="3586" max="3586" width="6.375" style="2156" customWidth="1"/>
    <col min="3587" max="3601" width="7.375" style="2156" customWidth="1"/>
    <col min="3602" max="3840" width="9" style="2156"/>
    <col min="3841" max="3841" width="21.25" style="2156" customWidth="1"/>
    <col min="3842" max="3842" width="6.375" style="2156" customWidth="1"/>
    <col min="3843" max="3857" width="7.375" style="2156" customWidth="1"/>
    <col min="3858" max="4096" width="9" style="2156"/>
    <col min="4097" max="4097" width="21.25" style="2156" customWidth="1"/>
    <col min="4098" max="4098" width="6.375" style="2156" customWidth="1"/>
    <col min="4099" max="4113" width="7.375" style="2156" customWidth="1"/>
    <col min="4114" max="4352" width="9" style="2156"/>
    <col min="4353" max="4353" width="21.25" style="2156" customWidth="1"/>
    <col min="4354" max="4354" width="6.375" style="2156" customWidth="1"/>
    <col min="4355" max="4369" width="7.375" style="2156" customWidth="1"/>
    <col min="4370" max="4608" width="9" style="2156"/>
    <col min="4609" max="4609" width="21.25" style="2156" customWidth="1"/>
    <col min="4610" max="4610" width="6.375" style="2156" customWidth="1"/>
    <col min="4611" max="4625" width="7.375" style="2156" customWidth="1"/>
    <col min="4626" max="4864" width="9" style="2156"/>
    <col min="4865" max="4865" width="21.25" style="2156" customWidth="1"/>
    <col min="4866" max="4866" width="6.375" style="2156" customWidth="1"/>
    <col min="4867" max="4881" width="7.375" style="2156" customWidth="1"/>
    <col min="4882" max="5120" width="9" style="2156"/>
    <col min="5121" max="5121" width="21.25" style="2156" customWidth="1"/>
    <col min="5122" max="5122" width="6.375" style="2156" customWidth="1"/>
    <col min="5123" max="5137" width="7.375" style="2156" customWidth="1"/>
    <col min="5138" max="5376" width="9" style="2156"/>
    <col min="5377" max="5377" width="21.25" style="2156" customWidth="1"/>
    <col min="5378" max="5378" width="6.375" style="2156" customWidth="1"/>
    <col min="5379" max="5393" width="7.375" style="2156" customWidth="1"/>
    <col min="5394" max="5632" width="9" style="2156"/>
    <col min="5633" max="5633" width="21.25" style="2156" customWidth="1"/>
    <col min="5634" max="5634" width="6.375" style="2156" customWidth="1"/>
    <col min="5635" max="5649" width="7.375" style="2156" customWidth="1"/>
    <col min="5650" max="5888" width="9" style="2156"/>
    <col min="5889" max="5889" width="21.25" style="2156" customWidth="1"/>
    <col min="5890" max="5890" width="6.375" style="2156" customWidth="1"/>
    <col min="5891" max="5905" width="7.375" style="2156" customWidth="1"/>
    <col min="5906" max="6144" width="9" style="2156"/>
    <col min="6145" max="6145" width="21.25" style="2156" customWidth="1"/>
    <col min="6146" max="6146" width="6.375" style="2156" customWidth="1"/>
    <col min="6147" max="6161" width="7.375" style="2156" customWidth="1"/>
    <col min="6162" max="6400" width="9" style="2156"/>
    <col min="6401" max="6401" width="21.25" style="2156" customWidth="1"/>
    <col min="6402" max="6402" width="6.375" style="2156" customWidth="1"/>
    <col min="6403" max="6417" width="7.375" style="2156" customWidth="1"/>
    <col min="6418" max="6656" width="9" style="2156"/>
    <col min="6657" max="6657" width="21.25" style="2156" customWidth="1"/>
    <col min="6658" max="6658" width="6.375" style="2156" customWidth="1"/>
    <col min="6659" max="6673" width="7.375" style="2156" customWidth="1"/>
    <col min="6674" max="6912" width="9" style="2156"/>
    <col min="6913" max="6913" width="21.25" style="2156" customWidth="1"/>
    <col min="6914" max="6914" width="6.375" style="2156" customWidth="1"/>
    <col min="6915" max="6929" width="7.375" style="2156" customWidth="1"/>
    <col min="6930" max="7168" width="9" style="2156"/>
    <col min="7169" max="7169" width="21.25" style="2156" customWidth="1"/>
    <col min="7170" max="7170" width="6.375" style="2156" customWidth="1"/>
    <col min="7171" max="7185" width="7.375" style="2156" customWidth="1"/>
    <col min="7186" max="7424" width="9" style="2156"/>
    <col min="7425" max="7425" width="21.25" style="2156" customWidth="1"/>
    <col min="7426" max="7426" width="6.375" style="2156" customWidth="1"/>
    <col min="7427" max="7441" width="7.375" style="2156" customWidth="1"/>
    <col min="7442" max="7680" width="9" style="2156"/>
    <col min="7681" max="7681" width="21.25" style="2156" customWidth="1"/>
    <col min="7682" max="7682" width="6.375" style="2156" customWidth="1"/>
    <col min="7683" max="7697" width="7.375" style="2156" customWidth="1"/>
    <col min="7698" max="7936" width="9" style="2156"/>
    <col min="7937" max="7937" width="21.25" style="2156" customWidth="1"/>
    <col min="7938" max="7938" width="6.375" style="2156" customWidth="1"/>
    <col min="7939" max="7953" width="7.375" style="2156" customWidth="1"/>
    <col min="7954" max="8192" width="9" style="2156"/>
    <col min="8193" max="8193" width="21.25" style="2156" customWidth="1"/>
    <col min="8194" max="8194" width="6.375" style="2156" customWidth="1"/>
    <col min="8195" max="8209" width="7.375" style="2156" customWidth="1"/>
    <col min="8210" max="8448" width="9" style="2156"/>
    <col min="8449" max="8449" width="21.25" style="2156" customWidth="1"/>
    <col min="8450" max="8450" width="6.375" style="2156" customWidth="1"/>
    <col min="8451" max="8465" width="7.375" style="2156" customWidth="1"/>
    <col min="8466" max="8704" width="9" style="2156"/>
    <col min="8705" max="8705" width="21.25" style="2156" customWidth="1"/>
    <col min="8706" max="8706" width="6.375" style="2156" customWidth="1"/>
    <col min="8707" max="8721" width="7.375" style="2156" customWidth="1"/>
    <col min="8722" max="8960" width="9" style="2156"/>
    <col min="8961" max="8961" width="21.25" style="2156" customWidth="1"/>
    <col min="8962" max="8962" width="6.375" style="2156" customWidth="1"/>
    <col min="8963" max="8977" width="7.375" style="2156" customWidth="1"/>
    <col min="8978" max="9216" width="9" style="2156"/>
    <col min="9217" max="9217" width="21.25" style="2156" customWidth="1"/>
    <col min="9218" max="9218" width="6.375" style="2156" customWidth="1"/>
    <col min="9219" max="9233" width="7.375" style="2156" customWidth="1"/>
    <col min="9234" max="9472" width="9" style="2156"/>
    <col min="9473" max="9473" width="21.25" style="2156" customWidth="1"/>
    <col min="9474" max="9474" width="6.375" style="2156" customWidth="1"/>
    <col min="9475" max="9489" width="7.375" style="2156" customWidth="1"/>
    <col min="9490" max="9728" width="9" style="2156"/>
    <col min="9729" max="9729" width="21.25" style="2156" customWidth="1"/>
    <col min="9730" max="9730" width="6.375" style="2156" customWidth="1"/>
    <col min="9731" max="9745" width="7.375" style="2156" customWidth="1"/>
    <col min="9746" max="9984" width="9" style="2156"/>
    <col min="9985" max="9985" width="21.25" style="2156" customWidth="1"/>
    <col min="9986" max="9986" width="6.375" style="2156" customWidth="1"/>
    <col min="9987" max="10001" width="7.375" style="2156" customWidth="1"/>
    <col min="10002" max="10240" width="9" style="2156"/>
    <col min="10241" max="10241" width="21.25" style="2156" customWidth="1"/>
    <col min="10242" max="10242" width="6.375" style="2156" customWidth="1"/>
    <col min="10243" max="10257" width="7.375" style="2156" customWidth="1"/>
    <col min="10258" max="10496" width="9" style="2156"/>
    <col min="10497" max="10497" width="21.25" style="2156" customWidth="1"/>
    <col min="10498" max="10498" width="6.375" style="2156" customWidth="1"/>
    <col min="10499" max="10513" width="7.375" style="2156" customWidth="1"/>
    <col min="10514" max="10752" width="9" style="2156"/>
    <col min="10753" max="10753" width="21.25" style="2156" customWidth="1"/>
    <col min="10754" max="10754" width="6.375" style="2156" customWidth="1"/>
    <col min="10755" max="10769" width="7.375" style="2156" customWidth="1"/>
    <col min="10770" max="11008" width="9" style="2156"/>
    <col min="11009" max="11009" width="21.25" style="2156" customWidth="1"/>
    <col min="11010" max="11010" width="6.375" style="2156" customWidth="1"/>
    <col min="11011" max="11025" width="7.375" style="2156" customWidth="1"/>
    <col min="11026" max="11264" width="9" style="2156"/>
    <col min="11265" max="11265" width="21.25" style="2156" customWidth="1"/>
    <col min="11266" max="11266" width="6.375" style="2156" customWidth="1"/>
    <col min="11267" max="11281" width="7.375" style="2156" customWidth="1"/>
    <col min="11282" max="11520" width="9" style="2156"/>
    <col min="11521" max="11521" width="21.25" style="2156" customWidth="1"/>
    <col min="11522" max="11522" width="6.375" style="2156" customWidth="1"/>
    <col min="11523" max="11537" width="7.375" style="2156" customWidth="1"/>
    <col min="11538" max="11776" width="9" style="2156"/>
    <col min="11777" max="11777" width="21.25" style="2156" customWidth="1"/>
    <col min="11778" max="11778" width="6.375" style="2156" customWidth="1"/>
    <col min="11779" max="11793" width="7.375" style="2156" customWidth="1"/>
    <col min="11794" max="12032" width="9" style="2156"/>
    <col min="12033" max="12033" width="21.25" style="2156" customWidth="1"/>
    <col min="12034" max="12034" width="6.375" style="2156" customWidth="1"/>
    <col min="12035" max="12049" width="7.375" style="2156" customWidth="1"/>
    <col min="12050" max="12288" width="9" style="2156"/>
    <col min="12289" max="12289" width="21.25" style="2156" customWidth="1"/>
    <col min="12290" max="12290" width="6.375" style="2156" customWidth="1"/>
    <col min="12291" max="12305" width="7.375" style="2156" customWidth="1"/>
    <col min="12306" max="12544" width="9" style="2156"/>
    <col min="12545" max="12545" width="21.25" style="2156" customWidth="1"/>
    <col min="12546" max="12546" width="6.375" style="2156" customWidth="1"/>
    <col min="12547" max="12561" width="7.375" style="2156" customWidth="1"/>
    <col min="12562" max="12800" width="9" style="2156"/>
    <col min="12801" max="12801" width="21.25" style="2156" customWidth="1"/>
    <col min="12802" max="12802" width="6.375" style="2156" customWidth="1"/>
    <col min="12803" max="12817" width="7.375" style="2156" customWidth="1"/>
    <col min="12818" max="13056" width="9" style="2156"/>
    <col min="13057" max="13057" width="21.25" style="2156" customWidth="1"/>
    <col min="13058" max="13058" width="6.375" style="2156" customWidth="1"/>
    <col min="13059" max="13073" width="7.375" style="2156" customWidth="1"/>
    <col min="13074" max="13312" width="9" style="2156"/>
    <col min="13313" max="13313" width="21.25" style="2156" customWidth="1"/>
    <col min="13314" max="13314" width="6.375" style="2156" customWidth="1"/>
    <col min="13315" max="13329" width="7.375" style="2156" customWidth="1"/>
    <col min="13330" max="13568" width="9" style="2156"/>
    <col min="13569" max="13569" width="21.25" style="2156" customWidth="1"/>
    <col min="13570" max="13570" width="6.375" style="2156" customWidth="1"/>
    <col min="13571" max="13585" width="7.375" style="2156" customWidth="1"/>
    <col min="13586" max="13824" width="9" style="2156"/>
    <col min="13825" max="13825" width="21.25" style="2156" customWidth="1"/>
    <col min="13826" max="13826" width="6.375" style="2156" customWidth="1"/>
    <col min="13827" max="13841" width="7.375" style="2156" customWidth="1"/>
    <col min="13842" max="14080" width="9" style="2156"/>
    <col min="14081" max="14081" width="21.25" style="2156" customWidth="1"/>
    <col min="14082" max="14082" width="6.375" style="2156" customWidth="1"/>
    <col min="14083" max="14097" width="7.375" style="2156" customWidth="1"/>
    <col min="14098" max="14336" width="9" style="2156"/>
    <col min="14337" max="14337" width="21.25" style="2156" customWidth="1"/>
    <col min="14338" max="14338" width="6.375" style="2156" customWidth="1"/>
    <col min="14339" max="14353" width="7.375" style="2156" customWidth="1"/>
    <col min="14354" max="14592" width="9" style="2156"/>
    <col min="14593" max="14593" width="21.25" style="2156" customWidth="1"/>
    <col min="14594" max="14594" width="6.375" style="2156" customWidth="1"/>
    <col min="14595" max="14609" width="7.375" style="2156" customWidth="1"/>
    <col min="14610" max="14848" width="9" style="2156"/>
    <col min="14849" max="14849" width="21.25" style="2156" customWidth="1"/>
    <col min="14850" max="14850" width="6.375" style="2156" customWidth="1"/>
    <col min="14851" max="14865" width="7.375" style="2156" customWidth="1"/>
    <col min="14866" max="15104" width="9" style="2156"/>
    <col min="15105" max="15105" width="21.25" style="2156" customWidth="1"/>
    <col min="15106" max="15106" width="6.375" style="2156" customWidth="1"/>
    <col min="15107" max="15121" width="7.375" style="2156" customWidth="1"/>
    <col min="15122" max="15360" width="9" style="2156"/>
    <col min="15361" max="15361" width="21.25" style="2156" customWidth="1"/>
    <col min="15362" max="15362" width="6.375" style="2156" customWidth="1"/>
    <col min="15363" max="15377" width="7.375" style="2156" customWidth="1"/>
    <col min="15378" max="15616" width="9" style="2156"/>
    <col min="15617" max="15617" width="21.25" style="2156" customWidth="1"/>
    <col min="15618" max="15618" width="6.375" style="2156" customWidth="1"/>
    <col min="15619" max="15633" width="7.375" style="2156" customWidth="1"/>
    <col min="15634" max="15872" width="9" style="2156"/>
    <col min="15873" max="15873" width="21.25" style="2156" customWidth="1"/>
    <col min="15874" max="15874" width="6.375" style="2156" customWidth="1"/>
    <col min="15875" max="15889" width="7.375" style="2156" customWidth="1"/>
    <col min="15890" max="16128" width="9" style="2156"/>
    <col min="16129" max="16129" width="21.25" style="2156" customWidth="1"/>
    <col min="16130" max="16130" width="6.375" style="2156" customWidth="1"/>
    <col min="16131" max="16145" width="7.375" style="2156" customWidth="1"/>
    <col min="16146" max="16384" width="9" style="2156"/>
  </cols>
  <sheetData>
    <row r="1" spans="1:17" s="2153" customFormat="1" ht="25.35" customHeight="1">
      <c r="A1" s="3895" t="s">
        <v>3307</v>
      </c>
      <c r="B1" s="3895"/>
      <c r="C1" s="3895"/>
      <c r="D1" s="3895"/>
      <c r="E1" s="3895"/>
      <c r="F1" s="3895"/>
      <c r="G1" s="3895"/>
      <c r="H1" s="3895"/>
      <c r="I1" s="3895"/>
      <c r="J1" s="3895"/>
      <c r="K1" s="3895"/>
      <c r="L1" s="3895"/>
      <c r="M1" s="3895"/>
      <c r="N1" s="3895"/>
      <c r="O1" s="3896"/>
      <c r="P1" s="3896"/>
      <c r="Q1" s="3896"/>
    </row>
    <row r="2" spans="1:17" ht="36.6" customHeight="1">
      <c r="A2" s="3903"/>
      <c r="B2" s="3903"/>
      <c r="C2" s="3905" t="s">
        <v>2362</v>
      </c>
      <c r="D2" s="3905"/>
      <c r="E2" s="3905"/>
      <c r="F2" s="3907" t="s">
        <v>3218</v>
      </c>
      <c r="G2" s="3905"/>
      <c r="H2" s="3905"/>
      <c r="I2" s="3907" t="s">
        <v>3200</v>
      </c>
      <c r="J2" s="3905"/>
      <c r="K2" s="3905"/>
      <c r="L2" s="3907" t="s">
        <v>3201</v>
      </c>
      <c r="M2" s="3905"/>
      <c r="N2" s="3905"/>
      <c r="O2" s="3907" t="s">
        <v>3308</v>
      </c>
      <c r="P2" s="3905"/>
      <c r="Q2" s="3905"/>
    </row>
    <row r="3" spans="1:17" ht="37.35" customHeight="1">
      <c r="A3" s="3904"/>
      <c r="B3" s="3904"/>
      <c r="C3" s="2175" t="s">
        <v>3219</v>
      </c>
      <c r="D3" s="2155" t="s">
        <v>3220</v>
      </c>
      <c r="E3" s="2155" t="s">
        <v>3221</v>
      </c>
      <c r="F3" s="2176" t="s">
        <v>3219</v>
      </c>
      <c r="G3" s="2155" t="s">
        <v>3220</v>
      </c>
      <c r="H3" s="2155" t="s">
        <v>3221</v>
      </c>
      <c r="I3" s="2176" t="s">
        <v>3219</v>
      </c>
      <c r="J3" s="2155" t="s">
        <v>3220</v>
      </c>
      <c r="K3" s="2155" t="s">
        <v>3309</v>
      </c>
      <c r="L3" s="2176" t="s">
        <v>3310</v>
      </c>
      <c r="M3" s="2155" t="s">
        <v>3220</v>
      </c>
      <c r="N3" s="2155" t="s">
        <v>3221</v>
      </c>
      <c r="O3" s="2176" t="s">
        <v>3219</v>
      </c>
      <c r="P3" s="2155" t="s">
        <v>3220</v>
      </c>
      <c r="Q3" s="2155" t="s">
        <v>3221</v>
      </c>
    </row>
    <row r="4" spans="1:17" ht="22.15" customHeight="1">
      <c r="A4" s="3899" t="s">
        <v>3160</v>
      </c>
      <c r="B4" s="2160" t="s">
        <v>3223</v>
      </c>
      <c r="C4" s="2200">
        <f t="shared" ref="C4:Q5" si="0">SUM(C6,C8,C10,C12,C14,C16,C18,C20)</f>
        <v>825</v>
      </c>
      <c r="D4" s="2200">
        <f t="shared" si="0"/>
        <v>724</v>
      </c>
      <c r="E4" s="2200">
        <f t="shared" si="0"/>
        <v>101</v>
      </c>
      <c r="F4" s="2200">
        <f t="shared" si="0"/>
        <v>833</v>
      </c>
      <c r="G4" s="2200">
        <f t="shared" si="0"/>
        <v>709</v>
      </c>
      <c r="H4" s="2200">
        <f t="shared" si="0"/>
        <v>124</v>
      </c>
      <c r="I4" s="2200">
        <f t="shared" si="0"/>
        <v>738</v>
      </c>
      <c r="J4" s="2200">
        <f t="shared" si="0"/>
        <v>636</v>
      </c>
      <c r="K4" s="2200">
        <f t="shared" si="0"/>
        <v>102</v>
      </c>
      <c r="L4" s="2200">
        <f t="shared" si="0"/>
        <v>475</v>
      </c>
      <c r="M4" s="2200">
        <f t="shared" si="0"/>
        <v>420</v>
      </c>
      <c r="N4" s="2200">
        <f t="shared" si="0"/>
        <v>55</v>
      </c>
      <c r="O4" s="2200">
        <f t="shared" si="0"/>
        <v>473</v>
      </c>
      <c r="P4" s="2200">
        <f t="shared" si="0"/>
        <v>402</v>
      </c>
      <c r="Q4" s="2177">
        <f t="shared" si="0"/>
        <v>71</v>
      </c>
    </row>
    <row r="5" spans="1:17" ht="22.15" customHeight="1">
      <c r="A5" s="3899"/>
      <c r="B5" s="2160" t="s">
        <v>0</v>
      </c>
      <c r="C5" s="2178">
        <f t="shared" si="0"/>
        <v>100</v>
      </c>
      <c r="D5" s="2178">
        <f t="shared" si="0"/>
        <v>100</v>
      </c>
      <c r="E5" s="2178">
        <f t="shared" si="0"/>
        <v>100</v>
      </c>
      <c r="F5" s="2178">
        <f t="shared" si="0"/>
        <v>100</v>
      </c>
      <c r="G5" s="2178">
        <f t="shared" si="0"/>
        <v>100</v>
      </c>
      <c r="H5" s="2178">
        <f t="shared" si="0"/>
        <v>100</v>
      </c>
      <c r="I5" s="2178">
        <f t="shared" si="0"/>
        <v>100</v>
      </c>
      <c r="J5" s="2178">
        <f t="shared" si="0"/>
        <v>100</v>
      </c>
      <c r="K5" s="2178">
        <f t="shared" si="0"/>
        <v>100</v>
      </c>
      <c r="L5" s="2178">
        <f t="shared" si="0"/>
        <v>100</v>
      </c>
      <c r="M5" s="2178">
        <f t="shared" si="0"/>
        <v>100</v>
      </c>
      <c r="N5" s="2178">
        <f t="shared" si="0"/>
        <v>100</v>
      </c>
      <c r="O5" s="2178">
        <f t="shared" si="0"/>
        <v>100</v>
      </c>
      <c r="P5" s="2178">
        <f t="shared" si="0"/>
        <v>100</v>
      </c>
      <c r="Q5" s="2179">
        <f t="shared" si="0"/>
        <v>100</v>
      </c>
    </row>
    <row r="6" spans="1:17" ht="22.15" customHeight="1">
      <c r="A6" s="3899" t="s">
        <v>3311</v>
      </c>
      <c r="B6" s="2160" t="s">
        <v>3223</v>
      </c>
      <c r="C6" s="2200" t="s">
        <v>1</v>
      </c>
      <c r="D6" s="2200" t="s">
        <v>1</v>
      </c>
      <c r="E6" s="2200" t="s">
        <v>1</v>
      </c>
      <c r="F6" s="2200" t="s">
        <v>1</v>
      </c>
      <c r="G6" s="2200" t="s">
        <v>1</v>
      </c>
      <c r="H6" s="2200" t="s">
        <v>1</v>
      </c>
      <c r="I6" s="2200" t="s">
        <v>1</v>
      </c>
      <c r="J6" s="2200" t="s">
        <v>1</v>
      </c>
      <c r="K6" s="2200" t="s">
        <v>1</v>
      </c>
      <c r="L6" s="2200" t="s">
        <v>1</v>
      </c>
      <c r="M6" s="2200" t="s">
        <v>1</v>
      </c>
      <c r="N6" s="2200" t="s">
        <v>1</v>
      </c>
      <c r="O6" s="2200" t="s">
        <v>1</v>
      </c>
      <c r="P6" s="2200" t="s">
        <v>1</v>
      </c>
      <c r="Q6" s="2180" t="s">
        <v>1</v>
      </c>
    </row>
    <row r="7" spans="1:17" ht="22.15" customHeight="1">
      <c r="A7" s="3899"/>
      <c r="B7" s="2160" t="s">
        <v>0</v>
      </c>
      <c r="C7" s="2178" t="s">
        <v>1</v>
      </c>
      <c r="D7" s="2178" t="s">
        <v>1</v>
      </c>
      <c r="E7" s="2178" t="s">
        <v>1</v>
      </c>
      <c r="F7" s="2178" t="s">
        <v>1</v>
      </c>
      <c r="G7" s="2178" t="s">
        <v>1</v>
      </c>
      <c r="H7" s="2178" t="s">
        <v>1</v>
      </c>
      <c r="I7" s="2178" t="s">
        <v>1</v>
      </c>
      <c r="J7" s="2178" t="s">
        <v>1</v>
      </c>
      <c r="K7" s="2178" t="s">
        <v>1</v>
      </c>
      <c r="L7" s="2178" t="s">
        <v>1</v>
      </c>
      <c r="M7" s="2178" t="s">
        <v>1</v>
      </c>
      <c r="N7" s="2178" t="s">
        <v>1</v>
      </c>
      <c r="O7" s="2178" t="s">
        <v>1</v>
      </c>
      <c r="P7" s="2178" t="s">
        <v>1</v>
      </c>
      <c r="Q7" s="2179" t="s">
        <v>1</v>
      </c>
    </row>
    <row r="8" spans="1:17" ht="22.15" customHeight="1">
      <c r="A8" s="3899" t="s">
        <v>3226</v>
      </c>
      <c r="B8" s="2160" t="s">
        <v>3223</v>
      </c>
      <c r="C8" s="2200" t="s">
        <v>1</v>
      </c>
      <c r="D8" s="2200" t="s">
        <v>1</v>
      </c>
      <c r="E8" s="2200" t="s">
        <v>1</v>
      </c>
      <c r="F8" s="2200">
        <v>1</v>
      </c>
      <c r="G8" s="2200">
        <v>1</v>
      </c>
      <c r="H8" s="2200" t="s">
        <v>1</v>
      </c>
      <c r="I8" s="2200">
        <v>2</v>
      </c>
      <c r="J8" s="2200">
        <v>2</v>
      </c>
      <c r="K8" s="2200" t="s">
        <v>1</v>
      </c>
      <c r="L8" s="2200" t="s">
        <v>1</v>
      </c>
      <c r="M8" s="2200" t="s">
        <v>1</v>
      </c>
      <c r="N8" s="2200" t="s">
        <v>1</v>
      </c>
      <c r="O8" s="2200" t="s">
        <v>1</v>
      </c>
      <c r="P8" s="2200" t="s">
        <v>1</v>
      </c>
      <c r="Q8" s="2180" t="s">
        <v>1</v>
      </c>
    </row>
    <row r="9" spans="1:17" ht="22.15" customHeight="1">
      <c r="A9" s="3899"/>
      <c r="B9" s="2160" t="s">
        <v>0</v>
      </c>
      <c r="C9" s="2178" t="s">
        <v>1</v>
      </c>
      <c r="D9" s="2178" t="s">
        <v>1</v>
      </c>
      <c r="E9" s="2178" t="s">
        <v>1</v>
      </c>
      <c r="F9" s="2178">
        <v>0.12004801920768307</v>
      </c>
      <c r="G9" s="2178">
        <v>0.14104372355430184</v>
      </c>
      <c r="H9" s="2178" t="s">
        <v>1</v>
      </c>
      <c r="I9" s="2178">
        <v>0.27100271002710025</v>
      </c>
      <c r="J9" s="2178">
        <v>0.31446540880503149</v>
      </c>
      <c r="K9" s="2178" t="s">
        <v>1</v>
      </c>
      <c r="L9" s="2178" t="s">
        <v>1</v>
      </c>
      <c r="M9" s="2178" t="s">
        <v>1</v>
      </c>
      <c r="N9" s="2178" t="s">
        <v>1</v>
      </c>
      <c r="O9" s="2178" t="s">
        <v>1</v>
      </c>
      <c r="P9" s="2178" t="s">
        <v>1</v>
      </c>
      <c r="Q9" s="2179" t="s">
        <v>1</v>
      </c>
    </row>
    <row r="10" spans="1:17" ht="22.15" customHeight="1">
      <c r="A10" s="3899" t="s">
        <v>3312</v>
      </c>
      <c r="B10" s="2160" t="s">
        <v>3223</v>
      </c>
      <c r="C10" s="2200">
        <v>11</v>
      </c>
      <c r="D10" s="2200">
        <v>10</v>
      </c>
      <c r="E10" s="2200">
        <v>1</v>
      </c>
      <c r="F10" s="2200">
        <v>16</v>
      </c>
      <c r="G10" s="2200">
        <v>14</v>
      </c>
      <c r="H10" s="2200">
        <v>2</v>
      </c>
      <c r="I10" s="2200">
        <v>8</v>
      </c>
      <c r="J10" s="2200">
        <v>7</v>
      </c>
      <c r="K10" s="2200">
        <v>1</v>
      </c>
      <c r="L10" s="2200">
        <v>3</v>
      </c>
      <c r="M10" s="2200">
        <v>3</v>
      </c>
      <c r="N10" s="2200" t="s">
        <v>1</v>
      </c>
      <c r="O10" s="2200">
        <v>1</v>
      </c>
      <c r="P10" s="2200">
        <v>1</v>
      </c>
      <c r="Q10" s="2180" t="s">
        <v>1</v>
      </c>
    </row>
    <row r="11" spans="1:17" ht="22.15" customHeight="1">
      <c r="A11" s="3899"/>
      <c r="B11" s="2160" t="s">
        <v>0</v>
      </c>
      <c r="C11" s="2178">
        <v>1.3333333333333335</v>
      </c>
      <c r="D11" s="2178">
        <v>1.3812154696132597</v>
      </c>
      <c r="E11" s="2178">
        <v>0.99009900990099009</v>
      </c>
      <c r="F11" s="2178">
        <v>1.9207683073229291</v>
      </c>
      <c r="G11" s="2178">
        <v>1.9746121297602257</v>
      </c>
      <c r="H11" s="2178">
        <v>1.6129032258064515</v>
      </c>
      <c r="I11" s="2178">
        <v>1.084010840108401</v>
      </c>
      <c r="J11" s="2178">
        <v>1.10062893081761</v>
      </c>
      <c r="K11" s="2178">
        <v>0.98039215686274506</v>
      </c>
      <c r="L11" s="2178">
        <v>0.63157894736842102</v>
      </c>
      <c r="M11" s="2178">
        <v>0.7142857142857143</v>
      </c>
      <c r="N11" s="2178" t="s">
        <v>1</v>
      </c>
      <c r="O11" s="2178">
        <v>0.21141649048625794</v>
      </c>
      <c r="P11" s="2178">
        <v>0.24875621890547264</v>
      </c>
      <c r="Q11" s="2179" t="s">
        <v>1</v>
      </c>
    </row>
    <row r="12" spans="1:17" ht="22.15" customHeight="1">
      <c r="A12" s="3899" t="s">
        <v>3313</v>
      </c>
      <c r="B12" s="2160" t="s">
        <v>3314</v>
      </c>
      <c r="C12" s="2200">
        <v>44</v>
      </c>
      <c r="D12" s="2200">
        <v>34</v>
      </c>
      <c r="E12" s="2200">
        <v>10</v>
      </c>
      <c r="F12" s="2200">
        <v>50</v>
      </c>
      <c r="G12" s="2200">
        <v>39</v>
      </c>
      <c r="H12" s="2200">
        <v>11</v>
      </c>
      <c r="I12" s="2200">
        <v>28</v>
      </c>
      <c r="J12" s="2200">
        <v>22</v>
      </c>
      <c r="K12" s="2200">
        <v>6</v>
      </c>
      <c r="L12" s="2200">
        <v>16</v>
      </c>
      <c r="M12" s="2200">
        <v>15</v>
      </c>
      <c r="N12" s="2200">
        <v>1</v>
      </c>
      <c r="O12" s="2200">
        <v>16</v>
      </c>
      <c r="P12" s="2200">
        <v>14</v>
      </c>
      <c r="Q12" s="2180">
        <v>2</v>
      </c>
    </row>
    <row r="13" spans="1:17" ht="22.15" customHeight="1">
      <c r="A13" s="3899"/>
      <c r="B13" s="2160" t="s">
        <v>0</v>
      </c>
      <c r="C13" s="2178">
        <v>5.3333333333333339</v>
      </c>
      <c r="D13" s="2178">
        <v>4.6961325966850831</v>
      </c>
      <c r="E13" s="2178">
        <v>9.9009900990099009</v>
      </c>
      <c r="F13" s="2178">
        <v>6.0024009603841533</v>
      </c>
      <c r="G13" s="2178">
        <v>5.500705218617771</v>
      </c>
      <c r="H13" s="2178">
        <v>8.870967741935484</v>
      </c>
      <c r="I13" s="2178">
        <v>3.7940379403794036</v>
      </c>
      <c r="J13" s="2178">
        <v>3.459119496855346</v>
      </c>
      <c r="K13" s="2178">
        <v>5.8823529411764701</v>
      </c>
      <c r="L13" s="2178">
        <v>3.3684210526315788</v>
      </c>
      <c r="M13" s="2178">
        <v>3.5714285714285712</v>
      </c>
      <c r="N13" s="2178">
        <v>1.8181818181818181</v>
      </c>
      <c r="O13" s="2178">
        <v>3.382663847780127</v>
      </c>
      <c r="P13" s="2178">
        <v>3.4825870646766171</v>
      </c>
      <c r="Q13" s="2179">
        <v>2.8169014084507045</v>
      </c>
    </row>
    <row r="14" spans="1:17" ht="22.15" customHeight="1">
      <c r="A14" s="3899" t="s">
        <v>3315</v>
      </c>
      <c r="B14" s="2160" t="s">
        <v>3223</v>
      </c>
      <c r="C14" s="2200">
        <v>90</v>
      </c>
      <c r="D14" s="2200">
        <v>78</v>
      </c>
      <c r="E14" s="2200">
        <v>12</v>
      </c>
      <c r="F14" s="2200">
        <v>82</v>
      </c>
      <c r="G14" s="2200">
        <v>66</v>
      </c>
      <c r="H14" s="2200">
        <v>16</v>
      </c>
      <c r="I14" s="2200">
        <v>63</v>
      </c>
      <c r="J14" s="2200">
        <v>45</v>
      </c>
      <c r="K14" s="2200">
        <v>18</v>
      </c>
      <c r="L14" s="2200">
        <v>32</v>
      </c>
      <c r="M14" s="2200">
        <v>25</v>
      </c>
      <c r="N14" s="2200">
        <v>7</v>
      </c>
      <c r="O14" s="2200">
        <v>41</v>
      </c>
      <c r="P14" s="2200">
        <v>28</v>
      </c>
      <c r="Q14" s="2180">
        <v>13</v>
      </c>
    </row>
    <row r="15" spans="1:17" ht="22.15" customHeight="1">
      <c r="A15" s="3899"/>
      <c r="B15" s="2160" t="s">
        <v>0</v>
      </c>
      <c r="C15" s="2178">
        <v>10.909090909090908</v>
      </c>
      <c r="D15" s="2178">
        <v>10.773480662983426</v>
      </c>
      <c r="E15" s="2178">
        <v>11.881188118811881</v>
      </c>
      <c r="F15" s="2178">
        <v>9.8439375750300115</v>
      </c>
      <c r="G15" s="2178">
        <v>9.3088857545839208</v>
      </c>
      <c r="H15" s="2178">
        <v>12.903225806451612</v>
      </c>
      <c r="I15" s="2178">
        <v>8.536585365853659</v>
      </c>
      <c r="J15" s="2178">
        <v>7.0754716981132075</v>
      </c>
      <c r="K15" s="2178">
        <v>17.647058823529413</v>
      </c>
      <c r="L15" s="2178">
        <v>6.7368421052631575</v>
      </c>
      <c r="M15" s="2178">
        <v>5.9523809523809517</v>
      </c>
      <c r="N15" s="2178">
        <v>12.727272727272727</v>
      </c>
      <c r="O15" s="2178">
        <v>8.6680761099365746</v>
      </c>
      <c r="P15" s="2178">
        <v>6.9651741293532341</v>
      </c>
      <c r="Q15" s="2179">
        <v>18.30985915492958</v>
      </c>
    </row>
    <row r="16" spans="1:17" ht="22.15" customHeight="1">
      <c r="A16" s="3899" t="s">
        <v>3316</v>
      </c>
      <c r="B16" s="2160" t="s">
        <v>3223</v>
      </c>
      <c r="C16" s="2200">
        <v>125</v>
      </c>
      <c r="D16" s="2200">
        <v>108</v>
      </c>
      <c r="E16" s="2200">
        <v>17</v>
      </c>
      <c r="F16" s="2200">
        <v>128</v>
      </c>
      <c r="G16" s="2200">
        <v>99</v>
      </c>
      <c r="H16" s="2200">
        <v>29</v>
      </c>
      <c r="I16" s="2200">
        <v>114</v>
      </c>
      <c r="J16" s="2200">
        <v>100</v>
      </c>
      <c r="K16" s="2200">
        <v>14</v>
      </c>
      <c r="L16" s="2200">
        <v>71</v>
      </c>
      <c r="M16" s="2200">
        <v>62</v>
      </c>
      <c r="N16" s="2200">
        <v>9</v>
      </c>
      <c r="O16" s="2200">
        <v>62</v>
      </c>
      <c r="P16" s="2200">
        <v>52</v>
      </c>
      <c r="Q16" s="2180">
        <v>10</v>
      </c>
    </row>
    <row r="17" spans="1:17" ht="22.15" customHeight="1">
      <c r="A17" s="3899"/>
      <c r="B17" s="2160" t="s">
        <v>0</v>
      </c>
      <c r="C17" s="2178">
        <v>15.151515151515152</v>
      </c>
      <c r="D17" s="2178">
        <v>14.917127071823206</v>
      </c>
      <c r="E17" s="2178">
        <v>16.831683168316832</v>
      </c>
      <c r="F17" s="2178">
        <v>15.366146458583433</v>
      </c>
      <c r="G17" s="2178">
        <v>13.963328631875882</v>
      </c>
      <c r="H17" s="2178">
        <v>23.387096774193548</v>
      </c>
      <c r="I17" s="2178">
        <v>15.447154471544716</v>
      </c>
      <c r="J17" s="2178">
        <v>15.723270440251572</v>
      </c>
      <c r="K17" s="2178">
        <v>13.725490196078432</v>
      </c>
      <c r="L17" s="2178">
        <v>14.947368421052632</v>
      </c>
      <c r="M17" s="2178">
        <v>14.761904761904763</v>
      </c>
      <c r="N17" s="2178">
        <v>16.363636363636363</v>
      </c>
      <c r="O17" s="2178">
        <v>13.107822410147993</v>
      </c>
      <c r="P17" s="2178">
        <v>12.935323383084576</v>
      </c>
      <c r="Q17" s="2179">
        <v>14.084507042253522</v>
      </c>
    </row>
    <row r="18" spans="1:17" ht="22.15" customHeight="1">
      <c r="A18" s="3899" t="s">
        <v>3317</v>
      </c>
      <c r="B18" s="2160" t="s">
        <v>3223</v>
      </c>
      <c r="C18" s="2200">
        <v>214</v>
      </c>
      <c r="D18" s="2200">
        <v>196</v>
      </c>
      <c r="E18" s="2200">
        <v>18</v>
      </c>
      <c r="F18" s="2200">
        <v>198</v>
      </c>
      <c r="G18" s="2200">
        <v>174</v>
      </c>
      <c r="H18" s="2200">
        <v>24</v>
      </c>
      <c r="I18" s="2200">
        <v>160</v>
      </c>
      <c r="J18" s="2200">
        <v>141</v>
      </c>
      <c r="K18" s="2200">
        <v>19</v>
      </c>
      <c r="L18" s="2200">
        <v>99</v>
      </c>
      <c r="M18" s="2200">
        <v>87</v>
      </c>
      <c r="N18" s="2200">
        <v>12</v>
      </c>
      <c r="O18" s="2200">
        <v>92</v>
      </c>
      <c r="P18" s="2200">
        <v>78</v>
      </c>
      <c r="Q18" s="2180">
        <v>14</v>
      </c>
    </row>
    <row r="19" spans="1:17" ht="22.15" customHeight="1">
      <c r="A19" s="3899"/>
      <c r="B19" s="2160" t="s">
        <v>0</v>
      </c>
      <c r="C19" s="2178">
        <v>25.939393939393941</v>
      </c>
      <c r="D19" s="2178">
        <v>27.071823204419886</v>
      </c>
      <c r="E19" s="2178">
        <v>17.82178217821782</v>
      </c>
      <c r="F19" s="2178">
        <v>23.769507803121247</v>
      </c>
      <c r="G19" s="2178">
        <v>24.541607898448518</v>
      </c>
      <c r="H19" s="2178">
        <v>19.35483870967742</v>
      </c>
      <c r="I19" s="2178">
        <v>21.680216802168022</v>
      </c>
      <c r="J19" s="2178">
        <v>22.169811320754718</v>
      </c>
      <c r="K19" s="2178">
        <v>18.627450980392158</v>
      </c>
      <c r="L19" s="2178">
        <v>20.842105263157894</v>
      </c>
      <c r="M19" s="2178">
        <v>20.714285714285715</v>
      </c>
      <c r="N19" s="2178">
        <v>21.818181818181817</v>
      </c>
      <c r="O19" s="2178">
        <v>19.450317124735729</v>
      </c>
      <c r="P19" s="2178">
        <v>19.402985074626866</v>
      </c>
      <c r="Q19" s="2179">
        <v>19.718309859154928</v>
      </c>
    </row>
    <row r="20" spans="1:17" ht="22.15" customHeight="1">
      <c r="A20" s="3899" t="s">
        <v>3318</v>
      </c>
      <c r="B20" s="2160" t="s">
        <v>3292</v>
      </c>
      <c r="C20" s="2200">
        <v>341</v>
      </c>
      <c r="D20" s="2200">
        <v>298</v>
      </c>
      <c r="E20" s="2200">
        <v>43</v>
      </c>
      <c r="F20" s="2200">
        <v>358</v>
      </c>
      <c r="G20" s="2200">
        <v>316</v>
      </c>
      <c r="H20" s="2200">
        <v>42</v>
      </c>
      <c r="I20" s="2200">
        <v>363</v>
      </c>
      <c r="J20" s="2200">
        <v>319</v>
      </c>
      <c r="K20" s="2200">
        <v>44</v>
      </c>
      <c r="L20" s="2200">
        <v>254</v>
      </c>
      <c r="M20" s="2200">
        <v>228</v>
      </c>
      <c r="N20" s="2200">
        <v>26</v>
      </c>
      <c r="O20" s="2200">
        <v>261</v>
      </c>
      <c r="P20" s="2200">
        <v>229</v>
      </c>
      <c r="Q20" s="2180">
        <v>32</v>
      </c>
    </row>
    <row r="21" spans="1:17" ht="22.15" customHeight="1">
      <c r="A21" s="3904"/>
      <c r="B21" s="2165" t="s">
        <v>0</v>
      </c>
      <c r="C21" s="2182">
        <v>41.333333333333336</v>
      </c>
      <c r="D21" s="2182">
        <v>41.160220994475139</v>
      </c>
      <c r="E21" s="2182">
        <v>42.574257425742573</v>
      </c>
      <c r="F21" s="2182">
        <v>42.977190876350541</v>
      </c>
      <c r="G21" s="2182">
        <v>44.569816643159378</v>
      </c>
      <c r="H21" s="2182">
        <v>33.87096774193548</v>
      </c>
      <c r="I21" s="2182">
        <v>49.1869918699187</v>
      </c>
      <c r="J21" s="2182">
        <v>50.157232704402524</v>
      </c>
      <c r="K21" s="2182">
        <v>43.137254901960787</v>
      </c>
      <c r="L21" s="2182">
        <v>53.473684210526315</v>
      </c>
      <c r="M21" s="2182">
        <v>54.285714285714285</v>
      </c>
      <c r="N21" s="2182">
        <v>47.272727272727273</v>
      </c>
      <c r="O21" s="2182">
        <v>55.17970401691332</v>
      </c>
      <c r="P21" s="2182">
        <v>56.965174129353237</v>
      </c>
      <c r="Q21" s="2183">
        <v>45.070422535211272</v>
      </c>
    </row>
    <row r="22" spans="1:17" s="2170" customFormat="1" ht="14.25">
      <c r="A22" s="3918" t="s">
        <v>997</v>
      </c>
      <c r="B22" s="3919"/>
      <c r="C22" s="3919"/>
      <c r="D22" s="3919"/>
      <c r="E22" s="3919"/>
      <c r="F22" s="3919"/>
      <c r="G22" s="3919"/>
    </row>
    <row r="23" spans="1:17">
      <c r="C23" s="2202"/>
      <c r="D23" s="2202"/>
      <c r="E23" s="2202"/>
      <c r="F23" s="2202"/>
      <c r="G23" s="2202"/>
      <c r="H23" s="2202"/>
      <c r="I23" s="2202"/>
      <c r="J23" s="2202"/>
      <c r="K23" s="2202"/>
      <c r="L23" s="2202"/>
      <c r="M23" s="2202"/>
      <c r="N23" s="2202"/>
    </row>
    <row r="24" spans="1:17">
      <c r="C24" s="2202"/>
      <c r="D24" s="2202"/>
      <c r="E24" s="2202"/>
      <c r="F24" s="2202"/>
      <c r="G24" s="2202"/>
      <c r="H24" s="2202"/>
      <c r="I24" s="2202"/>
      <c r="J24" s="2202"/>
      <c r="K24" s="2202"/>
      <c r="L24" s="2202"/>
      <c r="M24" s="2202"/>
      <c r="N24" s="2202"/>
    </row>
  </sheetData>
  <mergeCells count="17">
    <mergeCell ref="A16:A17"/>
    <mergeCell ref="A18:A19"/>
    <mergeCell ref="A20:A21"/>
    <mergeCell ref="A22:G22"/>
    <mergeCell ref="A4:A5"/>
    <mergeCell ref="A6:A7"/>
    <mergeCell ref="A8:A9"/>
    <mergeCell ref="A10:A11"/>
    <mergeCell ref="A12:A13"/>
    <mergeCell ref="A14:A15"/>
    <mergeCell ref="A1:Q1"/>
    <mergeCell ref="A2:B3"/>
    <mergeCell ref="C2:E2"/>
    <mergeCell ref="F2:H2"/>
    <mergeCell ref="I2:K2"/>
    <mergeCell ref="L2:N2"/>
    <mergeCell ref="O2:Q2"/>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54"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Q33"/>
  <sheetViews>
    <sheetView showGridLines="0" workbookViewId="0">
      <selection activeCell="B18" sqref="B18:D18"/>
    </sheetView>
  </sheetViews>
  <sheetFormatPr defaultRowHeight="15.75"/>
  <cols>
    <col min="1" max="1" width="14.375" style="2156" customWidth="1"/>
    <col min="2" max="2" width="4.375" style="2156" customWidth="1"/>
    <col min="3" max="17" width="8.375" style="2156" customWidth="1"/>
    <col min="18" max="256" width="9" style="2156"/>
    <col min="257" max="257" width="21.375" style="2156" customWidth="1"/>
    <col min="258" max="258" width="6.375" style="2156" customWidth="1"/>
    <col min="259" max="273" width="7.125" style="2156" customWidth="1"/>
    <col min="274" max="512" width="9" style="2156"/>
    <col min="513" max="513" width="21.375" style="2156" customWidth="1"/>
    <col min="514" max="514" width="6.375" style="2156" customWidth="1"/>
    <col min="515" max="529" width="7.125" style="2156" customWidth="1"/>
    <col min="530" max="768" width="9" style="2156"/>
    <col min="769" max="769" width="21.375" style="2156" customWidth="1"/>
    <col min="770" max="770" width="6.375" style="2156" customWidth="1"/>
    <col min="771" max="785" width="7.125" style="2156" customWidth="1"/>
    <col min="786" max="1024" width="9" style="2156"/>
    <col min="1025" max="1025" width="21.375" style="2156" customWidth="1"/>
    <col min="1026" max="1026" width="6.375" style="2156" customWidth="1"/>
    <col min="1027" max="1041" width="7.125" style="2156" customWidth="1"/>
    <col min="1042" max="1280" width="9" style="2156"/>
    <col min="1281" max="1281" width="21.375" style="2156" customWidth="1"/>
    <col min="1282" max="1282" width="6.375" style="2156" customWidth="1"/>
    <col min="1283" max="1297" width="7.125" style="2156" customWidth="1"/>
    <col min="1298" max="1536" width="9" style="2156"/>
    <col min="1537" max="1537" width="21.375" style="2156" customWidth="1"/>
    <col min="1538" max="1538" width="6.375" style="2156" customWidth="1"/>
    <col min="1539" max="1553" width="7.125" style="2156" customWidth="1"/>
    <col min="1554" max="1792" width="9" style="2156"/>
    <col min="1793" max="1793" width="21.375" style="2156" customWidth="1"/>
    <col min="1794" max="1794" width="6.375" style="2156" customWidth="1"/>
    <col min="1795" max="1809" width="7.125" style="2156" customWidth="1"/>
    <col min="1810" max="2048" width="9" style="2156"/>
    <col min="2049" max="2049" width="21.375" style="2156" customWidth="1"/>
    <col min="2050" max="2050" width="6.375" style="2156" customWidth="1"/>
    <col min="2051" max="2065" width="7.125" style="2156" customWidth="1"/>
    <col min="2066" max="2304" width="9" style="2156"/>
    <col min="2305" max="2305" width="21.375" style="2156" customWidth="1"/>
    <col min="2306" max="2306" width="6.375" style="2156" customWidth="1"/>
    <col min="2307" max="2321" width="7.125" style="2156" customWidth="1"/>
    <col min="2322" max="2560" width="9" style="2156"/>
    <col min="2561" max="2561" width="21.375" style="2156" customWidth="1"/>
    <col min="2562" max="2562" width="6.375" style="2156" customWidth="1"/>
    <col min="2563" max="2577" width="7.125" style="2156" customWidth="1"/>
    <col min="2578" max="2816" width="9" style="2156"/>
    <col min="2817" max="2817" width="21.375" style="2156" customWidth="1"/>
    <col min="2818" max="2818" width="6.375" style="2156" customWidth="1"/>
    <col min="2819" max="2833" width="7.125" style="2156" customWidth="1"/>
    <col min="2834" max="3072" width="9" style="2156"/>
    <col min="3073" max="3073" width="21.375" style="2156" customWidth="1"/>
    <col min="3074" max="3074" width="6.375" style="2156" customWidth="1"/>
    <col min="3075" max="3089" width="7.125" style="2156" customWidth="1"/>
    <col min="3090" max="3328" width="9" style="2156"/>
    <col min="3329" max="3329" width="21.375" style="2156" customWidth="1"/>
    <col min="3330" max="3330" width="6.375" style="2156" customWidth="1"/>
    <col min="3331" max="3345" width="7.125" style="2156" customWidth="1"/>
    <col min="3346" max="3584" width="9" style="2156"/>
    <col min="3585" max="3585" width="21.375" style="2156" customWidth="1"/>
    <col min="3586" max="3586" width="6.375" style="2156" customWidth="1"/>
    <col min="3587" max="3601" width="7.125" style="2156" customWidth="1"/>
    <col min="3602" max="3840" width="9" style="2156"/>
    <col min="3841" max="3841" width="21.375" style="2156" customWidth="1"/>
    <col min="3842" max="3842" width="6.375" style="2156" customWidth="1"/>
    <col min="3843" max="3857" width="7.125" style="2156" customWidth="1"/>
    <col min="3858" max="4096" width="9" style="2156"/>
    <col min="4097" max="4097" width="21.375" style="2156" customWidth="1"/>
    <col min="4098" max="4098" width="6.375" style="2156" customWidth="1"/>
    <col min="4099" max="4113" width="7.125" style="2156" customWidth="1"/>
    <col min="4114" max="4352" width="9" style="2156"/>
    <col min="4353" max="4353" width="21.375" style="2156" customWidth="1"/>
    <col min="4354" max="4354" width="6.375" style="2156" customWidth="1"/>
    <col min="4355" max="4369" width="7.125" style="2156" customWidth="1"/>
    <col min="4370" max="4608" width="9" style="2156"/>
    <col min="4609" max="4609" width="21.375" style="2156" customWidth="1"/>
    <col min="4610" max="4610" width="6.375" style="2156" customWidth="1"/>
    <col min="4611" max="4625" width="7.125" style="2156" customWidth="1"/>
    <col min="4626" max="4864" width="9" style="2156"/>
    <col min="4865" max="4865" width="21.375" style="2156" customWidth="1"/>
    <col min="4866" max="4866" width="6.375" style="2156" customWidth="1"/>
    <col min="4867" max="4881" width="7.125" style="2156" customWidth="1"/>
    <col min="4882" max="5120" width="9" style="2156"/>
    <col min="5121" max="5121" width="21.375" style="2156" customWidth="1"/>
    <col min="5122" max="5122" width="6.375" style="2156" customWidth="1"/>
    <col min="5123" max="5137" width="7.125" style="2156" customWidth="1"/>
    <col min="5138" max="5376" width="9" style="2156"/>
    <col min="5377" max="5377" width="21.375" style="2156" customWidth="1"/>
    <col min="5378" max="5378" width="6.375" style="2156" customWidth="1"/>
    <col min="5379" max="5393" width="7.125" style="2156" customWidth="1"/>
    <col min="5394" max="5632" width="9" style="2156"/>
    <col min="5633" max="5633" width="21.375" style="2156" customWidth="1"/>
    <col min="5634" max="5634" width="6.375" style="2156" customWidth="1"/>
    <col min="5635" max="5649" width="7.125" style="2156" customWidth="1"/>
    <col min="5650" max="5888" width="9" style="2156"/>
    <col min="5889" max="5889" width="21.375" style="2156" customWidth="1"/>
    <col min="5890" max="5890" width="6.375" style="2156" customWidth="1"/>
    <col min="5891" max="5905" width="7.125" style="2156" customWidth="1"/>
    <col min="5906" max="6144" width="9" style="2156"/>
    <col min="6145" max="6145" width="21.375" style="2156" customWidth="1"/>
    <col min="6146" max="6146" width="6.375" style="2156" customWidth="1"/>
    <col min="6147" max="6161" width="7.125" style="2156" customWidth="1"/>
    <col min="6162" max="6400" width="9" style="2156"/>
    <col min="6401" max="6401" width="21.375" style="2156" customWidth="1"/>
    <col min="6402" max="6402" width="6.375" style="2156" customWidth="1"/>
    <col min="6403" max="6417" width="7.125" style="2156" customWidth="1"/>
    <col min="6418" max="6656" width="9" style="2156"/>
    <col min="6657" max="6657" width="21.375" style="2156" customWidth="1"/>
    <col min="6658" max="6658" width="6.375" style="2156" customWidth="1"/>
    <col min="6659" max="6673" width="7.125" style="2156" customWidth="1"/>
    <col min="6674" max="6912" width="9" style="2156"/>
    <col min="6913" max="6913" width="21.375" style="2156" customWidth="1"/>
    <col min="6914" max="6914" width="6.375" style="2156" customWidth="1"/>
    <col min="6915" max="6929" width="7.125" style="2156" customWidth="1"/>
    <col min="6930" max="7168" width="9" style="2156"/>
    <col min="7169" max="7169" width="21.375" style="2156" customWidth="1"/>
    <col min="7170" max="7170" width="6.375" style="2156" customWidth="1"/>
    <col min="7171" max="7185" width="7.125" style="2156" customWidth="1"/>
    <col min="7186" max="7424" width="9" style="2156"/>
    <col min="7425" max="7425" width="21.375" style="2156" customWidth="1"/>
    <col min="7426" max="7426" width="6.375" style="2156" customWidth="1"/>
    <col min="7427" max="7441" width="7.125" style="2156" customWidth="1"/>
    <col min="7442" max="7680" width="9" style="2156"/>
    <col min="7681" max="7681" width="21.375" style="2156" customWidth="1"/>
    <col min="7682" max="7682" width="6.375" style="2156" customWidth="1"/>
    <col min="7683" max="7697" width="7.125" style="2156" customWidth="1"/>
    <col min="7698" max="7936" width="9" style="2156"/>
    <col min="7937" max="7937" width="21.375" style="2156" customWidth="1"/>
    <col min="7938" max="7938" width="6.375" style="2156" customWidth="1"/>
    <col min="7939" max="7953" width="7.125" style="2156" customWidth="1"/>
    <col min="7954" max="8192" width="9" style="2156"/>
    <col min="8193" max="8193" width="21.375" style="2156" customWidth="1"/>
    <col min="8194" max="8194" width="6.375" style="2156" customWidth="1"/>
    <col min="8195" max="8209" width="7.125" style="2156" customWidth="1"/>
    <col min="8210" max="8448" width="9" style="2156"/>
    <col min="8449" max="8449" width="21.375" style="2156" customWidth="1"/>
    <col min="8450" max="8450" width="6.375" style="2156" customWidth="1"/>
    <col min="8451" max="8465" width="7.125" style="2156" customWidth="1"/>
    <col min="8466" max="8704" width="9" style="2156"/>
    <col min="8705" max="8705" width="21.375" style="2156" customWidth="1"/>
    <col min="8706" max="8706" width="6.375" style="2156" customWidth="1"/>
    <col min="8707" max="8721" width="7.125" style="2156" customWidth="1"/>
    <col min="8722" max="8960" width="9" style="2156"/>
    <col min="8961" max="8961" width="21.375" style="2156" customWidth="1"/>
    <col min="8962" max="8962" width="6.375" style="2156" customWidth="1"/>
    <col min="8963" max="8977" width="7.125" style="2156" customWidth="1"/>
    <col min="8978" max="9216" width="9" style="2156"/>
    <col min="9217" max="9217" width="21.375" style="2156" customWidth="1"/>
    <col min="9218" max="9218" width="6.375" style="2156" customWidth="1"/>
    <col min="9219" max="9233" width="7.125" style="2156" customWidth="1"/>
    <col min="9234" max="9472" width="9" style="2156"/>
    <col min="9473" max="9473" width="21.375" style="2156" customWidth="1"/>
    <col min="9474" max="9474" width="6.375" style="2156" customWidth="1"/>
    <col min="9475" max="9489" width="7.125" style="2156" customWidth="1"/>
    <col min="9490" max="9728" width="9" style="2156"/>
    <col min="9729" max="9729" width="21.375" style="2156" customWidth="1"/>
    <col min="9730" max="9730" width="6.375" style="2156" customWidth="1"/>
    <col min="9731" max="9745" width="7.125" style="2156" customWidth="1"/>
    <col min="9746" max="9984" width="9" style="2156"/>
    <col min="9985" max="9985" width="21.375" style="2156" customWidth="1"/>
    <col min="9986" max="9986" width="6.375" style="2156" customWidth="1"/>
    <col min="9987" max="10001" width="7.125" style="2156" customWidth="1"/>
    <col min="10002" max="10240" width="9" style="2156"/>
    <col min="10241" max="10241" width="21.375" style="2156" customWidth="1"/>
    <col min="10242" max="10242" width="6.375" style="2156" customWidth="1"/>
    <col min="10243" max="10257" width="7.125" style="2156" customWidth="1"/>
    <col min="10258" max="10496" width="9" style="2156"/>
    <col min="10497" max="10497" width="21.375" style="2156" customWidth="1"/>
    <col min="10498" max="10498" width="6.375" style="2156" customWidth="1"/>
    <col min="10499" max="10513" width="7.125" style="2156" customWidth="1"/>
    <col min="10514" max="10752" width="9" style="2156"/>
    <col min="10753" max="10753" width="21.375" style="2156" customWidth="1"/>
    <col min="10754" max="10754" width="6.375" style="2156" customWidth="1"/>
    <col min="10755" max="10769" width="7.125" style="2156" customWidth="1"/>
    <col min="10770" max="11008" width="9" style="2156"/>
    <col min="11009" max="11009" width="21.375" style="2156" customWidth="1"/>
    <col min="11010" max="11010" width="6.375" style="2156" customWidth="1"/>
    <col min="11011" max="11025" width="7.125" style="2156" customWidth="1"/>
    <col min="11026" max="11264" width="9" style="2156"/>
    <col min="11265" max="11265" width="21.375" style="2156" customWidth="1"/>
    <col min="11266" max="11266" width="6.375" style="2156" customWidth="1"/>
    <col min="11267" max="11281" width="7.125" style="2156" customWidth="1"/>
    <col min="11282" max="11520" width="9" style="2156"/>
    <col min="11521" max="11521" width="21.375" style="2156" customWidth="1"/>
    <col min="11522" max="11522" width="6.375" style="2156" customWidth="1"/>
    <col min="11523" max="11537" width="7.125" style="2156" customWidth="1"/>
    <col min="11538" max="11776" width="9" style="2156"/>
    <col min="11777" max="11777" width="21.375" style="2156" customWidth="1"/>
    <col min="11778" max="11778" width="6.375" style="2156" customWidth="1"/>
    <col min="11779" max="11793" width="7.125" style="2156" customWidth="1"/>
    <col min="11794" max="12032" width="9" style="2156"/>
    <col min="12033" max="12033" width="21.375" style="2156" customWidth="1"/>
    <col min="12034" max="12034" width="6.375" style="2156" customWidth="1"/>
    <col min="12035" max="12049" width="7.125" style="2156" customWidth="1"/>
    <col min="12050" max="12288" width="9" style="2156"/>
    <col min="12289" max="12289" width="21.375" style="2156" customWidth="1"/>
    <col min="12290" max="12290" width="6.375" style="2156" customWidth="1"/>
    <col min="12291" max="12305" width="7.125" style="2156" customWidth="1"/>
    <col min="12306" max="12544" width="9" style="2156"/>
    <col min="12545" max="12545" width="21.375" style="2156" customWidth="1"/>
    <col min="12546" max="12546" width="6.375" style="2156" customWidth="1"/>
    <col min="12547" max="12561" width="7.125" style="2156" customWidth="1"/>
    <col min="12562" max="12800" width="9" style="2156"/>
    <col min="12801" max="12801" width="21.375" style="2156" customWidth="1"/>
    <col min="12802" max="12802" width="6.375" style="2156" customWidth="1"/>
    <col min="12803" max="12817" width="7.125" style="2156" customWidth="1"/>
    <col min="12818" max="13056" width="9" style="2156"/>
    <col min="13057" max="13057" width="21.375" style="2156" customWidth="1"/>
    <col min="13058" max="13058" width="6.375" style="2156" customWidth="1"/>
    <col min="13059" max="13073" width="7.125" style="2156" customWidth="1"/>
    <col min="13074" max="13312" width="9" style="2156"/>
    <col min="13313" max="13313" width="21.375" style="2156" customWidth="1"/>
    <col min="13314" max="13314" width="6.375" style="2156" customWidth="1"/>
    <col min="13315" max="13329" width="7.125" style="2156" customWidth="1"/>
    <col min="13330" max="13568" width="9" style="2156"/>
    <col min="13569" max="13569" width="21.375" style="2156" customWidth="1"/>
    <col min="13570" max="13570" width="6.375" style="2156" customWidth="1"/>
    <col min="13571" max="13585" width="7.125" style="2156" customWidth="1"/>
    <col min="13586" max="13824" width="9" style="2156"/>
    <col min="13825" max="13825" width="21.375" style="2156" customWidth="1"/>
    <col min="13826" max="13826" width="6.375" style="2156" customWidth="1"/>
    <col min="13827" max="13841" width="7.125" style="2156" customWidth="1"/>
    <col min="13842" max="14080" width="9" style="2156"/>
    <col min="14081" max="14081" width="21.375" style="2156" customWidth="1"/>
    <col min="14082" max="14082" width="6.375" style="2156" customWidth="1"/>
    <col min="14083" max="14097" width="7.125" style="2156" customWidth="1"/>
    <col min="14098" max="14336" width="9" style="2156"/>
    <col min="14337" max="14337" width="21.375" style="2156" customWidth="1"/>
    <col min="14338" max="14338" width="6.375" style="2156" customWidth="1"/>
    <col min="14339" max="14353" width="7.125" style="2156" customWidth="1"/>
    <col min="14354" max="14592" width="9" style="2156"/>
    <col min="14593" max="14593" width="21.375" style="2156" customWidth="1"/>
    <col min="14594" max="14594" width="6.375" style="2156" customWidth="1"/>
    <col min="14595" max="14609" width="7.125" style="2156" customWidth="1"/>
    <col min="14610" max="14848" width="9" style="2156"/>
    <col min="14849" max="14849" width="21.375" style="2156" customWidth="1"/>
    <col min="14850" max="14850" width="6.375" style="2156" customWidth="1"/>
    <col min="14851" max="14865" width="7.125" style="2156" customWidth="1"/>
    <col min="14866" max="15104" width="9" style="2156"/>
    <col min="15105" max="15105" width="21.375" style="2156" customWidth="1"/>
    <col min="15106" max="15106" width="6.375" style="2156" customWidth="1"/>
    <col min="15107" max="15121" width="7.125" style="2156" customWidth="1"/>
    <col min="15122" max="15360" width="9" style="2156"/>
    <col min="15361" max="15361" width="21.375" style="2156" customWidth="1"/>
    <col min="15362" max="15362" width="6.375" style="2156" customWidth="1"/>
    <col min="15363" max="15377" width="7.125" style="2156" customWidth="1"/>
    <col min="15378" max="15616" width="9" style="2156"/>
    <col min="15617" max="15617" width="21.375" style="2156" customWidth="1"/>
    <col min="15618" max="15618" width="6.375" style="2156" customWidth="1"/>
    <col min="15619" max="15633" width="7.125" style="2156" customWidth="1"/>
    <col min="15634" max="15872" width="9" style="2156"/>
    <col min="15873" max="15873" width="21.375" style="2156" customWidth="1"/>
    <col min="15874" max="15874" width="6.375" style="2156" customWidth="1"/>
    <col min="15875" max="15889" width="7.125" style="2156" customWidth="1"/>
    <col min="15890" max="16128" width="9" style="2156"/>
    <col min="16129" max="16129" width="21.375" style="2156" customWidth="1"/>
    <col min="16130" max="16130" width="6.375" style="2156" customWidth="1"/>
    <col min="16131" max="16145" width="7.125" style="2156" customWidth="1"/>
    <col min="16146" max="16384" width="9" style="2156"/>
  </cols>
  <sheetData>
    <row r="1" spans="1:17" s="2153" customFormat="1" ht="25.35" customHeight="1">
      <c r="A1" s="3894" t="s">
        <v>3319</v>
      </c>
      <c r="B1" s="3894"/>
      <c r="C1" s="3894"/>
      <c r="D1" s="3894"/>
      <c r="E1" s="3894"/>
      <c r="F1" s="3894"/>
      <c r="G1" s="3894"/>
      <c r="H1" s="3894"/>
      <c r="I1" s="3894"/>
      <c r="J1" s="3894"/>
      <c r="K1" s="3894"/>
      <c r="L1" s="3894"/>
      <c r="M1" s="3894"/>
      <c r="N1" s="3894"/>
      <c r="O1" s="3920"/>
      <c r="P1" s="3920"/>
      <c r="Q1" s="3920"/>
    </row>
    <row r="2" spans="1:17" ht="36.6" customHeight="1">
      <c r="A2" s="3903"/>
      <c r="B2" s="3903"/>
      <c r="C2" s="3905" t="s">
        <v>3198</v>
      </c>
      <c r="D2" s="3905"/>
      <c r="E2" s="3905"/>
      <c r="F2" s="3907" t="s">
        <v>2363</v>
      </c>
      <c r="G2" s="3905"/>
      <c r="H2" s="3905"/>
      <c r="I2" s="3907" t="s">
        <v>3200</v>
      </c>
      <c r="J2" s="3905"/>
      <c r="K2" s="3905"/>
      <c r="L2" s="3907" t="s">
        <v>3320</v>
      </c>
      <c r="M2" s="3905"/>
      <c r="N2" s="3905"/>
      <c r="O2" s="3907" t="s">
        <v>3202</v>
      </c>
      <c r="P2" s="3905"/>
      <c r="Q2" s="3905"/>
    </row>
    <row r="3" spans="1:17" ht="37.35" customHeight="1">
      <c r="A3" s="3904"/>
      <c r="B3" s="3904"/>
      <c r="C3" s="2175" t="s">
        <v>3219</v>
      </c>
      <c r="D3" s="2176" t="s">
        <v>3236</v>
      </c>
      <c r="E3" s="2176" t="s">
        <v>3221</v>
      </c>
      <c r="F3" s="2176" t="s">
        <v>3219</v>
      </c>
      <c r="G3" s="2176" t="s">
        <v>3220</v>
      </c>
      <c r="H3" s="2176" t="s">
        <v>3289</v>
      </c>
      <c r="I3" s="2176" t="s">
        <v>3219</v>
      </c>
      <c r="J3" s="2176" t="s">
        <v>3220</v>
      </c>
      <c r="K3" s="2176" t="s">
        <v>3221</v>
      </c>
      <c r="L3" s="2176" t="s">
        <v>3219</v>
      </c>
      <c r="M3" s="2176" t="s">
        <v>3220</v>
      </c>
      <c r="N3" s="2176" t="s">
        <v>3221</v>
      </c>
      <c r="O3" s="2176" t="s">
        <v>3219</v>
      </c>
      <c r="P3" s="2176" t="s">
        <v>3220</v>
      </c>
      <c r="Q3" s="2176" t="s">
        <v>3221</v>
      </c>
    </row>
    <row r="4" spans="1:17" ht="35.25" customHeight="1">
      <c r="A4" s="3899" t="s">
        <v>3321</v>
      </c>
      <c r="B4" s="2160" t="s">
        <v>3223</v>
      </c>
      <c r="C4" s="2188">
        <f t="shared" ref="C4:Q5" si="0">SUM(C6,C8,C10,C12,C14,)</f>
        <v>825</v>
      </c>
      <c r="D4" s="2188">
        <f t="shared" si="0"/>
        <v>724</v>
      </c>
      <c r="E4" s="2188">
        <f t="shared" si="0"/>
        <v>101</v>
      </c>
      <c r="F4" s="2188">
        <f t="shared" si="0"/>
        <v>833</v>
      </c>
      <c r="G4" s="2188">
        <f t="shared" si="0"/>
        <v>709</v>
      </c>
      <c r="H4" s="2188">
        <f t="shared" si="0"/>
        <v>124</v>
      </c>
      <c r="I4" s="2188">
        <f t="shared" si="0"/>
        <v>738</v>
      </c>
      <c r="J4" s="2188">
        <f t="shared" si="0"/>
        <v>636</v>
      </c>
      <c r="K4" s="2188">
        <f t="shared" si="0"/>
        <v>102</v>
      </c>
      <c r="L4" s="2188">
        <f t="shared" si="0"/>
        <v>475</v>
      </c>
      <c r="M4" s="2188">
        <f t="shared" si="0"/>
        <v>420</v>
      </c>
      <c r="N4" s="2188">
        <f t="shared" si="0"/>
        <v>55</v>
      </c>
      <c r="O4" s="2188">
        <f t="shared" si="0"/>
        <v>473</v>
      </c>
      <c r="P4" s="2188">
        <f t="shared" si="0"/>
        <v>402</v>
      </c>
      <c r="Q4" s="2193">
        <f t="shared" si="0"/>
        <v>71</v>
      </c>
    </row>
    <row r="5" spans="1:17" ht="35.25" customHeight="1">
      <c r="A5" s="3899" t="s">
        <v>3322</v>
      </c>
      <c r="B5" s="2160" t="s">
        <v>0</v>
      </c>
      <c r="C5" s="2190">
        <f t="shared" si="0"/>
        <v>100</v>
      </c>
      <c r="D5" s="2190">
        <f t="shared" si="0"/>
        <v>100</v>
      </c>
      <c r="E5" s="2190">
        <f t="shared" si="0"/>
        <v>100</v>
      </c>
      <c r="F5" s="2190">
        <f t="shared" si="0"/>
        <v>100</v>
      </c>
      <c r="G5" s="2190">
        <f t="shared" si="0"/>
        <v>99.999999999999986</v>
      </c>
      <c r="H5" s="2190">
        <f t="shared" si="0"/>
        <v>100</v>
      </c>
      <c r="I5" s="2190">
        <f t="shared" si="0"/>
        <v>100.00000000000001</v>
      </c>
      <c r="J5" s="2190">
        <f t="shared" si="0"/>
        <v>100</v>
      </c>
      <c r="K5" s="2190">
        <f t="shared" si="0"/>
        <v>100</v>
      </c>
      <c r="L5" s="2190">
        <f t="shared" si="0"/>
        <v>99.999999999999986</v>
      </c>
      <c r="M5" s="2190">
        <f t="shared" si="0"/>
        <v>100</v>
      </c>
      <c r="N5" s="2190">
        <f t="shared" si="0"/>
        <v>100</v>
      </c>
      <c r="O5" s="2190">
        <f t="shared" si="0"/>
        <v>100</v>
      </c>
      <c r="P5" s="2190">
        <f t="shared" si="0"/>
        <v>100</v>
      </c>
      <c r="Q5" s="2191">
        <f t="shared" si="0"/>
        <v>100</v>
      </c>
    </row>
    <row r="6" spans="1:17" ht="35.25" customHeight="1">
      <c r="A6" s="3899" t="s">
        <v>3323</v>
      </c>
      <c r="B6" s="2160" t="s">
        <v>3223</v>
      </c>
      <c r="C6" s="2188" t="s">
        <v>1</v>
      </c>
      <c r="D6" s="2188" t="s">
        <v>1</v>
      </c>
      <c r="E6" s="2188" t="s">
        <v>1</v>
      </c>
      <c r="F6" s="2188" t="s">
        <v>1</v>
      </c>
      <c r="G6" s="2188" t="s">
        <v>1</v>
      </c>
      <c r="H6" s="2188" t="s">
        <v>1</v>
      </c>
      <c r="I6" s="2188">
        <v>1</v>
      </c>
      <c r="J6" s="2188">
        <v>1</v>
      </c>
      <c r="K6" s="2188" t="s">
        <v>1</v>
      </c>
      <c r="L6" s="2188" t="s">
        <v>1</v>
      </c>
      <c r="M6" s="2188" t="s">
        <v>1</v>
      </c>
      <c r="N6" s="2188" t="s">
        <v>1</v>
      </c>
      <c r="O6" s="2188">
        <v>1</v>
      </c>
      <c r="P6" s="2188">
        <v>1</v>
      </c>
      <c r="Q6" s="2193" t="s">
        <v>1</v>
      </c>
    </row>
    <row r="7" spans="1:17" ht="35.25" customHeight="1">
      <c r="A7" s="3899"/>
      <c r="B7" s="2160" t="s">
        <v>0</v>
      </c>
      <c r="C7" s="2191" t="s">
        <v>1</v>
      </c>
      <c r="D7" s="2191" t="s">
        <v>1</v>
      </c>
      <c r="E7" s="2191" t="s">
        <v>1</v>
      </c>
      <c r="F7" s="2191" t="s">
        <v>1</v>
      </c>
      <c r="G7" s="2191" t="s">
        <v>1</v>
      </c>
      <c r="H7" s="2191" t="s">
        <v>1</v>
      </c>
      <c r="I7" s="2191">
        <v>0.13550135501355012</v>
      </c>
      <c r="J7" s="2191">
        <v>0.15723270440251574</v>
      </c>
      <c r="K7" s="2191" t="s">
        <v>1</v>
      </c>
      <c r="L7" s="2191" t="s">
        <v>1</v>
      </c>
      <c r="M7" s="2191" t="s">
        <v>1</v>
      </c>
      <c r="N7" s="2191" t="s">
        <v>1</v>
      </c>
      <c r="O7" s="2191">
        <v>0.21141649048625794</v>
      </c>
      <c r="P7" s="2191">
        <v>0.24875621890547264</v>
      </c>
      <c r="Q7" s="2191" t="s">
        <v>1</v>
      </c>
    </row>
    <row r="8" spans="1:17" ht="35.25" customHeight="1">
      <c r="A8" s="3899" t="s">
        <v>3324</v>
      </c>
      <c r="B8" s="2160" t="s">
        <v>3223</v>
      </c>
      <c r="C8" s="2188" t="s">
        <v>1</v>
      </c>
      <c r="D8" s="2188" t="s">
        <v>1</v>
      </c>
      <c r="E8" s="2188" t="s">
        <v>1</v>
      </c>
      <c r="F8" s="2188">
        <v>1</v>
      </c>
      <c r="G8" s="2188">
        <v>1</v>
      </c>
      <c r="H8" s="2188" t="s">
        <v>1</v>
      </c>
      <c r="I8" s="2188">
        <v>3</v>
      </c>
      <c r="J8" s="2188">
        <v>2</v>
      </c>
      <c r="K8" s="2188">
        <v>1</v>
      </c>
      <c r="L8" s="2188">
        <v>2</v>
      </c>
      <c r="M8" s="2188">
        <v>2</v>
      </c>
      <c r="N8" s="2188" t="s">
        <v>1</v>
      </c>
      <c r="O8" s="2188" t="s">
        <v>1</v>
      </c>
      <c r="P8" s="2188" t="s">
        <v>1</v>
      </c>
      <c r="Q8" s="2193" t="s">
        <v>1</v>
      </c>
    </row>
    <row r="9" spans="1:17" ht="35.25" customHeight="1">
      <c r="A9" s="3899"/>
      <c r="B9" s="2160" t="s">
        <v>0</v>
      </c>
      <c r="C9" s="2190" t="s">
        <v>1</v>
      </c>
      <c r="D9" s="2190" t="s">
        <v>1</v>
      </c>
      <c r="E9" s="2190" t="s">
        <v>1</v>
      </c>
      <c r="F9" s="2190">
        <v>0.12004801920768307</v>
      </c>
      <c r="G9" s="2190">
        <v>0.14104372355430184</v>
      </c>
      <c r="H9" s="2190" t="s">
        <v>1</v>
      </c>
      <c r="I9" s="2190">
        <v>0.40650406504065045</v>
      </c>
      <c r="J9" s="2190">
        <v>0.31446540880503149</v>
      </c>
      <c r="K9" s="2190">
        <v>0.98039215686274506</v>
      </c>
      <c r="L9" s="2190">
        <v>0.42105263157894735</v>
      </c>
      <c r="M9" s="2190">
        <v>0.47619047619047622</v>
      </c>
      <c r="N9" s="2190" t="s">
        <v>1</v>
      </c>
      <c r="O9" s="2190" t="s">
        <v>1</v>
      </c>
      <c r="P9" s="2190" t="s">
        <v>1</v>
      </c>
      <c r="Q9" s="2191" t="s">
        <v>1</v>
      </c>
    </row>
    <row r="10" spans="1:17" ht="35.25" customHeight="1">
      <c r="A10" s="3899" t="s">
        <v>3325</v>
      </c>
      <c r="B10" s="2160" t="s">
        <v>3283</v>
      </c>
      <c r="C10" s="2188">
        <v>472</v>
      </c>
      <c r="D10" s="2188">
        <v>431</v>
      </c>
      <c r="E10" s="2188">
        <v>41</v>
      </c>
      <c r="F10" s="2188">
        <v>476</v>
      </c>
      <c r="G10" s="2188">
        <v>404</v>
      </c>
      <c r="H10" s="2188">
        <v>72</v>
      </c>
      <c r="I10" s="2188">
        <v>352</v>
      </c>
      <c r="J10" s="2188">
        <v>298</v>
      </c>
      <c r="K10" s="2188">
        <v>54</v>
      </c>
      <c r="L10" s="2188">
        <v>248</v>
      </c>
      <c r="M10" s="2188">
        <v>219</v>
      </c>
      <c r="N10" s="2188">
        <v>29</v>
      </c>
      <c r="O10" s="2188">
        <v>222</v>
      </c>
      <c r="P10" s="2188">
        <v>195</v>
      </c>
      <c r="Q10" s="2193">
        <v>27</v>
      </c>
    </row>
    <row r="11" spans="1:17" ht="35.25" customHeight="1">
      <c r="A11" s="3899"/>
      <c r="B11" s="2160" t="s">
        <v>0</v>
      </c>
      <c r="C11" s="2190">
        <v>57.212121212121211</v>
      </c>
      <c r="D11" s="2190">
        <v>59.530386740331487</v>
      </c>
      <c r="E11" s="2190">
        <v>40.594059405940598</v>
      </c>
      <c r="F11" s="2190">
        <v>57.142857142857139</v>
      </c>
      <c r="G11" s="2190">
        <v>56.981664315937941</v>
      </c>
      <c r="H11" s="2190">
        <v>58.064516129032263</v>
      </c>
      <c r="I11" s="2190">
        <v>47.696476964769644</v>
      </c>
      <c r="J11" s="2190">
        <v>46.855345911949684</v>
      </c>
      <c r="K11" s="2190">
        <v>52.941176470588239</v>
      </c>
      <c r="L11" s="2190">
        <v>52.210526315789473</v>
      </c>
      <c r="M11" s="2190">
        <v>52.142857142857146</v>
      </c>
      <c r="N11" s="2190">
        <v>52.72727272727272</v>
      </c>
      <c r="O11" s="2190">
        <v>46.934460887949257</v>
      </c>
      <c r="P11" s="2190">
        <v>48.507462686567166</v>
      </c>
      <c r="Q11" s="2191">
        <v>38.028169014084504</v>
      </c>
    </row>
    <row r="12" spans="1:17" ht="35.25" customHeight="1">
      <c r="A12" s="3899" t="s">
        <v>3326</v>
      </c>
      <c r="B12" s="2160" t="s">
        <v>3223</v>
      </c>
      <c r="C12" s="2188">
        <v>353</v>
      </c>
      <c r="D12" s="2188">
        <v>293</v>
      </c>
      <c r="E12" s="2188">
        <v>60</v>
      </c>
      <c r="F12" s="2188">
        <v>351</v>
      </c>
      <c r="G12" s="2188">
        <v>301</v>
      </c>
      <c r="H12" s="2188">
        <v>50</v>
      </c>
      <c r="I12" s="2188">
        <v>380</v>
      </c>
      <c r="J12" s="2188">
        <v>333</v>
      </c>
      <c r="K12" s="2188">
        <v>47</v>
      </c>
      <c r="L12" s="2188">
        <v>223</v>
      </c>
      <c r="M12" s="2188">
        <v>197</v>
      </c>
      <c r="N12" s="2188">
        <v>26</v>
      </c>
      <c r="O12" s="2188">
        <v>225</v>
      </c>
      <c r="P12" s="2188">
        <v>182</v>
      </c>
      <c r="Q12" s="2193">
        <v>43</v>
      </c>
    </row>
    <row r="13" spans="1:17" ht="35.25" customHeight="1">
      <c r="A13" s="3899"/>
      <c r="B13" s="2160" t="s">
        <v>0</v>
      </c>
      <c r="C13" s="2190">
        <v>42.787878787878789</v>
      </c>
      <c r="D13" s="2190">
        <v>40.469613259668506</v>
      </c>
      <c r="E13" s="2190">
        <v>59.405940594059402</v>
      </c>
      <c r="F13" s="2190">
        <v>42.136854741896755</v>
      </c>
      <c r="G13" s="2190">
        <v>42.454160789844849</v>
      </c>
      <c r="H13" s="2190">
        <v>40.322580645161288</v>
      </c>
      <c r="I13" s="2190">
        <v>51.490514905149055</v>
      </c>
      <c r="J13" s="2190">
        <v>52.358490566037744</v>
      </c>
      <c r="K13" s="2190">
        <v>46.078431372549019</v>
      </c>
      <c r="L13" s="2190">
        <v>46.94736842105263</v>
      </c>
      <c r="M13" s="2190">
        <v>46.904761904761905</v>
      </c>
      <c r="N13" s="2190">
        <v>47.272727272727273</v>
      </c>
      <c r="O13" s="2190">
        <v>47.568710359408037</v>
      </c>
      <c r="P13" s="2190">
        <v>45.273631840796021</v>
      </c>
      <c r="Q13" s="2191">
        <v>60.563380281690137</v>
      </c>
    </row>
    <row r="14" spans="1:17" ht="35.25" customHeight="1">
      <c r="A14" s="3899" t="s">
        <v>3327</v>
      </c>
      <c r="B14" s="2160" t="s">
        <v>3223</v>
      </c>
      <c r="C14" s="2188" t="s">
        <v>1</v>
      </c>
      <c r="D14" s="2188" t="s">
        <v>1</v>
      </c>
      <c r="E14" s="2188" t="s">
        <v>1</v>
      </c>
      <c r="F14" s="2188">
        <v>5</v>
      </c>
      <c r="G14" s="2188">
        <v>3</v>
      </c>
      <c r="H14" s="2188">
        <v>2</v>
      </c>
      <c r="I14" s="2188">
        <v>2</v>
      </c>
      <c r="J14" s="2188">
        <v>2</v>
      </c>
      <c r="K14" s="2188" t="s">
        <v>1</v>
      </c>
      <c r="L14" s="2188">
        <v>2</v>
      </c>
      <c r="M14" s="2188">
        <v>2</v>
      </c>
      <c r="N14" s="2188" t="s">
        <v>1</v>
      </c>
      <c r="O14" s="2188">
        <v>25</v>
      </c>
      <c r="P14" s="2188">
        <v>24</v>
      </c>
      <c r="Q14" s="2193">
        <v>1</v>
      </c>
    </row>
    <row r="15" spans="1:17" ht="35.25" customHeight="1">
      <c r="A15" s="3904"/>
      <c r="B15" s="2165" t="s">
        <v>0</v>
      </c>
      <c r="C15" s="2194" t="s">
        <v>1</v>
      </c>
      <c r="D15" s="2194" t="s">
        <v>1</v>
      </c>
      <c r="E15" s="2194" t="s">
        <v>1</v>
      </c>
      <c r="F15" s="2194">
        <v>0.60024009603841544</v>
      </c>
      <c r="G15" s="2194">
        <v>0.42313117066290551</v>
      </c>
      <c r="H15" s="2194">
        <v>1.6129032258064515</v>
      </c>
      <c r="I15" s="2194">
        <v>0.27100271002710025</v>
      </c>
      <c r="J15" s="2194">
        <v>0.31446540880503149</v>
      </c>
      <c r="K15" s="2194" t="s">
        <v>1</v>
      </c>
      <c r="L15" s="2194">
        <v>0.42105263157894735</v>
      </c>
      <c r="M15" s="2194">
        <v>0.47619047619047622</v>
      </c>
      <c r="N15" s="2194" t="s">
        <v>1</v>
      </c>
      <c r="O15" s="2194">
        <v>5.2854122621564485</v>
      </c>
      <c r="P15" s="2194">
        <v>5.9701492537313428</v>
      </c>
      <c r="Q15" s="2195">
        <v>1.4084507042253522</v>
      </c>
    </row>
    <row r="16" spans="1:17" s="2170" customFormat="1" ht="14.25">
      <c r="A16" s="2170" t="s">
        <v>3328</v>
      </c>
      <c r="B16" s="2196"/>
      <c r="C16" s="2204"/>
      <c r="D16" s="2204"/>
      <c r="E16" s="2204"/>
      <c r="F16" s="2204"/>
      <c r="G16" s="2204"/>
      <c r="H16" s="2204"/>
      <c r="I16" s="2204"/>
      <c r="J16" s="2204"/>
      <c r="K16" s="2204"/>
      <c r="L16" s="2204"/>
      <c r="M16" s="2204"/>
      <c r="N16" s="2204"/>
    </row>
    <row r="17" spans="1:14" s="2170" customFormat="1" ht="12.75">
      <c r="A17" s="2205"/>
      <c r="B17" s="2196"/>
      <c r="C17" s="2206"/>
      <c r="D17" s="2206"/>
      <c r="E17" s="2206"/>
      <c r="F17" s="2206"/>
      <c r="G17" s="2206"/>
      <c r="H17" s="2206"/>
      <c r="I17" s="2206"/>
      <c r="J17" s="2206"/>
      <c r="K17" s="2206"/>
      <c r="L17" s="2206"/>
      <c r="M17" s="2206"/>
      <c r="N17" s="2206"/>
    </row>
    <row r="18" spans="1:14">
      <c r="A18" s="2192"/>
      <c r="B18" s="2198"/>
      <c r="C18" s="2207"/>
      <c r="D18" s="2207"/>
      <c r="E18" s="2207"/>
      <c r="F18" s="2207"/>
      <c r="G18" s="2207"/>
      <c r="H18" s="2207"/>
      <c r="I18" s="2207"/>
      <c r="J18" s="2207"/>
      <c r="K18" s="2207"/>
      <c r="L18" s="2207"/>
      <c r="M18" s="2207"/>
      <c r="N18" s="2207"/>
    </row>
    <row r="19" spans="1:14">
      <c r="A19" s="2208"/>
      <c r="B19" s="2198"/>
      <c r="C19" s="2209"/>
      <c r="D19" s="2209"/>
      <c r="E19" s="2209"/>
      <c r="F19" s="2209"/>
      <c r="G19" s="2209"/>
      <c r="H19" s="2209"/>
      <c r="I19" s="2209"/>
      <c r="J19" s="2209"/>
      <c r="K19" s="2209"/>
      <c r="L19" s="2209"/>
      <c r="M19" s="2209"/>
      <c r="N19" s="2209"/>
    </row>
    <row r="20" spans="1:14">
      <c r="A20" s="2210"/>
      <c r="B20" s="2192"/>
      <c r="C20" s="2207"/>
      <c r="D20" s="2207"/>
      <c r="E20" s="2207"/>
      <c r="F20" s="2207"/>
      <c r="G20" s="2207"/>
      <c r="H20" s="2207"/>
      <c r="I20" s="2207"/>
      <c r="J20" s="2207"/>
      <c r="K20" s="2207"/>
      <c r="L20" s="2207"/>
      <c r="M20" s="2207"/>
      <c r="N20" s="2207"/>
    </row>
    <row r="21" spans="1:14">
      <c r="A21" s="2192"/>
      <c r="B21" s="2192"/>
      <c r="C21" s="2209"/>
      <c r="D21" s="2209"/>
      <c r="E21" s="2209"/>
      <c r="F21" s="2209"/>
      <c r="G21" s="2209"/>
      <c r="H21" s="2209"/>
      <c r="I21" s="2209"/>
      <c r="J21" s="2209"/>
      <c r="K21" s="2209"/>
      <c r="L21" s="2209"/>
      <c r="M21" s="2209"/>
      <c r="N21" s="2209"/>
    </row>
    <row r="22" spans="1:14">
      <c r="A22" s="2208"/>
      <c r="B22" s="2192"/>
      <c r="C22" s="2207"/>
      <c r="D22" s="2207"/>
      <c r="E22" s="2207"/>
      <c r="F22" s="2207"/>
      <c r="G22" s="2207"/>
      <c r="H22" s="2207"/>
      <c r="I22" s="2207"/>
      <c r="J22" s="2207"/>
      <c r="K22" s="2207"/>
      <c r="L22" s="2207"/>
      <c r="M22" s="2207"/>
      <c r="N22" s="2207"/>
    </row>
    <row r="23" spans="1:14">
      <c r="A23" s="2210"/>
      <c r="B23" s="2192"/>
      <c r="C23" s="2209"/>
      <c r="D23" s="2209"/>
      <c r="E23" s="2209"/>
      <c r="F23" s="2209"/>
      <c r="G23" s="2209"/>
      <c r="H23" s="2209"/>
      <c r="I23" s="2209"/>
      <c r="J23" s="2209"/>
      <c r="K23" s="2209"/>
      <c r="L23" s="2209"/>
      <c r="M23" s="2209"/>
      <c r="N23" s="2209"/>
    </row>
    <row r="24" spans="1:14">
      <c r="A24" s="2192"/>
      <c r="B24" s="2192"/>
      <c r="C24" s="2192"/>
      <c r="D24" s="2192"/>
      <c r="E24" s="2192"/>
      <c r="F24" s="2192"/>
      <c r="G24" s="2192"/>
      <c r="H24" s="2192"/>
      <c r="I24" s="2192"/>
      <c r="J24" s="2192"/>
      <c r="K24" s="2192"/>
      <c r="L24" s="2192"/>
      <c r="M24" s="2192"/>
      <c r="N24" s="2192"/>
    </row>
    <row r="25" spans="1:14">
      <c r="B25" s="2192"/>
      <c r="C25" s="2192"/>
      <c r="D25" s="2192"/>
      <c r="E25" s="2192"/>
      <c r="F25" s="2192"/>
      <c r="G25" s="2192"/>
      <c r="H25" s="2192"/>
      <c r="I25" s="2192"/>
      <c r="J25" s="2192"/>
      <c r="K25" s="2192"/>
      <c r="L25" s="2192"/>
      <c r="M25" s="2192"/>
      <c r="N25" s="2192"/>
    </row>
    <row r="26" spans="1:14">
      <c r="B26" s="2192"/>
      <c r="C26" s="2192"/>
      <c r="D26" s="2192"/>
      <c r="E26" s="2192"/>
      <c r="F26" s="2192"/>
      <c r="G26" s="2192"/>
      <c r="H26" s="2192"/>
      <c r="I26" s="2192"/>
      <c r="J26" s="2192"/>
      <c r="K26" s="2192"/>
      <c r="L26" s="2192"/>
      <c r="M26" s="2192"/>
      <c r="N26" s="2192"/>
    </row>
    <row r="27" spans="1:14">
      <c r="B27" s="2192"/>
      <c r="C27" s="2192"/>
      <c r="D27" s="2192"/>
      <c r="E27" s="2192"/>
      <c r="F27" s="2192"/>
      <c r="G27" s="2192"/>
      <c r="H27" s="2192"/>
      <c r="I27" s="2192"/>
      <c r="J27" s="2192"/>
      <c r="K27" s="2192"/>
      <c r="L27" s="2192"/>
      <c r="M27" s="2192"/>
      <c r="N27" s="2192"/>
    </row>
    <row r="28" spans="1:14">
      <c r="B28" s="2192"/>
      <c r="C28" s="2192"/>
      <c r="D28" s="2192"/>
      <c r="E28" s="2192"/>
      <c r="F28" s="2192"/>
      <c r="G28" s="2192"/>
      <c r="H28" s="2192"/>
      <c r="I28" s="2192"/>
      <c r="J28" s="2192"/>
      <c r="K28" s="2192"/>
      <c r="L28" s="2192"/>
      <c r="M28" s="2192"/>
      <c r="N28" s="2192"/>
    </row>
    <row r="29" spans="1:14">
      <c r="B29" s="2192"/>
      <c r="C29" s="2192"/>
      <c r="D29" s="2192"/>
      <c r="E29" s="2192"/>
      <c r="F29" s="2192"/>
      <c r="G29" s="2192"/>
      <c r="H29" s="2192"/>
      <c r="I29" s="2192"/>
      <c r="J29" s="2192"/>
      <c r="K29" s="2192"/>
      <c r="L29" s="2192"/>
      <c r="M29" s="2192"/>
      <c r="N29" s="2192"/>
    </row>
    <row r="30" spans="1:14">
      <c r="B30" s="2192"/>
      <c r="C30" s="2192"/>
      <c r="D30" s="2192"/>
      <c r="E30" s="2192"/>
      <c r="F30" s="2192"/>
      <c r="G30" s="2192"/>
      <c r="H30" s="2192"/>
      <c r="I30" s="2192"/>
      <c r="J30" s="2192"/>
      <c r="K30" s="2192"/>
      <c r="L30" s="2192"/>
      <c r="M30" s="2192"/>
      <c r="N30" s="2192"/>
    </row>
    <row r="31" spans="1:14">
      <c r="B31" s="2192"/>
      <c r="C31" s="2192"/>
      <c r="D31" s="2192"/>
      <c r="E31" s="2192"/>
      <c r="F31" s="2192"/>
      <c r="G31" s="2192"/>
      <c r="H31" s="2192"/>
      <c r="I31" s="2192"/>
      <c r="J31" s="2192"/>
      <c r="K31" s="2192"/>
      <c r="L31" s="2192"/>
      <c r="M31" s="2192"/>
      <c r="N31" s="2192"/>
    </row>
    <row r="32" spans="1:14">
      <c r="B32" s="2192"/>
      <c r="C32" s="2192"/>
      <c r="D32" s="2192"/>
      <c r="E32" s="2192"/>
      <c r="F32" s="2192"/>
      <c r="G32" s="2192"/>
      <c r="H32" s="2192"/>
      <c r="I32" s="2192"/>
      <c r="J32" s="2192"/>
      <c r="K32" s="2192"/>
      <c r="L32" s="2192"/>
      <c r="M32" s="2192"/>
      <c r="N32" s="2192"/>
    </row>
    <row r="33" spans="2:14">
      <c r="B33" s="2192"/>
      <c r="C33" s="2192"/>
      <c r="D33" s="2192"/>
      <c r="E33" s="2192"/>
      <c r="F33" s="2192"/>
      <c r="G33" s="2192"/>
      <c r="H33" s="2192"/>
      <c r="I33" s="2192"/>
      <c r="J33" s="2192"/>
      <c r="K33" s="2192"/>
      <c r="L33" s="2192"/>
      <c r="M33" s="2192"/>
      <c r="N33" s="2192"/>
    </row>
  </sheetData>
  <mergeCells count="13">
    <mergeCell ref="A14:A15"/>
    <mergeCell ref="A1:Q1"/>
    <mergeCell ref="A2:B3"/>
    <mergeCell ref="C2:E2"/>
    <mergeCell ref="F2:H2"/>
    <mergeCell ref="I2:K2"/>
    <mergeCell ref="L2:N2"/>
    <mergeCell ref="O2:Q2"/>
    <mergeCell ref="A4:A5"/>
    <mergeCell ref="A6:A7"/>
    <mergeCell ref="A8:A9"/>
    <mergeCell ref="A10:A11"/>
    <mergeCell ref="A12:A13"/>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59"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BD30"/>
  <sheetViews>
    <sheetView showGridLines="0" workbookViewId="0">
      <selection activeCell="B18" sqref="B18:D18"/>
    </sheetView>
  </sheetViews>
  <sheetFormatPr defaultRowHeight="15.75"/>
  <cols>
    <col min="1" max="1" width="12.625" style="2156" customWidth="1"/>
    <col min="2" max="2" width="5.25" style="2156" customWidth="1"/>
    <col min="3" max="17" width="8.625" style="2156" customWidth="1"/>
    <col min="18" max="256" width="9" style="2156"/>
    <col min="257" max="257" width="21.375" style="2156" customWidth="1"/>
    <col min="258" max="258" width="6.375" style="2156" customWidth="1"/>
    <col min="259" max="273" width="7.125" style="2156" customWidth="1"/>
    <col min="274" max="512" width="9" style="2156"/>
    <col min="513" max="513" width="21.375" style="2156" customWidth="1"/>
    <col min="514" max="514" width="6.375" style="2156" customWidth="1"/>
    <col min="515" max="529" width="7.125" style="2156" customWidth="1"/>
    <col min="530" max="768" width="9" style="2156"/>
    <col min="769" max="769" width="21.375" style="2156" customWidth="1"/>
    <col min="770" max="770" width="6.375" style="2156" customWidth="1"/>
    <col min="771" max="785" width="7.125" style="2156" customWidth="1"/>
    <col min="786" max="1024" width="9" style="2156"/>
    <col min="1025" max="1025" width="21.375" style="2156" customWidth="1"/>
    <col min="1026" max="1026" width="6.375" style="2156" customWidth="1"/>
    <col min="1027" max="1041" width="7.125" style="2156" customWidth="1"/>
    <col min="1042" max="1280" width="9" style="2156"/>
    <col min="1281" max="1281" width="21.375" style="2156" customWidth="1"/>
    <col min="1282" max="1282" width="6.375" style="2156" customWidth="1"/>
    <col min="1283" max="1297" width="7.125" style="2156" customWidth="1"/>
    <col min="1298" max="1536" width="9" style="2156"/>
    <col min="1537" max="1537" width="21.375" style="2156" customWidth="1"/>
    <col min="1538" max="1538" width="6.375" style="2156" customWidth="1"/>
    <col min="1539" max="1553" width="7.125" style="2156" customWidth="1"/>
    <col min="1554" max="1792" width="9" style="2156"/>
    <col min="1793" max="1793" width="21.375" style="2156" customWidth="1"/>
    <col min="1794" max="1794" width="6.375" style="2156" customWidth="1"/>
    <col min="1795" max="1809" width="7.125" style="2156" customWidth="1"/>
    <col min="1810" max="2048" width="9" style="2156"/>
    <col min="2049" max="2049" width="21.375" style="2156" customWidth="1"/>
    <col min="2050" max="2050" width="6.375" style="2156" customWidth="1"/>
    <col min="2051" max="2065" width="7.125" style="2156" customWidth="1"/>
    <col min="2066" max="2304" width="9" style="2156"/>
    <col min="2305" max="2305" width="21.375" style="2156" customWidth="1"/>
    <col min="2306" max="2306" width="6.375" style="2156" customWidth="1"/>
    <col min="2307" max="2321" width="7.125" style="2156" customWidth="1"/>
    <col min="2322" max="2560" width="9" style="2156"/>
    <col min="2561" max="2561" width="21.375" style="2156" customWidth="1"/>
    <col min="2562" max="2562" width="6.375" style="2156" customWidth="1"/>
    <col min="2563" max="2577" width="7.125" style="2156" customWidth="1"/>
    <col min="2578" max="2816" width="9" style="2156"/>
    <col min="2817" max="2817" width="21.375" style="2156" customWidth="1"/>
    <col min="2818" max="2818" width="6.375" style="2156" customWidth="1"/>
    <col min="2819" max="2833" width="7.125" style="2156" customWidth="1"/>
    <col min="2834" max="3072" width="9" style="2156"/>
    <col min="3073" max="3073" width="21.375" style="2156" customWidth="1"/>
    <col min="3074" max="3074" width="6.375" style="2156" customWidth="1"/>
    <col min="3075" max="3089" width="7.125" style="2156" customWidth="1"/>
    <col min="3090" max="3328" width="9" style="2156"/>
    <col min="3329" max="3329" width="21.375" style="2156" customWidth="1"/>
    <col min="3330" max="3330" width="6.375" style="2156" customWidth="1"/>
    <col min="3331" max="3345" width="7.125" style="2156" customWidth="1"/>
    <col min="3346" max="3584" width="9" style="2156"/>
    <col min="3585" max="3585" width="21.375" style="2156" customWidth="1"/>
    <col min="3586" max="3586" width="6.375" style="2156" customWidth="1"/>
    <col min="3587" max="3601" width="7.125" style="2156" customWidth="1"/>
    <col min="3602" max="3840" width="9" style="2156"/>
    <col min="3841" max="3841" width="21.375" style="2156" customWidth="1"/>
    <col min="3842" max="3842" width="6.375" style="2156" customWidth="1"/>
    <col min="3843" max="3857" width="7.125" style="2156" customWidth="1"/>
    <col min="3858" max="4096" width="9" style="2156"/>
    <col min="4097" max="4097" width="21.375" style="2156" customWidth="1"/>
    <col min="4098" max="4098" width="6.375" style="2156" customWidth="1"/>
    <col min="4099" max="4113" width="7.125" style="2156" customWidth="1"/>
    <col min="4114" max="4352" width="9" style="2156"/>
    <col min="4353" max="4353" width="21.375" style="2156" customWidth="1"/>
    <col min="4354" max="4354" width="6.375" style="2156" customWidth="1"/>
    <col min="4355" max="4369" width="7.125" style="2156" customWidth="1"/>
    <col min="4370" max="4608" width="9" style="2156"/>
    <col min="4609" max="4609" width="21.375" style="2156" customWidth="1"/>
    <col min="4610" max="4610" width="6.375" style="2156" customWidth="1"/>
    <col min="4611" max="4625" width="7.125" style="2156" customWidth="1"/>
    <col min="4626" max="4864" width="9" style="2156"/>
    <col min="4865" max="4865" width="21.375" style="2156" customWidth="1"/>
    <col min="4866" max="4866" width="6.375" style="2156" customWidth="1"/>
    <col min="4867" max="4881" width="7.125" style="2156" customWidth="1"/>
    <col min="4882" max="5120" width="9" style="2156"/>
    <col min="5121" max="5121" width="21.375" style="2156" customWidth="1"/>
    <col min="5122" max="5122" width="6.375" style="2156" customWidth="1"/>
    <col min="5123" max="5137" width="7.125" style="2156" customWidth="1"/>
    <col min="5138" max="5376" width="9" style="2156"/>
    <col min="5377" max="5377" width="21.375" style="2156" customWidth="1"/>
    <col min="5378" max="5378" width="6.375" style="2156" customWidth="1"/>
    <col min="5379" max="5393" width="7.125" style="2156" customWidth="1"/>
    <col min="5394" max="5632" width="9" style="2156"/>
    <col min="5633" max="5633" width="21.375" style="2156" customWidth="1"/>
    <col min="5634" max="5634" width="6.375" style="2156" customWidth="1"/>
    <col min="5635" max="5649" width="7.125" style="2156" customWidth="1"/>
    <col min="5650" max="5888" width="9" style="2156"/>
    <col min="5889" max="5889" width="21.375" style="2156" customWidth="1"/>
    <col min="5890" max="5890" width="6.375" style="2156" customWidth="1"/>
    <col min="5891" max="5905" width="7.125" style="2156" customWidth="1"/>
    <col min="5906" max="6144" width="9" style="2156"/>
    <col min="6145" max="6145" width="21.375" style="2156" customWidth="1"/>
    <col min="6146" max="6146" width="6.375" style="2156" customWidth="1"/>
    <col min="6147" max="6161" width="7.125" style="2156" customWidth="1"/>
    <col min="6162" max="6400" width="9" style="2156"/>
    <col min="6401" max="6401" width="21.375" style="2156" customWidth="1"/>
    <col min="6402" max="6402" width="6.375" style="2156" customWidth="1"/>
    <col min="6403" max="6417" width="7.125" style="2156" customWidth="1"/>
    <col min="6418" max="6656" width="9" style="2156"/>
    <col min="6657" max="6657" width="21.375" style="2156" customWidth="1"/>
    <col min="6658" max="6658" width="6.375" style="2156" customWidth="1"/>
    <col min="6659" max="6673" width="7.125" style="2156" customWidth="1"/>
    <col min="6674" max="6912" width="9" style="2156"/>
    <col min="6913" max="6913" width="21.375" style="2156" customWidth="1"/>
    <col min="6914" max="6914" width="6.375" style="2156" customWidth="1"/>
    <col min="6915" max="6929" width="7.125" style="2156" customWidth="1"/>
    <col min="6930" max="7168" width="9" style="2156"/>
    <col min="7169" max="7169" width="21.375" style="2156" customWidth="1"/>
    <col min="7170" max="7170" width="6.375" style="2156" customWidth="1"/>
    <col min="7171" max="7185" width="7.125" style="2156" customWidth="1"/>
    <col min="7186" max="7424" width="9" style="2156"/>
    <col min="7425" max="7425" width="21.375" style="2156" customWidth="1"/>
    <col min="7426" max="7426" width="6.375" style="2156" customWidth="1"/>
    <col min="7427" max="7441" width="7.125" style="2156" customWidth="1"/>
    <col min="7442" max="7680" width="9" style="2156"/>
    <col min="7681" max="7681" width="21.375" style="2156" customWidth="1"/>
    <col min="7682" max="7682" width="6.375" style="2156" customWidth="1"/>
    <col min="7683" max="7697" width="7.125" style="2156" customWidth="1"/>
    <col min="7698" max="7936" width="9" style="2156"/>
    <col min="7937" max="7937" width="21.375" style="2156" customWidth="1"/>
    <col min="7938" max="7938" width="6.375" style="2156" customWidth="1"/>
    <col min="7939" max="7953" width="7.125" style="2156" customWidth="1"/>
    <col min="7954" max="8192" width="9" style="2156"/>
    <col min="8193" max="8193" width="21.375" style="2156" customWidth="1"/>
    <col min="8194" max="8194" width="6.375" style="2156" customWidth="1"/>
    <col min="8195" max="8209" width="7.125" style="2156" customWidth="1"/>
    <col min="8210" max="8448" width="9" style="2156"/>
    <col min="8449" max="8449" width="21.375" style="2156" customWidth="1"/>
    <col min="8450" max="8450" width="6.375" style="2156" customWidth="1"/>
    <col min="8451" max="8465" width="7.125" style="2156" customWidth="1"/>
    <col min="8466" max="8704" width="9" style="2156"/>
    <col min="8705" max="8705" width="21.375" style="2156" customWidth="1"/>
    <col min="8706" max="8706" width="6.375" style="2156" customWidth="1"/>
    <col min="8707" max="8721" width="7.125" style="2156" customWidth="1"/>
    <col min="8722" max="8960" width="9" style="2156"/>
    <col min="8961" max="8961" width="21.375" style="2156" customWidth="1"/>
    <col min="8962" max="8962" width="6.375" style="2156" customWidth="1"/>
    <col min="8963" max="8977" width="7.125" style="2156" customWidth="1"/>
    <col min="8978" max="9216" width="9" style="2156"/>
    <col min="9217" max="9217" width="21.375" style="2156" customWidth="1"/>
    <col min="9218" max="9218" width="6.375" style="2156" customWidth="1"/>
    <col min="9219" max="9233" width="7.125" style="2156" customWidth="1"/>
    <col min="9234" max="9472" width="9" style="2156"/>
    <col min="9473" max="9473" width="21.375" style="2156" customWidth="1"/>
    <col min="9474" max="9474" width="6.375" style="2156" customWidth="1"/>
    <col min="9475" max="9489" width="7.125" style="2156" customWidth="1"/>
    <col min="9490" max="9728" width="9" style="2156"/>
    <col min="9729" max="9729" width="21.375" style="2156" customWidth="1"/>
    <col min="9730" max="9730" width="6.375" style="2156" customWidth="1"/>
    <col min="9731" max="9745" width="7.125" style="2156" customWidth="1"/>
    <col min="9746" max="9984" width="9" style="2156"/>
    <col min="9985" max="9985" width="21.375" style="2156" customWidth="1"/>
    <col min="9986" max="9986" width="6.375" style="2156" customWidth="1"/>
    <col min="9987" max="10001" width="7.125" style="2156" customWidth="1"/>
    <col min="10002" max="10240" width="9" style="2156"/>
    <col min="10241" max="10241" width="21.375" style="2156" customWidth="1"/>
    <col min="10242" max="10242" width="6.375" style="2156" customWidth="1"/>
    <col min="10243" max="10257" width="7.125" style="2156" customWidth="1"/>
    <col min="10258" max="10496" width="9" style="2156"/>
    <col min="10497" max="10497" width="21.375" style="2156" customWidth="1"/>
    <col min="10498" max="10498" width="6.375" style="2156" customWidth="1"/>
    <col min="10499" max="10513" width="7.125" style="2156" customWidth="1"/>
    <col min="10514" max="10752" width="9" style="2156"/>
    <col min="10753" max="10753" width="21.375" style="2156" customWidth="1"/>
    <col min="10754" max="10754" width="6.375" style="2156" customWidth="1"/>
    <col min="10755" max="10769" width="7.125" style="2156" customWidth="1"/>
    <col min="10770" max="11008" width="9" style="2156"/>
    <col min="11009" max="11009" width="21.375" style="2156" customWidth="1"/>
    <col min="11010" max="11010" width="6.375" style="2156" customWidth="1"/>
    <col min="11011" max="11025" width="7.125" style="2156" customWidth="1"/>
    <col min="11026" max="11264" width="9" style="2156"/>
    <col min="11265" max="11265" width="21.375" style="2156" customWidth="1"/>
    <col min="11266" max="11266" width="6.375" style="2156" customWidth="1"/>
    <col min="11267" max="11281" width="7.125" style="2156" customWidth="1"/>
    <col min="11282" max="11520" width="9" style="2156"/>
    <col min="11521" max="11521" width="21.375" style="2156" customWidth="1"/>
    <col min="11522" max="11522" width="6.375" style="2156" customWidth="1"/>
    <col min="11523" max="11537" width="7.125" style="2156" customWidth="1"/>
    <col min="11538" max="11776" width="9" style="2156"/>
    <col min="11777" max="11777" width="21.375" style="2156" customWidth="1"/>
    <col min="11778" max="11778" width="6.375" style="2156" customWidth="1"/>
    <col min="11779" max="11793" width="7.125" style="2156" customWidth="1"/>
    <col min="11794" max="12032" width="9" style="2156"/>
    <col min="12033" max="12033" width="21.375" style="2156" customWidth="1"/>
    <col min="12034" max="12034" width="6.375" style="2156" customWidth="1"/>
    <col min="12035" max="12049" width="7.125" style="2156" customWidth="1"/>
    <col min="12050" max="12288" width="9" style="2156"/>
    <col min="12289" max="12289" width="21.375" style="2156" customWidth="1"/>
    <col min="12290" max="12290" width="6.375" style="2156" customWidth="1"/>
    <col min="12291" max="12305" width="7.125" style="2156" customWidth="1"/>
    <col min="12306" max="12544" width="9" style="2156"/>
    <col min="12545" max="12545" width="21.375" style="2156" customWidth="1"/>
    <col min="12546" max="12546" width="6.375" style="2156" customWidth="1"/>
    <col min="12547" max="12561" width="7.125" style="2156" customWidth="1"/>
    <col min="12562" max="12800" width="9" style="2156"/>
    <col min="12801" max="12801" width="21.375" style="2156" customWidth="1"/>
    <col min="12802" max="12802" width="6.375" style="2156" customWidth="1"/>
    <col min="12803" max="12817" width="7.125" style="2156" customWidth="1"/>
    <col min="12818" max="13056" width="9" style="2156"/>
    <col min="13057" max="13057" width="21.375" style="2156" customWidth="1"/>
    <col min="13058" max="13058" width="6.375" style="2156" customWidth="1"/>
    <col min="13059" max="13073" width="7.125" style="2156" customWidth="1"/>
    <col min="13074" max="13312" width="9" style="2156"/>
    <col min="13313" max="13313" width="21.375" style="2156" customWidth="1"/>
    <col min="13314" max="13314" width="6.375" style="2156" customWidth="1"/>
    <col min="13315" max="13329" width="7.125" style="2156" customWidth="1"/>
    <col min="13330" max="13568" width="9" style="2156"/>
    <col min="13569" max="13569" width="21.375" style="2156" customWidth="1"/>
    <col min="13570" max="13570" width="6.375" style="2156" customWidth="1"/>
    <col min="13571" max="13585" width="7.125" style="2156" customWidth="1"/>
    <col min="13586" max="13824" width="9" style="2156"/>
    <col min="13825" max="13825" width="21.375" style="2156" customWidth="1"/>
    <col min="13826" max="13826" width="6.375" style="2156" customWidth="1"/>
    <col min="13827" max="13841" width="7.125" style="2156" customWidth="1"/>
    <col min="13842" max="14080" width="9" style="2156"/>
    <col min="14081" max="14081" width="21.375" style="2156" customWidth="1"/>
    <col min="14082" max="14082" width="6.375" style="2156" customWidth="1"/>
    <col min="14083" max="14097" width="7.125" style="2156" customWidth="1"/>
    <col min="14098" max="14336" width="9" style="2156"/>
    <col min="14337" max="14337" width="21.375" style="2156" customWidth="1"/>
    <col min="14338" max="14338" width="6.375" style="2156" customWidth="1"/>
    <col min="14339" max="14353" width="7.125" style="2156" customWidth="1"/>
    <col min="14354" max="14592" width="9" style="2156"/>
    <col min="14593" max="14593" width="21.375" style="2156" customWidth="1"/>
    <col min="14594" max="14594" width="6.375" style="2156" customWidth="1"/>
    <col min="14595" max="14609" width="7.125" style="2156" customWidth="1"/>
    <col min="14610" max="14848" width="9" style="2156"/>
    <col min="14849" max="14849" width="21.375" style="2156" customWidth="1"/>
    <col min="14850" max="14850" width="6.375" style="2156" customWidth="1"/>
    <col min="14851" max="14865" width="7.125" style="2156" customWidth="1"/>
    <col min="14866" max="15104" width="9" style="2156"/>
    <col min="15105" max="15105" width="21.375" style="2156" customWidth="1"/>
    <col min="15106" max="15106" width="6.375" style="2156" customWidth="1"/>
    <col min="15107" max="15121" width="7.125" style="2156" customWidth="1"/>
    <col min="15122" max="15360" width="9" style="2156"/>
    <col min="15361" max="15361" width="21.375" style="2156" customWidth="1"/>
    <col min="15362" max="15362" width="6.375" style="2156" customWidth="1"/>
    <col min="15363" max="15377" width="7.125" style="2156" customWidth="1"/>
    <col min="15378" max="15616" width="9" style="2156"/>
    <col min="15617" max="15617" width="21.375" style="2156" customWidth="1"/>
    <col min="15618" max="15618" width="6.375" style="2156" customWidth="1"/>
    <col min="15619" max="15633" width="7.125" style="2156" customWidth="1"/>
    <col min="15634" max="15872" width="9" style="2156"/>
    <col min="15873" max="15873" width="21.375" style="2156" customWidth="1"/>
    <col min="15874" max="15874" width="6.375" style="2156" customWidth="1"/>
    <col min="15875" max="15889" width="7.125" style="2156" customWidth="1"/>
    <col min="15890" max="16128" width="9" style="2156"/>
    <col min="16129" max="16129" width="21.375" style="2156" customWidth="1"/>
    <col min="16130" max="16130" width="6.375" style="2156" customWidth="1"/>
    <col min="16131" max="16145" width="7.125" style="2156" customWidth="1"/>
    <col min="16146" max="16384" width="9" style="2156"/>
  </cols>
  <sheetData>
    <row r="1" spans="1:56" s="2153" customFormat="1" ht="25.35" customHeight="1">
      <c r="A1" s="3895" t="s">
        <v>3329</v>
      </c>
      <c r="B1" s="3895"/>
      <c r="C1" s="3895"/>
      <c r="D1" s="3895"/>
      <c r="E1" s="3895"/>
      <c r="F1" s="3895"/>
      <c r="G1" s="3895"/>
      <c r="H1" s="3895"/>
      <c r="I1" s="3895"/>
      <c r="J1" s="3895"/>
      <c r="K1" s="3895"/>
      <c r="L1" s="3895"/>
      <c r="M1" s="3895"/>
      <c r="N1" s="3895"/>
      <c r="O1" s="3896"/>
      <c r="P1" s="3896"/>
      <c r="Q1" s="3896"/>
    </row>
    <row r="2" spans="1:56" ht="36.6" customHeight="1">
      <c r="A2" s="3903"/>
      <c r="B2" s="3903"/>
      <c r="C2" s="3905" t="s">
        <v>3198</v>
      </c>
      <c r="D2" s="3905"/>
      <c r="E2" s="3905"/>
      <c r="F2" s="3907" t="s">
        <v>3330</v>
      </c>
      <c r="G2" s="3905"/>
      <c r="H2" s="3905"/>
      <c r="I2" s="3907" t="s">
        <v>3200</v>
      </c>
      <c r="J2" s="3905"/>
      <c r="K2" s="3905"/>
      <c r="L2" s="3907" t="s">
        <v>3201</v>
      </c>
      <c r="M2" s="3905"/>
      <c r="N2" s="3905"/>
      <c r="O2" s="3907" t="s">
        <v>3202</v>
      </c>
      <c r="P2" s="3905"/>
      <c r="Q2" s="3905"/>
    </row>
    <row r="3" spans="1:56" ht="37.35" customHeight="1">
      <c r="A3" s="3904"/>
      <c r="B3" s="3904"/>
      <c r="C3" s="2175" t="s">
        <v>3219</v>
      </c>
      <c r="D3" s="2176" t="s">
        <v>3220</v>
      </c>
      <c r="E3" s="2176" t="s">
        <v>3221</v>
      </c>
      <c r="F3" s="2176" t="s">
        <v>3331</v>
      </c>
      <c r="G3" s="2176" t="s">
        <v>3220</v>
      </c>
      <c r="H3" s="2176" t="s">
        <v>3221</v>
      </c>
      <c r="I3" s="2176" t="s">
        <v>3331</v>
      </c>
      <c r="J3" s="2176" t="s">
        <v>3236</v>
      </c>
      <c r="K3" s="2176" t="s">
        <v>3289</v>
      </c>
      <c r="L3" s="2176" t="s">
        <v>3219</v>
      </c>
      <c r="M3" s="2176" t="s">
        <v>3220</v>
      </c>
      <c r="N3" s="2176" t="s">
        <v>3221</v>
      </c>
      <c r="O3" s="2176" t="s">
        <v>3219</v>
      </c>
      <c r="P3" s="2176" t="s">
        <v>3220</v>
      </c>
      <c r="Q3" s="2176" t="s">
        <v>3221</v>
      </c>
    </row>
    <row r="4" spans="1:56" ht="42" customHeight="1">
      <c r="A4" s="3899" t="s">
        <v>3160</v>
      </c>
      <c r="B4" s="2160" t="s">
        <v>3223</v>
      </c>
      <c r="C4" s="2188">
        <f t="shared" ref="C4:Q5" si="0">SUM(C6,C8,C10)</f>
        <v>825</v>
      </c>
      <c r="D4" s="2188">
        <f t="shared" si="0"/>
        <v>724</v>
      </c>
      <c r="E4" s="2188">
        <f t="shared" si="0"/>
        <v>101</v>
      </c>
      <c r="F4" s="2188">
        <f t="shared" si="0"/>
        <v>833</v>
      </c>
      <c r="G4" s="2188">
        <f t="shared" si="0"/>
        <v>709</v>
      </c>
      <c r="H4" s="2188">
        <f t="shared" si="0"/>
        <v>124</v>
      </c>
      <c r="I4" s="2188">
        <f t="shared" si="0"/>
        <v>738</v>
      </c>
      <c r="J4" s="2188">
        <f t="shared" si="0"/>
        <v>636</v>
      </c>
      <c r="K4" s="2188">
        <f t="shared" si="0"/>
        <v>102</v>
      </c>
      <c r="L4" s="2188">
        <f t="shared" si="0"/>
        <v>475</v>
      </c>
      <c r="M4" s="2188">
        <f t="shared" si="0"/>
        <v>420</v>
      </c>
      <c r="N4" s="2188">
        <f t="shared" si="0"/>
        <v>55</v>
      </c>
      <c r="O4" s="2188">
        <f t="shared" si="0"/>
        <v>473</v>
      </c>
      <c r="P4" s="2188">
        <f t="shared" si="0"/>
        <v>402</v>
      </c>
      <c r="Q4" s="2189">
        <f t="shared" si="0"/>
        <v>71</v>
      </c>
    </row>
    <row r="5" spans="1:56" ht="42" customHeight="1">
      <c r="A5" s="3899"/>
      <c r="B5" s="2160" t="s">
        <v>0</v>
      </c>
      <c r="C5" s="2190">
        <f t="shared" si="0"/>
        <v>99.999999999999986</v>
      </c>
      <c r="D5" s="2190">
        <f t="shared" si="0"/>
        <v>100</v>
      </c>
      <c r="E5" s="2190">
        <f t="shared" si="0"/>
        <v>100</v>
      </c>
      <c r="F5" s="2190">
        <f t="shared" si="0"/>
        <v>99.999999999999986</v>
      </c>
      <c r="G5" s="2190">
        <f t="shared" si="0"/>
        <v>100</v>
      </c>
      <c r="H5" s="2190">
        <f t="shared" si="0"/>
        <v>100</v>
      </c>
      <c r="I5" s="2190">
        <f t="shared" si="0"/>
        <v>100.00000000000001</v>
      </c>
      <c r="J5" s="2190">
        <f t="shared" si="0"/>
        <v>100</v>
      </c>
      <c r="K5" s="2190">
        <f t="shared" si="0"/>
        <v>100.00000000000001</v>
      </c>
      <c r="L5" s="2190">
        <f t="shared" si="0"/>
        <v>100</v>
      </c>
      <c r="M5" s="2190">
        <f t="shared" si="0"/>
        <v>100</v>
      </c>
      <c r="N5" s="2190">
        <f t="shared" si="0"/>
        <v>100</v>
      </c>
      <c r="O5" s="2190">
        <f t="shared" si="0"/>
        <v>100</v>
      </c>
      <c r="P5" s="2190">
        <f t="shared" si="0"/>
        <v>100</v>
      </c>
      <c r="Q5" s="2191">
        <f t="shared" si="0"/>
        <v>100</v>
      </c>
    </row>
    <row r="6" spans="1:56" ht="42" customHeight="1">
      <c r="A6" s="3899" t="s">
        <v>3332</v>
      </c>
      <c r="B6" s="2160" t="s">
        <v>3223</v>
      </c>
      <c r="C6" s="2188">
        <v>131</v>
      </c>
      <c r="D6" s="2188">
        <v>111</v>
      </c>
      <c r="E6" s="2188">
        <v>20</v>
      </c>
      <c r="F6" s="2188">
        <v>115</v>
      </c>
      <c r="G6" s="2188">
        <v>95</v>
      </c>
      <c r="H6" s="2188">
        <v>20</v>
      </c>
      <c r="I6" s="2188">
        <v>161</v>
      </c>
      <c r="J6" s="2188">
        <v>132</v>
      </c>
      <c r="K6" s="2188">
        <v>29</v>
      </c>
      <c r="L6" s="2188">
        <v>72</v>
      </c>
      <c r="M6" s="2188">
        <v>58</v>
      </c>
      <c r="N6" s="2188">
        <v>14</v>
      </c>
      <c r="O6" s="2188">
        <v>90</v>
      </c>
      <c r="P6" s="2188">
        <v>73</v>
      </c>
      <c r="Q6" s="2193">
        <v>17</v>
      </c>
    </row>
    <row r="7" spans="1:56" ht="51.6" customHeight="1">
      <c r="A7" s="3899"/>
      <c r="B7" s="2160" t="s">
        <v>0</v>
      </c>
      <c r="C7" s="2191">
        <v>15.878787878787879</v>
      </c>
      <c r="D7" s="2191">
        <v>15.331491712707182</v>
      </c>
      <c r="E7" s="2191">
        <v>19.801980198019802</v>
      </c>
      <c r="F7" s="2191">
        <v>13.805522208883552</v>
      </c>
      <c r="G7" s="2191">
        <v>13.399153737658676</v>
      </c>
      <c r="H7" s="2191">
        <v>16.129032258064516</v>
      </c>
      <c r="I7" s="2191">
        <v>21.815718157181571</v>
      </c>
      <c r="J7" s="2191">
        <v>20.754716981132077</v>
      </c>
      <c r="K7" s="2191">
        <v>28.431372549019606</v>
      </c>
      <c r="L7" s="2191">
        <v>15.157894736842106</v>
      </c>
      <c r="M7" s="2191">
        <v>13.80952380952381</v>
      </c>
      <c r="N7" s="2191">
        <v>25.454545454545453</v>
      </c>
      <c r="O7" s="2191">
        <v>19.027484143763214</v>
      </c>
      <c r="P7" s="2191">
        <v>18.159203980099502</v>
      </c>
      <c r="Q7" s="2191">
        <v>23.943661971830984</v>
      </c>
    </row>
    <row r="8" spans="1:56" ht="54.6" customHeight="1">
      <c r="A8" s="3899" t="s">
        <v>3333</v>
      </c>
      <c r="B8" s="2160" t="s">
        <v>3223</v>
      </c>
      <c r="C8" s="2188">
        <v>690</v>
      </c>
      <c r="D8" s="2188">
        <v>611</v>
      </c>
      <c r="E8" s="2188">
        <v>79</v>
      </c>
      <c r="F8" s="2188">
        <v>716</v>
      </c>
      <c r="G8" s="2188">
        <v>613</v>
      </c>
      <c r="H8" s="2188">
        <v>103</v>
      </c>
      <c r="I8" s="2188">
        <v>563</v>
      </c>
      <c r="J8" s="2188">
        <v>491</v>
      </c>
      <c r="K8" s="2188">
        <v>72</v>
      </c>
      <c r="L8" s="2188">
        <v>399</v>
      </c>
      <c r="M8" s="2188">
        <v>360</v>
      </c>
      <c r="N8" s="2188">
        <v>39</v>
      </c>
      <c r="O8" s="2188">
        <v>376</v>
      </c>
      <c r="P8" s="2188">
        <v>322</v>
      </c>
      <c r="Q8" s="2193">
        <v>54</v>
      </c>
    </row>
    <row r="9" spans="1:56" ht="48.6" customHeight="1">
      <c r="A9" s="3899"/>
      <c r="B9" s="2160" t="s">
        <v>0</v>
      </c>
      <c r="C9" s="2191">
        <v>83.636363636363626</v>
      </c>
      <c r="D9" s="2191">
        <v>84.392265193370164</v>
      </c>
      <c r="E9" s="2191">
        <v>78.21782178217822</v>
      </c>
      <c r="F9" s="2191">
        <v>85.954381752701082</v>
      </c>
      <c r="G9" s="2191">
        <v>86.459802538787017</v>
      </c>
      <c r="H9" s="2191">
        <v>83.064516129032256</v>
      </c>
      <c r="I9" s="2191">
        <v>76.28726287262873</v>
      </c>
      <c r="J9" s="2191">
        <v>77.201257861635213</v>
      </c>
      <c r="K9" s="2191">
        <v>70.588235294117652</v>
      </c>
      <c r="L9" s="2191">
        <v>84</v>
      </c>
      <c r="M9" s="2191">
        <v>85.714285714285708</v>
      </c>
      <c r="N9" s="2191">
        <v>70.909090909090907</v>
      </c>
      <c r="O9" s="2191">
        <v>79.492600422832979</v>
      </c>
      <c r="P9" s="2191">
        <v>80.099502487562191</v>
      </c>
      <c r="Q9" s="2191">
        <v>76.056338028169009</v>
      </c>
    </row>
    <row r="10" spans="1:56" ht="42" customHeight="1">
      <c r="A10" s="3899" t="s">
        <v>3334</v>
      </c>
      <c r="B10" s="2160" t="s">
        <v>3223</v>
      </c>
      <c r="C10" s="2188">
        <v>4</v>
      </c>
      <c r="D10" s="2188">
        <v>2</v>
      </c>
      <c r="E10" s="2188">
        <v>2</v>
      </c>
      <c r="F10" s="2188">
        <v>2</v>
      </c>
      <c r="G10" s="2188">
        <v>1</v>
      </c>
      <c r="H10" s="2188">
        <v>1</v>
      </c>
      <c r="I10" s="2188">
        <v>14</v>
      </c>
      <c r="J10" s="2188">
        <v>13</v>
      </c>
      <c r="K10" s="2188">
        <v>1</v>
      </c>
      <c r="L10" s="2188">
        <v>4</v>
      </c>
      <c r="M10" s="2188">
        <v>2</v>
      </c>
      <c r="N10" s="2188">
        <v>2</v>
      </c>
      <c r="O10" s="2188">
        <v>7</v>
      </c>
      <c r="P10" s="2188">
        <v>7</v>
      </c>
      <c r="Q10" s="2193">
        <v>0</v>
      </c>
    </row>
    <row r="11" spans="1:56" ht="42" customHeight="1">
      <c r="A11" s="3904"/>
      <c r="B11" s="2165" t="s">
        <v>0</v>
      </c>
      <c r="C11" s="2195">
        <v>0.48484848484848486</v>
      </c>
      <c r="D11" s="2195">
        <v>0.27624309392265189</v>
      </c>
      <c r="E11" s="2195">
        <v>1.9801980198019802</v>
      </c>
      <c r="F11" s="2195">
        <v>0.24009603841536614</v>
      </c>
      <c r="G11" s="2195">
        <v>0.14104372355430184</v>
      </c>
      <c r="H11" s="2195">
        <v>0.80645161290322576</v>
      </c>
      <c r="I11" s="2195">
        <v>1.8970189701897018</v>
      </c>
      <c r="J11" s="2195">
        <v>2.0440251572327042</v>
      </c>
      <c r="K11" s="2195">
        <v>0.98039215686274506</v>
      </c>
      <c r="L11" s="2195">
        <v>0.84210526315789469</v>
      </c>
      <c r="M11" s="2195">
        <v>0.47619047619047622</v>
      </c>
      <c r="N11" s="2195">
        <v>3.6363636363636362</v>
      </c>
      <c r="O11" s="2195">
        <v>1.4799154334038054</v>
      </c>
      <c r="P11" s="2195">
        <v>1.7412935323383085</v>
      </c>
      <c r="Q11" s="2195">
        <v>0</v>
      </c>
    </row>
    <row r="12" spans="1:56" s="2170" customFormat="1" ht="14.25">
      <c r="A12" s="2170" t="s">
        <v>997</v>
      </c>
      <c r="B12" s="2211"/>
      <c r="C12" s="2204"/>
      <c r="D12" s="2204"/>
      <c r="E12" s="2204"/>
      <c r="F12" s="2167"/>
    </row>
    <row r="13" spans="1:56">
      <c r="B13" s="2212"/>
      <c r="C13" s="2209"/>
      <c r="D13" s="2209"/>
      <c r="E13" s="2209"/>
      <c r="F13" s="2212"/>
      <c r="G13" s="2212"/>
      <c r="H13" s="2212"/>
      <c r="L13" s="2212"/>
      <c r="M13" s="2212"/>
      <c r="N13" s="2212"/>
      <c r="O13" s="2212"/>
      <c r="P13" s="2212"/>
      <c r="Q13" s="2212"/>
      <c r="R13" s="2212"/>
      <c r="S13" s="2212"/>
      <c r="T13" s="2212"/>
      <c r="U13" s="2212"/>
      <c r="V13" s="2212"/>
      <c r="W13" s="2212"/>
      <c r="X13" s="2212"/>
      <c r="Y13" s="2212"/>
      <c r="Z13" s="2212"/>
      <c r="AA13" s="2212"/>
      <c r="AB13" s="2212"/>
      <c r="AC13" s="2212"/>
      <c r="AD13" s="2212"/>
      <c r="AE13" s="2212"/>
      <c r="AF13" s="2212"/>
      <c r="AG13" s="2212"/>
      <c r="AH13" s="2212"/>
      <c r="AI13" s="2212"/>
      <c r="AJ13" s="2212"/>
      <c r="AK13" s="2212"/>
      <c r="AL13" s="2212"/>
      <c r="AM13" s="2212"/>
      <c r="AN13" s="2212"/>
      <c r="AO13" s="2212"/>
      <c r="AP13" s="2212"/>
      <c r="AQ13" s="2212"/>
      <c r="AR13" s="2212"/>
      <c r="AS13" s="2212"/>
      <c r="AT13" s="2212"/>
      <c r="AU13" s="2212"/>
      <c r="AV13" s="2212"/>
      <c r="AW13" s="2212"/>
      <c r="AX13" s="2212"/>
      <c r="AY13" s="2212"/>
      <c r="AZ13" s="2212"/>
      <c r="BA13" s="2212"/>
      <c r="BB13" s="2212"/>
      <c r="BC13" s="2212"/>
      <c r="BD13" s="2212"/>
    </row>
    <row r="14" spans="1:56">
      <c r="A14" s="2192"/>
      <c r="B14" s="2213"/>
      <c r="C14" s="2207"/>
      <c r="D14" s="2207"/>
      <c r="E14" s="2207"/>
      <c r="F14" s="2192"/>
    </row>
    <row r="15" spans="1:56">
      <c r="A15" s="2208"/>
      <c r="B15" s="2213"/>
      <c r="C15" s="2209"/>
      <c r="D15" s="2209"/>
      <c r="E15" s="2209"/>
      <c r="F15" s="2192"/>
    </row>
    <row r="16" spans="1:56">
      <c r="A16" s="2210"/>
      <c r="B16" s="2214"/>
      <c r="C16" s="2192"/>
      <c r="D16" s="2192"/>
      <c r="E16" s="2192"/>
      <c r="F16" s="2192"/>
    </row>
    <row r="17" spans="1:6">
      <c r="A17" s="2192"/>
      <c r="B17" s="2213"/>
      <c r="C17" s="2192"/>
      <c r="D17" s="2192"/>
      <c r="E17" s="2192"/>
      <c r="F17" s="2192"/>
    </row>
    <row r="18" spans="1:6">
      <c r="A18" s="2208"/>
      <c r="B18" s="2213"/>
      <c r="C18" s="2192"/>
      <c r="D18" s="2192"/>
      <c r="E18" s="2192"/>
      <c r="F18" s="2192"/>
    </row>
    <row r="19" spans="1:6">
      <c r="A19" s="2210"/>
      <c r="B19" s="2214"/>
      <c r="C19" s="2192"/>
      <c r="D19" s="2192"/>
      <c r="E19" s="2192"/>
      <c r="F19" s="2192"/>
    </row>
    <row r="20" spans="1:6">
      <c r="A20" s="2192"/>
      <c r="B20" s="2213"/>
      <c r="C20" s="2192"/>
      <c r="D20" s="2192"/>
      <c r="E20" s="2192"/>
      <c r="F20" s="2192"/>
    </row>
    <row r="21" spans="1:6">
      <c r="A21" s="2208"/>
      <c r="B21" s="2213"/>
      <c r="C21" s="2192"/>
      <c r="D21" s="2192"/>
      <c r="E21" s="2192"/>
      <c r="F21" s="2192"/>
    </row>
    <row r="22" spans="1:6">
      <c r="A22" s="2210"/>
      <c r="B22" s="2214"/>
      <c r="C22" s="2192"/>
      <c r="D22" s="2192"/>
      <c r="E22" s="2192"/>
      <c r="F22" s="2192"/>
    </row>
    <row r="23" spans="1:6">
      <c r="A23" s="2192"/>
      <c r="B23" s="2213"/>
      <c r="C23" s="2192"/>
      <c r="D23" s="2192"/>
      <c r="E23" s="2192"/>
      <c r="F23" s="2192"/>
    </row>
    <row r="24" spans="1:6">
      <c r="A24" s="2208"/>
      <c r="B24" s="2213"/>
      <c r="C24" s="2192"/>
      <c r="D24" s="2192"/>
      <c r="E24" s="2192"/>
      <c r="F24" s="2192"/>
    </row>
    <row r="25" spans="1:6">
      <c r="A25" s="2210"/>
      <c r="B25" s="2214"/>
      <c r="C25" s="2192"/>
      <c r="D25" s="2192"/>
      <c r="E25" s="2192"/>
      <c r="F25" s="2192"/>
    </row>
    <row r="26" spans="1:6">
      <c r="A26" s="2192"/>
      <c r="B26" s="2213"/>
      <c r="C26" s="2192"/>
      <c r="D26" s="2192"/>
      <c r="E26" s="2192"/>
      <c r="F26" s="2192"/>
    </row>
    <row r="27" spans="1:6">
      <c r="A27" s="2208"/>
      <c r="B27" s="2213"/>
    </row>
    <row r="28" spans="1:6">
      <c r="A28" s="2210"/>
      <c r="B28" s="2214"/>
    </row>
    <row r="29" spans="1:6">
      <c r="A29" s="2192"/>
      <c r="B29" s="2192"/>
    </row>
    <row r="30" spans="1:6">
      <c r="A30" s="2192"/>
      <c r="B30" s="2192"/>
    </row>
  </sheetData>
  <mergeCells count="11">
    <mergeCell ref="A4:A5"/>
    <mergeCell ref="A6:A7"/>
    <mergeCell ref="A8:A9"/>
    <mergeCell ref="A10:A11"/>
    <mergeCell ref="A1:Q1"/>
    <mergeCell ref="A2:B3"/>
    <mergeCell ref="C2:E2"/>
    <mergeCell ref="F2:H2"/>
    <mergeCell ref="I2:K2"/>
    <mergeCell ref="L2:N2"/>
    <mergeCell ref="O2:Q2"/>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58"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V50"/>
  <sheetViews>
    <sheetView showGridLines="0" topLeftCell="A19" workbookViewId="0">
      <selection activeCell="B50" sqref="B50:F50"/>
    </sheetView>
  </sheetViews>
  <sheetFormatPr defaultColWidth="8.875" defaultRowHeight="15.75"/>
  <cols>
    <col min="1" max="1" width="5.625" style="28" customWidth="1"/>
    <col min="2" max="2" width="27.625" style="28" bestFit="1" customWidth="1"/>
    <col min="3" max="22" width="8.625" style="28" customWidth="1"/>
    <col min="23" max="16384" width="8.875" style="28"/>
  </cols>
  <sheetData>
    <row r="1" spans="1:22" ht="23.25" customHeight="1">
      <c r="A1" s="2911" t="s">
        <v>440</v>
      </c>
      <c r="B1" s="2911"/>
      <c r="C1" s="2911"/>
      <c r="D1" s="2911"/>
      <c r="E1" s="2911"/>
      <c r="F1" s="2911"/>
      <c r="G1" s="2911"/>
      <c r="H1" s="2911"/>
      <c r="I1" s="2911"/>
      <c r="J1" s="2911"/>
      <c r="K1" s="2911"/>
      <c r="L1" s="2911"/>
      <c r="M1" s="2911"/>
      <c r="N1" s="2911"/>
      <c r="O1" s="2911"/>
      <c r="P1" s="2911"/>
      <c r="Q1" s="2911"/>
      <c r="R1" s="2911"/>
      <c r="S1" s="2911"/>
      <c r="T1" s="2911"/>
      <c r="U1" s="2911"/>
      <c r="V1" s="2911"/>
    </row>
    <row r="2" spans="1:22">
      <c r="A2" s="2914"/>
      <c r="B2" s="2914"/>
      <c r="C2" s="2913" t="s">
        <v>305</v>
      </c>
      <c r="D2" s="2913"/>
      <c r="E2" s="2912" t="s">
        <v>306</v>
      </c>
      <c r="F2" s="2913"/>
      <c r="G2" s="2912" t="s">
        <v>307</v>
      </c>
      <c r="H2" s="2913"/>
      <c r="I2" s="2912" t="s">
        <v>308</v>
      </c>
      <c r="J2" s="2913"/>
      <c r="K2" s="2912" t="s">
        <v>309</v>
      </c>
      <c r="L2" s="2913"/>
      <c r="M2" s="2912" t="s">
        <v>12</v>
      </c>
      <c r="N2" s="2913"/>
      <c r="O2" s="2912" t="s">
        <v>13</v>
      </c>
      <c r="P2" s="2913"/>
      <c r="Q2" s="2909" t="s">
        <v>14</v>
      </c>
      <c r="R2" s="2910"/>
      <c r="S2" s="2909" t="s">
        <v>15</v>
      </c>
      <c r="T2" s="2910"/>
      <c r="U2" s="2909" t="s">
        <v>16</v>
      </c>
      <c r="V2" s="2910"/>
    </row>
    <row r="3" spans="1:22">
      <c r="A3" s="2915"/>
      <c r="B3" s="2915"/>
      <c r="C3" s="441" t="s">
        <v>441</v>
      </c>
      <c r="D3" s="442" t="s">
        <v>442</v>
      </c>
      <c r="E3" s="443" t="s">
        <v>441</v>
      </c>
      <c r="F3" s="443" t="s">
        <v>442</v>
      </c>
      <c r="G3" s="443" t="s">
        <v>441</v>
      </c>
      <c r="H3" s="443" t="s">
        <v>442</v>
      </c>
      <c r="I3" s="443" t="s">
        <v>441</v>
      </c>
      <c r="J3" s="443" t="s">
        <v>442</v>
      </c>
      <c r="K3" s="443" t="s">
        <v>441</v>
      </c>
      <c r="L3" s="443" t="s">
        <v>442</v>
      </c>
      <c r="M3" s="443" t="s">
        <v>441</v>
      </c>
      <c r="N3" s="443" t="s">
        <v>442</v>
      </c>
      <c r="O3" s="443" t="s">
        <v>441</v>
      </c>
      <c r="P3" s="443" t="s">
        <v>442</v>
      </c>
      <c r="Q3" s="443" t="s">
        <v>441</v>
      </c>
      <c r="R3" s="443" t="s">
        <v>442</v>
      </c>
      <c r="S3" s="443" t="s">
        <v>441</v>
      </c>
      <c r="T3" s="443" t="s">
        <v>442</v>
      </c>
      <c r="U3" s="443" t="s">
        <v>441</v>
      </c>
      <c r="V3" s="442" t="s">
        <v>442</v>
      </c>
    </row>
    <row r="4" spans="1:22">
      <c r="A4" s="2907" t="s">
        <v>310</v>
      </c>
      <c r="B4" s="352" t="s">
        <v>311</v>
      </c>
      <c r="C4" s="79">
        <v>19504</v>
      </c>
      <c r="D4" s="80">
        <v>20238</v>
      </c>
      <c r="E4" s="79">
        <v>17435</v>
      </c>
      <c r="F4" s="80">
        <v>18361</v>
      </c>
      <c r="G4" s="79">
        <v>15661</v>
      </c>
      <c r="H4" s="80">
        <v>16488</v>
      </c>
      <c r="I4" s="79">
        <v>12675</v>
      </c>
      <c r="J4" s="80">
        <v>13320</v>
      </c>
      <c r="K4" s="79">
        <v>11495</v>
      </c>
      <c r="L4" s="81">
        <v>12129</v>
      </c>
      <c r="M4" s="82">
        <v>13355</v>
      </c>
      <c r="N4" s="83">
        <v>14449</v>
      </c>
      <c r="O4" s="144">
        <v>13991</v>
      </c>
      <c r="P4" s="145">
        <v>14970</v>
      </c>
      <c r="Q4" s="144">
        <v>13905</v>
      </c>
      <c r="R4" s="145">
        <v>14905</v>
      </c>
      <c r="S4" s="144">
        <v>14278</v>
      </c>
      <c r="T4" s="145">
        <v>15261</v>
      </c>
      <c r="U4" s="315">
        <v>12791</v>
      </c>
      <c r="V4" s="316">
        <v>13132</v>
      </c>
    </row>
    <row r="5" spans="1:22">
      <c r="A5" s="2907"/>
      <c r="B5" s="86" t="s">
        <v>319</v>
      </c>
      <c r="C5" s="79"/>
      <c r="D5" s="80">
        <v>14434</v>
      </c>
      <c r="E5" s="79"/>
      <c r="F5" s="80">
        <v>12826</v>
      </c>
      <c r="G5" s="79"/>
      <c r="H5" s="80">
        <v>11574</v>
      </c>
      <c r="I5" s="79"/>
      <c r="J5" s="80">
        <v>9044</v>
      </c>
      <c r="K5" s="79"/>
      <c r="L5" s="81">
        <v>7886</v>
      </c>
      <c r="M5" s="87"/>
      <c r="N5" s="83">
        <v>8841</v>
      </c>
      <c r="O5" s="144"/>
      <c r="P5" s="145">
        <v>9234</v>
      </c>
      <c r="Q5" s="144"/>
      <c r="R5" s="145">
        <v>8879</v>
      </c>
      <c r="S5" s="144"/>
      <c r="T5" s="145">
        <v>9284</v>
      </c>
      <c r="U5" s="315"/>
      <c r="V5" s="316">
        <v>8071</v>
      </c>
    </row>
    <row r="6" spans="1:22">
      <c r="A6" s="2907"/>
      <c r="B6" s="86" t="s">
        <v>320</v>
      </c>
      <c r="C6" s="79"/>
      <c r="D6" s="80">
        <v>3459</v>
      </c>
      <c r="E6" s="79"/>
      <c r="F6" s="80">
        <v>3114</v>
      </c>
      <c r="G6" s="79"/>
      <c r="H6" s="80">
        <v>2741</v>
      </c>
      <c r="I6" s="79"/>
      <c r="J6" s="80">
        <v>2280</v>
      </c>
      <c r="K6" s="79"/>
      <c r="L6" s="81">
        <v>2402</v>
      </c>
      <c r="M6" s="87"/>
      <c r="N6" s="83">
        <v>3343</v>
      </c>
      <c r="O6" s="144"/>
      <c r="P6" s="145">
        <v>3494</v>
      </c>
      <c r="Q6" s="144"/>
      <c r="R6" s="145">
        <v>3550</v>
      </c>
      <c r="S6" s="144"/>
      <c r="T6" s="145">
        <v>3343</v>
      </c>
      <c r="U6" s="315"/>
      <c r="V6" s="316">
        <v>2811</v>
      </c>
    </row>
    <row r="7" spans="1:22">
      <c r="A7" s="2907"/>
      <c r="B7" s="86" t="s">
        <v>314</v>
      </c>
      <c r="C7" s="79"/>
      <c r="D7" s="80">
        <v>1749</v>
      </c>
      <c r="E7" s="79"/>
      <c r="F7" s="80">
        <v>1885</v>
      </c>
      <c r="G7" s="79"/>
      <c r="H7" s="80">
        <v>1729</v>
      </c>
      <c r="I7" s="79"/>
      <c r="J7" s="80">
        <v>1576</v>
      </c>
      <c r="K7" s="79"/>
      <c r="L7" s="88">
        <v>1413</v>
      </c>
      <c r="M7" s="89"/>
      <c r="N7" s="83">
        <v>1610</v>
      </c>
      <c r="O7" s="144"/>
      <c r="P7" s="145">
        <v>1564</v>
      </c>
      <c r="Q7" s="144"/>
      <c r="R7" s="145">
        <v>1708</v>
      </c>
      <c r="S7" s="144"/>
      <c r="T7" s="145">
        <v>1939</v>
      </c>
      <c r="U7" s="315"/>
      <c r="V7" s="316">
        <v>1665</v>
      </c>
    </row>
    <row r="8" spans="1:22">
      <c r="A8" s="2907"/>
      <c r="B8" s="86" t="s">
        <v>315</v>
      </c>
      <c r="C8" s="79"/>
      <c r="D8" s="80">
        <v>448</v>
      </c>
      <c r="E8" s="79"/>
      <c r="F8" s="80">
        <v>401</v>
      </c>
      <c r="G8" s="79"/>
      <c r="H8" s="80">
        <v>350</v>
      </c>
      <c r="I8" s="79"/>
      <c r="J8" s="80">
        <v>300</v>
      </c>
      <c r="K8" s="79"/>
      <c r="L8" s="88">
        <v>281</v>
      </c>
      <c r="M8" s="89"/>
      <c r="N8" s="83">
        <v>454</v>
      </c>
      <c r="O8" s="144"/>
      <c r="P8" s="145">
        <v>540</v>
      </c>
      <c r="Q8" s="144"/>
      <c r="R8" s="145">
        <v>615</v>
      </c>
      <c r="S8" s="144"/>
      <c r="T8" s="145">
        <v>531</v>
      </c>
      <c r="U8" s="315"/>
      <c r="V8" s="316">
        <v>429</v>
      </c>
    </row>
    <row r="9" spans="1:22">
      <c r="A9" s="2907"/>
      <c r="B9" s="86" t="s">
        <v>318</v>
      </c>
      <c r="C9" s="79"/>
      <c r="D9" s="80">
        <v>49</v>
      </c>
      <c r="E9" s="79"/>
      <c r="F9" s="80">
        <v>56</v>
      </c>
      <c r="G9" s="79"/>
      <c r="H9" s="80">
        <v>41</v>
      </c>
      <c r="I9" s="79"/>
      <c r="J9" s="80">
        <v>51</v>
      </c>
      <c r="K9" s="79"/>
      <c r="L9" s="88">
        <v>52</v>
      </c>
      <c r="M9" s="89"/>
      <c r="N9" s="83">
        <v>111</v>
      </c>
      <c r="O9" s="144"/>
      <c r="P9" s="145">
        <v>85</v>
      </c>
      <c r="Q9" s="144"/>
      <c r="R9" s="145">
        <v>99</v>
      </c>
      <c r="S9" s="144"/>
      <c r="T9" s="145">
        <v>123</v>
      </c>
      <c r="U9" s="315"/>
      <c r="V9" s="316">
        <v>84</v>
      </c>
    </row>
    <row r="10" spans="1:22">
      <c r="A10" s="2907"/>
      <c r="B10" s="86" t="s">
        <v>313</v>
      </c>
      <c r="C10" s="79"/>
      <c r="D10" s="80">
        <v>81</v>
      </c>
      <c r="E10" s="79"/>
      <c r="F10" s="80">
        <v>55</v>
      </c>
      <c r="G10" s="79"/>
      <c r="H10" s="80">
        <v>40</v>
      </c>
      <c r="I10" s="79"/>
      <c r="J10" s="80">
        <v>49</v>
      </c>
      <c r="K10" s="79"/>
      <c r="L10" s="88">
        <v>87</v>
      </c>
      <c r="M10" s="89"/>
      <c r="N10" s="83">
        <v>67</v>
      </c>
      <c r="O10" s="144"/>
      <c r="P10" s="145">
        <v>32</v>
      </c>
      <c r="Q10" s="144"/>
      <c r="R10" s="145">
        <v>37</v>
      </c>
      <c r="S10" s="144"/>
      <c r="T10" s="145">
        <v>31</v>
      </c>
      <c r="U10" s="315"/>
      <c r="V10" s="316">
        <v>66</v>
      </c>
    </row>
    <row r="11" spans="1:22">
      <c r="A11" s="2907"/>
      <c r="B11" s="86" t="s">
        <v>312</v>
      </c>
      <c r="C11" s="79"/>
      <c r="D11" s="80">
        <v>16</v>
      </c>
      <c r="E11" s="79"/>
      <c r="F11" s="80">
        <v>22</v>
      </c>
      <c r="G11" s="79"/>
      <c r="H11" s="80">
        <v>4</v>
      </c>
      <c r="I11" s="79"/>
      <c r="J11" s="80">
        <v>7</v>
      </c>
      <c r="K11" s="79"/>
      <c r="L11" s="98" t="s">
        <v>6</v>
      </c>
      <c r="M11" s="89"/>
      <c r="N11" s="83">
        <v>2</v>
      </c>
      <c r="O11" s="144"/>
      <c r="P11" s="145">
        <v>9</v>
      </c>
      <c r="Q11" s="144"/>
      <c r="R11" s="145">
        <v>5</v>
      </c>
      <c r="S11" s="144"/>
      <c r="T11" s="145">
        <v>5</v>
      </c>
      <c r="U11" s="315"/>
      <c r="V11" s="316">
        <v>4</v>
      </c>
    </row>
    <row r="12" spans="1:22">
      <c r="A12" s="2907"/>
      <c r="B12" s="86" t="s">
        <v>316</v>
      </c>
      <c r="C12" s="89"/>
      <c r="D12" s="80">
        <v>1</v>
      </c>
      <c r="E12" s="89"/>
      <c r="F12" s="69">
        <v>0</v>
      </c>
      <c r="G12" s="89"/>
      <c r="H12" s="80">
        <v>4</v>
      </c>
      <c r="I12" s="89"/>
      <c r="J12" s="80">
        <v>4</v>
      </c>
      <c r="K12" s="438"/>
      <c r="L12" s="81">
        <v>4</v>
      </c>
      <c r="M12" s="89"/>
      <c r="N12" s="83">
        <v>4</v>
      </c>
      <c r="O12" s="144"/>
      <c r="P12" s="145">
        <v>3</v>
      </c>
      <c r="Q12" s="144"/>
      <c r="R12" s="145">
        <v>5</v>
      </c>
      <c r="S12" s="144"/>
      <c r="T12" s="145">
        <v>1</v>
      </c>
      <c r="U12" s="315"/>
      <c r="V12" s="316">
        <v>1</v>
      </c>
    </row>
    <row r="13" spans="1:22">
      <c r="A13" s="2907"/>
      <c r="B13" s="86" t="s">
        <v>317</v>
      </c>
      <c r="C13" s="79"/>
      <c r="D13" s="80">
        <v>1</v>
      </c>
      <c r="E13" s="79"/>
      <c r="F13" s="69">
        <v>0</v>
      </c>
      <c r="G13" s="79"/>
      <c r="H13" s="80">
        <v>1</v>
      </c>
      <c r="I13" s="79"/>
      <c r="J13" s="80">
        <v>3</v>
      </c>
      <c r="K13" s="79"/>
      <c r="L13" s="88">
        <v>1</v>
      </c>
      <c r="M13" s="89"/>
      <c r="N13" s="83">
        <v>5</v>
      </c>
      <c r="O13" s="144"/>
      <c r="P13" s="145">
        <v>2</v>
      </c>
      <c r="Q13" s="144"/>
      <c r="R13" s="145">
        <v>2</v>
      </c>
      <c r="S13" s="144"/>
      <c r="T13" s="145">
        <v>0</v>
      </c>
      <c r="U13" s="315"/>
      <c r="V13" s="316">
        <v>1</v>
      </c>
    </row>
    <row r="14" spans="1:22">
      <c r="A14" s="2907"/>
      <c r="B14" s="86" t="s">
        <v>321</v>
      </c>
      <c r="C14" s="89"/>
      <c r="D14" s="69">
        <v>0</v>
      </c>
      <c r="E14" s="89"/>
      <c r="F14" s="80">
        <v>2</v>
      </c>
      <c r="G14" s="89"/>
      <c r="H14" s="80">
        <v>4</v>
      </c>
      <c r="I14" s="89"/>
      <c r="J14" s="80">
        <v>6</v>
      </c>
      <c r="K14" s="89"/>
      <c r="L14" s="88">
        <v>3</v>
      </c>
      <c r="M14" s="89"/>
      <c r="N14" s="83">
        <v>12</v>
      </c>
      <c r="O14" s="144"/>
      <c r="P14" s="145">
        <v>7</v>
      </c>
      <c r="Q14" s="144"/>
      <c r="R14" s="145">
        <v>5</v>
      </c>
      <c r="S14" s="144"/>
      <c r="T14" s="145">
        <v>4</v>
      </c>
      <c r="U14" s="315"/>
      <c r="V14" s="316">
        <v>0</v>
      </c>
    </row>
    <row r="15" spans="1:22">
      <c r="A15" s="2907" t="s">
        <v>322</v>
      </c>
      <c r="B15" s="353" t="s">
        <v>311</v>
      </c>
      <c r="C15" s="79">
        <v>27694</v>
      </c>
      <c r="D15" s="80">
        <v>29334</v>
      </c>
      <c r="E15" s="79">
        <v>26968</v>
      </c>
      <c r="F15" s="80">
        <v>28550</v>
      </c>
      <c r="G15" s="79">
        <v>26021</v>
      </c>
      <c r="H15" s="80">
        <v>27682</v>
      </c>
      <c r="I15" s="79">
        <v>24687</v>
      </c>
      <c r="J15" s="80">
        <v>26555</v>
      </c>
      <c r="K15" s="79">
        <v>24625</v>
      </c>
      <c r="L15" s="88">
        <v>26337</v>
      </c>
      <c r="M15" s="79">
        <v>33463</v>
      </c>
      <c r="N15" s="83">
        <v>35785</v>
      </c>
      <c r="O15" s="144">
        <v>39097</v>
      </c>
      <c r="P15" s="145">
        <v>41642</v>
      </c>
      <c r="Q15" s="144">
        <v>42501</v>
      </c>
      <c r="R15" s="145">
        <v>45334</v>
      </c>
      <c r="S15" s="144">
        <v>39388</v>
      </c>
      <c r="T15" s="145">
        <v>41631</v>
      </c>
      <c r="U15" s="315">
        <v>32353</v>
      </c>
      <c r="V15" s="316">
        <v>33713</v>
      </c>
    </row>
    <row r="16" spans="1:22">
      <c r="A16" s="2907"/>
      <c r="B16" s="86" t="s">
        <v>319</v>
      </c>
      <c r="C16" s="79"/>
      <c r="D16" s="80">
        <v>22122</v>
      </c>
      <c r="E16" s="79"/>
      <c r="F16" s="80">
        <v>21158</v>
      </c>
      <c r="G16" s="79"/>
      <c r="H16" s="80">
        <v>19823</v>
      </c>
      <c r="I16" s="79"/>
      <c r="J16" s="80">
        <v>18109</v>
      </c>
      <c r="K16" s="79"/>
      <c r="L16" s="88">
        <v>17523</v>
      </c>
      <c r="M16" s="89"/>
      <c r="N16" s="83">
        <v>23075</v>
      </c>
      <c r="O16" s="144"/>
      <c r="P16" s="145">
        <v>26675</v>
      </c>
      <c r="Q16" s="144"/>
      <c r="R16" s="145">
        <v>28455</v>
      </c>
      <c r="S16" s="144"/>
      <c r="T16" s="145">
        <v>25947</v>
      </c>
      <c r="U16" s="315"/>
      <c r="V16" s="316">
        <v>20485</v>
      </c>
    </row>
    <row r="17" spans="1:22">
      <c r="A17" s="2907"/>
      <c r="B17" s="86" t="s">
        <v>320</v>
      </c>
      <c r="C17" s="89"/>
      <c r="D17" s="80">
        <v>4499</v>
      </c>
      <c r="E17" s="89"/>
      <c r="F17" s="80">
        <v>4513</v>
      </c>
      <c r="G17" s="89"/>
      <c r="H17" s="80">
        <v>4870</v>
      </c>
      <c r="I17" s="89"/>
      <c r="J17" s="80">
        <v>5500</v>
      </c>
      <c r="K17" s="438"/>
      <c r="L17" s="88">
        <v>6044</v>
      </c>
      <c r="M17" s="89"/>
      <c r="N17" s="83">
        <v>9029</v>
      </c>
      <c r="O17" s="144"/>
      <c r="P17" s="145">
        <v>10386</v>
      </c>
      <c r="Q17" s="144"/>
      <c r="R17" s="145">
        <v>10648</v>
      </c>
      <c r="S17" s="144"/>
      <c r="T17" s="145">
        <v>9331</v>
      </c>
      <c r="U17" s="315"/>
      <c r="V17" s="316">
        <v>7493</v>
      </c>
    </row>
    <row r="18" spans="1:22">
      <c r="A18" s="2907"/>
      <c r="B18" s="86" t="s">
        <v>314</v>
      </c>
      <c r="C18" s="79"/>
      <c r="D18" s="80">
        <v>1808</v>
      </c>
      <c r="E18" s="79"/>
      <c r="F18" s="80">
        <v>1995</v>
      </c>
      <c r="G18" s="79"/>
      <c r="H18" s="80">
        <v>2076</v>
      </c>
      <c r="I18" s="79"/>
      <c r="J18" s="80">
        <v>1989</v>
      </c>
      <c r="K18" s="79"/>
      <c r="L18" s="88">
        <v>1824</v>
      </c>
      <c r="M18" s="89"/>
      <c r="N18" s="83">
        <v>2185</v>
      </c>
      <c r="O18" s="144"/>
      <c r="P18" s="145">
        <v>2678</v>
      </c>
      <c r="Q18" s="144"/>
      <c r="R18" s="145">
        <v>3618</v>
      </c>
      <c r="S18" s="144"/>
      <c r="T18" s="145">
        <v>4038</v>
      </c>
      <c r="U18" s="315"/>
      <c r="V18" s="316">
        <v>3804</v>
      </c>
    </row>
    <row r="19" spans="1:22">
      <c r="A19" s="2907"/>
      <c r="B19" s="86" t="s">
        <v>315</v>
      </c>
      <c r="C19" s="89"/>
      <c r="D19" s="80">
        <v>490</v>
      </c>
      <c r="E19" s="89"/>
      <c r="F19" s="80">
        <v>512</v>
      </c>
      <c r="G19" s="89"/>
      <c r="H19" s="80">
        <v>491</v>
      </c>
      <c r="I19" s="89"/>
      <c r="J19" s="80">
        <v>497</v>
      </c>
      <c r="K19" s="89"/>
      <c r="L19" s="88">
        <v>543</v>
      </c>
      <c r="M19" s="89"/>
      <c r="N19" s="83">
        <v>755</v>
      </c>
      <c r="O19" s="144"/>
      <c r="P19" s="145">
        <v>1005</v>
      </c>
      <c r="Q19" s="144"/>
      <c r="R19" s="145">
        <v>1242</v>
      </c>
      <c r="S19" s="144"/>
      <c r="T19" s="145">
        <v>1246</v>
      </c>
      <c r="U19" s="315"/>
      <c r="V19" s="316">
        <v>1179</v>
      </c>
    </row>
    <row r="20" spans="1:22">
      <c r="A20" s="2907"/>
      <c r="B20" s="86" t="s">
        <v>318</v>
      </c>
      <c r="C20" s="79"/>
      <c r="D20" s="80">
        <v>155</v>
      </c>
      <c r="E20" s="79"/>
      <c r="F20" s="80">
        <v>173</v>
      </c>
      <c r="G20" s="79"/>
      <c r="H20" s="80">
        <v>236</v>
      </c>
      <c r="I20" s="79"/>
      <c r="J20" s="80">
        <v>259</v>
      </c>
      <c r="K20" s="79"/>
      <c r="L20" s="88">
        <v>261</v>
      </c>
      <c r="M20" s="89"/>
      <c r="N20" s="83">
        <v>561</v>
      </c>
      <c r="O20" s="144"/>
      <c r="P20" s="145">
        <v>661</v>
      </c>
      <c r="Q20" s="144"/>
      <c r="R20" s="145">
        <v>981</v>
      </c>
      <c r="S20" s="144"/>
      <c r="T20" s="145">
        <v>716</v>
      </c>
      <c r="U20" s="315"/>
      <c r="V20" s="316">
        <v>424</v>
      </c>
    </row>
    <row r="21" spans="1:22">
      <c r="A21" s="2907"/>
      <c r="B21" s="86" t="s">
        <v>313</v>
      </c>
      <c r="C21" s="79"/>
      <c r="D21" s="80">
        <v>80</v>
      </c>
      <c r="E21" s="79"/>
      <c r="F21" s="80">
        <v>47</v>
      </c>
      <c r="G21" s="79"/>
      <c r="H21" s="80">
        <v>61</v>
      </c>
      <c r="I21" s="79"/>
      <c r="J21" s="80">
        <v>85</v>
      </c>
      <c r="K21" s="79"/>
      <c r="L21" s="88">
        <v>45</v>
      </c>
      <c r="M21" s="89"/>
      <c r="N21" s="83">
        <v>99</v>
      </c>
      <c r="O21" s="144"/>
      <c r="P21" s="145">
        <v>103</v>
      </c>
      <c r="Q21" s="144"/>
      <c r="R21" s="145">
        <v>209</v>
      </c>
      <c r="S21" s="144"/>
      <c r="T21" s="145">
        <v>187</v>
      </c>
      <c r="U21" s="315"/>
      <c r="V21" s="316">
        <v>187</v>
      </c>
    </row>
    <row r="22" spans="1:22">
      <c r="A22" s="2907"/>
      <c r="B22" s="86" t="s">
        <v>323</v>
      </c>
      <c r="C22" s="79"/>
      <c r="D22" s="80">
        <v>169</v>
      </c>
      <c r="E22" s="79"/>
      <c r="F22" s="80">
        <v>131</v>
      </c>
      <c r="G22" s="79"/>
      <c r="H22" s="80">
        <v>99</v>
      </c>
      <c r="I22" s="79"/>
      <c r="J22" s="80">
        <v>81</v>
      </c>
      <c r="K22" s="79"/>
      <c r="L22" s="88">
        <v>76</v>
      </c>
      <c r="M22" s="89"/>
      <c r="N22" s="83">
        <v>49</v>
      </c>
      <c r="O22" s="144"/>
      <c r="P22" s="145">
        <v>88</v>
      </c>
      <c r="Q22" s="144"/>
      <c r="R22" s="145">
        <v>114</v>
      </c>
      <c r="S22" s="144"/>
      <c r="T22" s="145">
        <v>113</v>
      </c>
      <c r="U22" s="315"/>
      <c r="V22" s="316">
        <v>120</v>
      </c>
    </row>
    <row r="23" spans="1:22">
      <c r="A23" s="2907"/>
      <c r="B23" s="86" t="s">
        <v>317</v>
      </c>
      <c r="C23" s="79"/>
      <c r="D23" s="80">
        <v>8</v>
      </c>
      <c r="E23" s="79"/>
      <c r="F23" s="80">
        <v>17</v>
      </c>
      <c r="G23" s="79"/>
      <c r="H23" s="80">
        <v>19</v>
      </c>
      <c r="I23" s="79"/>
      <c r="J23" s="80">
        <v>12</v>
      </c>
      <c r="K23" s="79"/>
      <c r="L23" s="88">
        <v>6</v>
      </c>
      <c r="M23" s="89"/>
      <c r="N23" s="83">
        <v>9</v>
      </c>
      <c r="O23" s="144"/>
      <c r="P23" s="145">
        <v>17</v>
      </c>
      <c r="Q23" s="144"/>
      <c r="R23" s="145">
        <v>47</v>
      </c>
      <c r="S23" s="144"/>
      <c r="T23" s="145">
        <v>24</v>
      </c>
      <c r="U23" s="315"/>
      <c r="V23" s="316">
        <v>16</v>
      </c>
    </row>
    <row r="24" spans="1:22">
      <c r="A24" s="2907"/>
      <c r="B24" s="86" t="s">
        <v>316</v>
      </c>
      <c r="C24" s="79"/>
      <c r="D24" s="80">
        <v>2</v>
      </c>
      <c r="E24" s="79"/>
      <c r="F24" s="80">
        <v>3</v>
      </c>
      <c r="G24" s="79"/>
      <c r="H24" s="80">
        <v>3</v>
      </c>
      <c r="I24" s="79"/>
      <c r="J24" s="80">
        <v>8</v>
      </c>
      <c r="K24" s="79"/>
      <c r="L24" s="88">
        <v>6</v>
      </c>
      <c r="M24" s="89"/>
      <c r="N24" s="83">
        <v>5</v>
      </c>
      <c r="O24" s="144"/>
      <c r="P24" s="145">
        <v>14</v>
      </c>
      <c r="Q24" s="144"/>
      <c r="R24" s="145">
        <v>5</v>
      </c>
      <c r="S24" s="144"/>
      <c r="T24" s="145">
        <v>16</v>
      </c>
      <c r="U24" s="315"/>
      <c r="V24" s="316">
        <v>5</v>
      </c>
    </row>
    <row r="25" spans="1:22">
      <c r="A25" s="2907"/>
      <c r="B25" s="86" t="s">
        <v>321</v>
      </c>
      <c r="C25" s="89"/>
      <c r="D25" s="80">
        <v>1</v>
      </c>
      <c r="E25" s="89"/>
      <c r="F25" s="80">
        <v>1</v>
      </c>
      <c r="G25" s="89"/>
      <c r="H25" s="80">
        <v>4</v>
      </c>
      <c r="I25" s="89"/>
      <c r="J25" s="80">
        <v>15</v>
      </c>
      <c r="K25" s="89"/>
      <c r="L25" s="88">
        <v>9</v>
      </c>
      <c r="M25" s="89"/>
      <c r="N25" s="83">
        <v>18</v>
      </c>
      <c r="O25" s="144"/>
      <c r="P25" s="145">
        <v>15</v>
      </c>
      <c r="Q25" s="144"/>
      <c r="R25" s="145">
        <v>15</v>
      </c>
      <c r="S25" s="144"/>
      <c r="T25" s="145">
        <v>13</v>
      </c>
      <c r="U25" s="315"/>
      <c r="V25" s="316">
        <v>0</v>
      </c>
    </row>
    <row r="26" spans="1:22">
      <c r="A26" s="2906" t="s">
        <v>324</v>
      </c>
      <c r="B26" s="353" t="s">
        <v>311</v>
      </c>
      <c r="C26" s="79">
        <v>1098</v>
      </c>
      <c r="D26" s="80">
        <v>1467</v>
      </c>
      <c r="E26" s="79">
        <v>1558</v>
      </c>
      <c r="F26" s="80">
        <v>1916</v>
      </c>
      <c r="G26" s="79">
        <v>2192</v>
      </c>
      <c r="H26" s="80">
        <v>2716</v>
      </c>
      <c r="I26" s="79">
        <v>2727</v>
      </c>
      <c r="J26" s="80">
        <v>3317</v>
      </c>
      <c r="K26" s="79">
        <v>2172</v>
      </c>
      <c r="L26" s="88">
        <v>2710</v>
      </c>
      <c r="M26" s="79">
        <v>2671</v>
      </c>
      <c r="N26" s="83">
        <v>3273</v>
      </c>
      <c r="O26" s="146">
        <v>1692</v>
      </c>
      <c r="P26" s="147">
        <v>1966</v>
      </c>
      <c r="Q26" s="146">
        <v>2048</v>
      </c>
      <c r="R26" s="147">
        <v>2315</v>
      </c>
      <c r="S26" s="146">
        <v>1757</v>
      </c>
      <c r="T26" s="147">
        <v>2130</v>
      </c>
      <c r="U26" s="317">
        <v>1808</v>
      </c>
      <c r="V26" s="318">
        <v>2161</v>
      </c>
    </row>
    <row r="27" spans="1:22">
      <c r="A27" s="2906"/>
      <c r="B27" s="86" t="s">
        <v>314</v>
      </c>
      <c r="C27" s="81"/>
      <c r="D27" s="80">
        <v>703</v>
      </c>
      <c r="E27" s="81"/>
      <c r="F27" s="80">
        <v>923</v>
      </c>
      <c r="G27" s="81"/>
      <c r="H27" s="80">
        <v>1181</v>
      </c>
      <c r="I27" s="81"/>
      <c r="J27" s="80">
        <v>1483</v>
      </c>
      <c r="K27" s="81"/>
      <c r="L27" s="88">
        <v>1083</v>
      </c>
      <c r="M27" s="44"/>
      <c r="N27" s="83">
        <v>1122</v>
      </c>
      <c r="O27" s="146"/>
      <c r="P27" s="147">
        <v>649</v>
      </c>
      <c r="Q27" s="146"/>
      <c r="R27" s="147">
        <v>937</v>
      </c>
      <c r="S27" s="146"/>
      <c r="T27" s="147">
        <v>990</v>
      </c>
      <c r="U27" s="317"/>
      <c r="V27" s="318">
        <v>1213</v>
      </c>
    </row>
    <row r="28" spans="1:22">
      <c r="A28" s="2906"/>
      <c r="B28" s="86" t="s">
        <v>320</v>
      </c>
      <c r="C28" s="81"/>
      <c r="D28" s="80">
        <v>166</v>
      </c>
      <c r="E28" s="81"/>
      <c r="F28" s="80">
        <v>299</v>
      </c>
      <c r="G28" s="81"/>
      <c r="H28" s="80">
        <v>458</v>
      </c>
      <c r="I28" s="81"/>
      <c r="J28" s="80">
        <v>496</v>
      </c>
      <c r="K28" s="81"/>
      <c r="L28" s="88">
        <v>451</v>
      </c>
      <c r="M28" s="44"/>
      <c r="N28" s="83">
        <v>728</v>
      </c>
      <c r="O28" s="146"/>
      <c r="P28" s="147">
        <v>412</v>
      </c>
      <c r="Q28" s="146"/>
      <c r="R28" s="147">
        <v>346</v>
      </c>
      <c r="S28" s="146"/>
      <c r="T28" s="147">
        <v>315</v>
      </c>
      <c r="U28" s="317"/>
      <c r="V28" s="318">
        <v>302</v>
      </c>
    </row>
    <row r="29" spans="1:22">
      <c r="A29" s="2906"/>
      <c r="B29" s="86" t="s">
        <v>315</v>
      </c>
      <c r="C29" s="81"/>
      <c r="D29" s="80">
        <v>286</v>
      </c>
      <c r="E29" s="81"/>
      <c r="F29" s="80">
        <v>302</v>
      </c>
      <c r="G29" s="81"/>
      <c r="H29" s="80">
        <v>317</v>
      </c>
      <c r="I29" s="81"/>
      <c r="J29" s="80">
        <v>346</v>
      </c>
      <c r="K29" s="81"/>
      <c r="L29" s="88">
        <v>351</v>
      </c>
      <c r="M29" s="44"/>
      <c r="N29" s="83">
        <v>394</v>
      </c>
      <c r="O29" s="146"/>
      <c r="P29" s="147">
        <v>299</v>
      </c>
      <c r="Q29" s="146"/>
      <c r="R29" s="147">
        <v>308</v>
      </c>
      <c r="S29" s="146"/>
      <c r="T29" s="147">
        <v>271</v>
      </c>
      <c r="U29" s="317"/>
      <c r="V29" s="318">
        <v>274</v>
      </c>
    </row>
    <row r="30" spans="1:22">
      <c r="A30" s="2906"/>
      <c r="B30" s="86" t="s">
        <v>318</v>
      </c>
      <c r="C30" s="81"/>
      <c r="D30" s="80">
        <v>179</v>
      </c>
      <c r="E30" s="81"/>
      <c r="F30" s="80">
        <v>287</v>
      </c>
      <c r="G30" s="81"/>
      <c r="H30" s="80">
        <v>679</v>
      </c>
      <c r="I30" s="81"/>
      <c r="J30" s="80">
        <v>904</v>
      </c>
      <c r="K30" s="81"/>
      <c r="L30" s="88">
        <v>711</v>
      </c>
      <c r="M30" s="44"/>
      <c r="N30" s="83">
        <v>965</v>
      </c>
      <c r="O30" s="146"/>
      <c r="P30" s="147">
        <v>546</v>
      </c>
      <c r="Q30" s="146"/>
      <c r="R30" s="147">
        <v>600</v>
      </c>
      <c r="S30" s="146"/>
      <c r="T30" s="147">
        <v>367</v>
      </c>
      <c r="U30" s="317"/>
      <c r="V30" s="318">
        <v>177</v>
      </c>
    </row>
    <row r="31" spans="1:22">
      <c r="A31" s="2906"/>
      <c r="B31" s="86" t="s">
        <v>313</v>
      </c>
      <c r="C31" s="81"/>
      <c r="D31" s="80">
        <v>117</v>
      </c>
      <c r="E31" s="81"/>
      <c r="F31" s="80">
        <v>60</v>
      </c>
      <c r="G31" s="81"/>
      <c r="H31" s="80">
        <v>44</v>
      </c>
      <c r="I31" s="81"/>
      <c r="J31" s="80">
        <v>35</v>
      </c>
      <c r="K31" s="81"/>
      <c r="L31" s="88">
        <v>76</v>
      </c>
      <c r="M31" s="44"/>
      <c r="N31" s="83">
        <v>39</v>
      </c>
      <c r="O31" s="146"/>
      <c r="P31" s="147">
        <v>25</v>
      </c>
      <c r="Q31" s="146"/>
      <c r="R31" s="147">
        <v>82</v>
      </c>
      <c r="S31" s="146"/>
      <c r="T31" s="147">
        <v>113</v>
      </c>
      <c r="U31" s="317"/>
      <c r="V31" s="318">
        <v>127</v>
      </c>
    </row>
    <row r="32" spans="1:22">
      <c r="A32" s="2906"/>
      <c r="B32" s="86" t="s">
        <v>312</v>
      </c>
      <c r="C32" s="81"/>
      <c r="D32" s="80">
        <v>3</v>
      </c>
      <c r="E32" s="81"/>
      <c r="F32" s="80">
        <v>25</v>
      </c>
      <c r="G32" s="81"/>
      <c r="H32" s="80">
        <v>8</v>
      </c>
      <c r="I32" s="81"/>
      <c r="J32" s="80">
        <v>18</v>
      </c>
      <c r="K32" s="90"/>
      <c r="L32" s="88">
        <v>20</v>
      </c>
      <c r="M32" s="44"/>
      <c r="N32" s="83">
        <v>2</v>
      </c>
      <c r="O32" s="146"/>
      <c r="P32" s="147">
        <v>16</v>
      </c>
      <c r="Q32" s="146"/>
      <c r="R32" s="147">
        <v>22</v>
      </c>
      <c r="S32" s="146"/>
      <c r="T32" s="147">
        <v>56</v>
      </c>
      <c r="U32" s="317"/>
      <c r="V32" s="318">
        <v>62</v>
      </c>
    </row>
    <row r="33" spans="1:22">
      <c r="A33" s="2906"/>
      <c r="B33" s="86" t="s">
        <v>316</v>
      </c>
      <c r="C33" s="81"/>
      <c r="D33" s="69">
        <v>0</v>
      </c>
      <c r="E33" s="81"/>
      <c r="F33" s="80">
        <v>2</v>
      </c>
      <c r="G33" s="81"/>
      <c r="H33" s="80">
        <v>10</v>
      </c>
      <c r="I33" s="81"/>
      <c r="J33" s="80">
        <v>7</v>
      </c>
      <c r="K33" s="81"/>
      <c r="L33" s="88">
        <v>2</v>
      </c>
      <c r="M33" s="44"/>
      <c r="N33" s="83">
        <v>6</v>
      </c>
      <c r="O33" s="146"/>
      <c r="P33" s="147">
        <v>3</v>
      </c>
      <c r="Q33" s="146"/>
      <c r="R33" s="147">
        <v>3</v>
      </c>
      <c r="S33" s="146"/>
      <c r="T33" s="147">
        <v>7</v>
      </c>
      <c r="U33" s="317"/>
      <c r="V33" s="318">
        <v>3</v>
      </c>
    </row>
    <row r="34" spans="1:22">
      <c r="A34" s="2906"/>
      <c r="B34" s="86" t="s">
        <v>317</v>
      </c>
      <c r="C34" s="81"/>
      <c r="D34" s="80">
        <v>13</v>
      </c>
      <c r="E34" s="81"/>
      <c r="F34" s="80">
        <v>18</v>
      </c>
      <c r="G34" s="81"/>
      <c r="H34" s="80">
        <v>16</v>
      </c>
      <c r="I34" s="81"/>
      <c r="J34" s="80">
        <v>21</v>
      </c>
      <c r="K34" s="81"/>
      <c r="L34" s="88">
        <v>14</v>
      </c>
      <c r="M34" s="44"/>
      <c r="N34" s="83">
        <v>15</v>
      </c>
      <c r="O34" s="146"/>
      <c r="P34" s="147">
        <v>13</v>
      </c>
      <c r="Q34" s="146"/>
      <c r="R34" s="147">
        <v>15</v>
      </c>
      <c r="S34" s="146"/>
      <c r="T34" s="147">
        <v>11</v>
      </c>
      <c r="U34" s="317"/>
      <c r="V34" s="318">
        <v>3</v>
      </c>
    </row>
    <row r="35" spans="1:22">
      <c r="A35" s="2906"/>
      <c r="B35" s="86" t="s">
        <v>321</v>
      </c>
      <c r="C35" s="81"/>
      <c r="D35" s="69">
        <v>0</v>
      </c>
      <c r="E35" s="81"/>
      <c r="F35" s="69">
        <v>0</v>
      </c>
      <c r="G35" s="81"/>
      <c r="H35" s="80">
        <v>3</v>
      </c>
      <c r="I35" s="81"/>
      <c r="J35" s="80">
        <v>7</v>
      </c>
      <c r="K35" s="81"/>
      <c r="L35" s="88">
        <v>2</v>
      </c>
      <c r="M35" s="44"/>
      <c r="N35" s="83">
        <v>2</v>
      </c>
      <c r="O35" s="146"/>
      <c r="P35" s="147">
        <v>3</v>
      </c>
      <c r="Q35" s="146"/>
      <c r="R35" s="147">
        <v>2</v>
      </c>
      <c r="S35" s="146"/>
      <c r="T35" s="147">
        <v>0</v>
      </c>
      <c r="U35" s="317"/>
      <c r="V35" s="318">
        <v>0</v>
      </c>
    </row>
    <row r="36" spans="1:22">
      <c r="A36" s="2906" t="s">
        <v>325</v>
      </c>
      <c r="B36" s="353" t="s">
        <v>311</v>
      </c>
      <c r="C36" s="79">
        <v>22</v>
      </c>
      <c r="D36" s="80">
        <v>33</v>
      </c>
      <c r="E36" s="79">
        <v>38</v>
      </c>
      <c r="F36" s="80">
        <v>31</v>
      </c>
      <c r="G36" s="79">
        <v>127</v>
      </c>
      <c r="H36" s="80">
        <v>25</v>
      </c>
      <c r="I36" s="79">
        <v>41</v>
      </c>
      <c r="J36" s="80">
        <v>49</v>
      </c>
      <c r="K36" s="79">
        <v>34</v>
      </c>
      <c r="L36" s="88">
        <v>43</v>
      </c>
      <c r="M36" s="44">
        <v>36</v>
      </c>
      <c r="N36" s="83">
        <v>40</v>
      </c>
      <c r="O36" s="146">
        <v>47</v>
      </c>
      <c r="P36" s="147">
        <v>66</v>
      </c>
      <c r="Q36" s="146">
        <v>26</v>
      </c>
      <c r="R36" s="147">
        <v>52</v>
      </c>
      <c r="S36" s="146">
        <v>29</v>
      </c>
      <c r="T36" s="147">
        <v>50</v>
      </c>
      <c r="U36" s="317">
        <v>48</v>
      </c>
      <c r="V36" s="318">
        <v>94</v>
      </c>
    </row>
    <row r="37" spans="1:22">
      <c r="A37" s="2906"/>
      <c r="B37" s="86" t="s">
        <v>313</v>
      </c>
      <c r="C37" s="81"/>
      <c r="D37" s="69">
        <v>0</v>
      </c>
      <c r="E37" s="81"/>
      <c r="F37" s="80">
        <v>3</v>
      </c>
      <c r="G37" s="81"/>
      <c r="H37" s="80">
        <v>8</v>
      </c>
      <c r="I37" s="81"/>
      <c r="J37" s="80">
        <v>13</v>
      </c>
      <c r="K37" s="81"/>
      <c r="L37" s="88">
        <v>27</v>
      </c>
      <c r="M37" s="44"/>
      <c r="N37" s="83">
        <v>25</v>
      </c>
      <c r="O37" s="146"/>
      <c r="P37" s="147">
        <v>37</v>
      </c>
      <c r="Q37" s="146"/>
      <c r="R37" s="147">
        <v>36</v>
      </c>
      <c r="S37" s="146"/>
      <c r="T37" s="147">
        <v>16</v>
      </c>
      <c r="U37" s="317"/>
      <c r="V37" s="318">
        <v>41</v>
      </c>
    </row>
    <row r="38" spans="1:22">
      <c r="A38" s="2906"/>
      <c r="B38" s="86" t="s">
        <v>314</v>
      </c>
      <c r="C38" s="81"/>
      <c r="D38" s="80">
        <v>1</v>
      </c>
      <c r="E38" s="81"/>
      <c r="F38" s="80">
        <v>6</v>
      </c>
      <c r="G38" s="81"/>
      <c r="H38" s="80">
        <v>2</v>
      </c>
      <c r="I38" s="81"/>
      <c r="J38" s="80">
        <v>12</v>
      </c>
      <c r="K38" s="81"/>
      <c r="L38" s="88">
        <v>7</v>
      </c>
      <c r="M38" s="44"/>
      <c r="N38" s="83">
        <v>7</v>
      </c>
      <c r="O38" s="146"/>
      <c r="P38" s="147">
        <v>10</v>
      </c>
      <c r="Q38" s="146"/>
      <c r="R38" s="147">
        <v>1</v>
      </c>
      <c r="S38" s="146"/>
      <c r="T38" s="147">
        <v>12</v>
      </c>
      <c r="U38" s="317"/>
      <c r="V38" s="318">
        <v>19</v>
      </c>
    </row>
    <row r="39" spans="1:22">
      <c r="A39" s="2906"/>
      <c r="B39" s="86" t="s">
        <v>312</v>
      </c>
      <c r="C39" s="81"/>
      <c r="D39" s="80">
        <v>28</v>
      </c>
      <c r="E39" s="81"/>
      <c r="F39" s="80">
        <v>17</v>
      </c>
      <c r="G39" s="81"/>
      <c r="H39" s="80">
        <v>14</v>
      </c>
      <c r="I39" s="81"/>
      <c r="J39" s="80">
        <v>8</v>
      </c>
      <c r="K39" s="81"/>
      <c r="L39" s="88">
        <v>8</v>
      </c>
      <c r="M39" s="44"/>
      <c r="N39" s="83">
        <v>2</v>
      </c>
      <c r="O39" s="146"/>
      <c r="P39" s="147">
        <v>15</v>
      </c>
      <c r="Q39" s="146"/>
      <c r="R39" s="147">
        <v>12</v>
      </c>
      <c r="S39" s="146"/>
      <c r="T39" s="147">
        <v>10</v>
      </c>
      <c r="U39" s="317"/>
      <c r="V39" s="318">
        <v>18</v>
      </c>
    </row>
    <row r="40" spans="1:22">
      <c r="A40" s="2906"/>
      <c r="B40" s="86" t="s">
        <v>320</v>
      </c>
      <c r="C40" s="81"/>
      <c r="D40" s="80">
        <v>2</v>
      </c>
      <c r="E40" s="81"/>
      <c r="F40" s="80">
        <v>2</v>
      </c>
      <c r="G40" s="81"/>
      <c r="H40" s="80">
        <v>1</v>
      </c>
      <c r="I40" s="81"/>
      <c r="J40" s="69">
        <v>0</v>
      </c>
      <c r="K40" s="81"/>
      <c r="L40" s="98" t="s">
        <v>6</v>
      </c>
      <c r="M40" s="44"/>
      <c r="N40" s="83">
        <v>1</v>
      </c>
      <c r="O40" s="146"/>
      <c r="P40" s="50">
        <v>0</v>
      </c>
      <c r="Q40" s="146"/>
      <c r="R40" s="147">
        <v>2</v>
      </c>
      <c r="S40" s="146"/>
      <c r="T40" s="147">
        <v>1</v>
      </c>
      <c r="U40" s="317"/>
      <c r="V40" s="318">
        <v>6</v>
      </c>
    </row>
    <row r="41" spans="1:22">
      <c r="A41" s="2906"/>
      <c r="B41" s="86" t="s">
        <v>315</v>
      </c>
      <c r="C41" s="81"/>
      <c r="D41" s="80">
        <v>2</v>
      </c>
      <c r="E41" s="81"/>
      <c r="F41" s="80">
        <v>3</v>
      </c>
      <c r="G41" s="81"/>
      <c r="H41" s="69">
        <v>0</v>
      </c>
      <c r="I41" s="81"/>
      <c r="J41" s="80">
        <v>2</v>
      </c>
      <c r="K41" s="81"/>
      <c r="L41" s="81">
        <v>1</v>
      </c>
      <c r="M41" s="44"/>
      <c r="N41" s="440">
        <v>5</v>
      </c>
      <c r="O41" s="146"/>
      <c r="P41" s="147">
        <v>3</v>
      </c>
      <c r="Q41" s="146"/>
      <c r="R41" s="147">
        <v>1</v>
      </c>
      <c r="S41" s="146"/>
      <c r="T41" s="147">
        <v>7</v>
      </c>
      <c r="U41" s="317"/>
      <c r="V41" s="318">
        <v>5</v>
      </c>
    </row>
    <row r="42" spans="1:22">
      <c r="A42" s="2906"/>
      <c r="B42" s="86" t="s">
        <v>318</v>
      </c>
      <c r="C42" s="81"/>
      <c r="D42" s="69">
        <v>0</v>
      </c>
      <c r="E42" s="81"/>
      <c r="F42" s="69">
        <v>0</v>
      </c>
      <c r="G42" s="81"/>
      <c r="H42" s="69">
        <v>0</v>
      </c>
      <c r="I42" s="81"/>
      <c r="J42" s="80">
        <v>14</v>
      </c>
      <c r="K42" s="81"/>
      <c r="L42" s="86" t="s">
        <v>6</v>
      </c>
      <c r="M42" s="44"/>
      <c r="N42" s="50">
        <v>0</v>
      </c>
      <c r="O42" s="146"/>
      <c r="P42" s="50">
        <v>1</v>
      </c>
      <c r="Q42" s="146"/>
      <c r="R42" s="50">
        <v>0</v>
      </c>
      <c r="S42" s="146"/>
      <c r="T42" s="50">
        <v>3</v>
      </c>
      <c r="U42" s="81"/>
      <c r="V42" s="88">
        <v>5</v>
      </c>
    </row>
    <row r="43" spans="1:22">
      <c r="A43" s="2906"/>
      <c r="B43" s="86" t="s">
        <v>316</v>
      </c>
      <c r="C43" s="81"/>
      <c r="D43" s="69">
        <v>0</v>
      </c>
      <c r="E43" s="81"/>
      <c r="F43" s="69">
        <v>0</v>
      </c>
      <c r="G43" s="81"/>
      <c r="H43" s="69">
        <v>0</v>
      </c>
      <c r="I43" s="81"/>
      <c r="J43" s="69">
        <v>0</v>
      </c>
      <c r="K43" s="81"/>
      <c r="L43" s="86" t="s">
        <v>6</v>
      </c>
      <c r="M43" s="44"/>
      <c r="N43" s="50">
        <v>0</v>
      </c>
      <c r="O43" s="146"/>
      <c r="P43" s="50">
        <v>0</v>
      </c>
      <c r="Q43" s="146"/>
      <c r="R43" s="50">
        <v>0</v>
      </c>
      <c r="S43" s="146"/>
      <c r="T43" s="50">
        <v>0</v>
      </c>
      <c r="U43" s="81"/>
      <c r="V43" s="88">
        <v>0</v>
      </c>
    </row>
    <row r="44" spans="1:22">
      <c r="A44" s="2906"/>
      <c r="B44" s="86" t="s">
        <v>317</v>
      </c>
      <c r="C44" s="81"/>
      <c r="D44" s="69">
        <v>0</v>
      </c>
      <c r="E44" s="81"/>
      <c r="F44" s="69">
        <v>0</v>
      </c>
      <c r="G44" s="81"/>
      <c r="H44" s="69">
        <v>0</v>
      </c>
      <c r="I44" s="81"/>
      <c r="J44" s="69">
        <v>0</v>
      </c>
      <c r="K44" s="81"/>
      <c r="L44" s="86" t="s">
        <v>6</v>
      </c>
      <c r="M44" s="44"/>
      <c r="N44" s="439">
        <v>0</v>
      </c>
      <c r="O44" s="146"/>
      <c r="P44" s="50">
        <v>0</v>
      </c>
      <c r="Q44" s="146"/>
      <c r="R44" s="50">
        <v>0</v>
      </c>
      <c r="S44" s="146"/>
      <c r="T44" s="50">
        <v>1</v>
      </c>
      <c r="U44" s="81"/>
      <c r="V44" s="88">
        <v>0</v>
      </c>
    </row>
    <row r="45" spans="1:22">
      <c r="A45" s="2906"/>
      <c r="B45" s="86" t="s">
        <v>321</v>
      </c>
      <c r="C45" s="81"/>
      <c r="D45" s="69">
        <v>0</v>
      </c>
      <c r="E45" s="81"/>
      <c r="F45" s="69">
        <v>0</v>
      </c>
      <c r="G45" s="81"/>
      <c r="H45" s="69">
        <v>0</v>
      </c>
      <c r="I45" s="81"/>
      <c r="J45" s="69">
        <v>0</v>
      </c>
      <c r="K45" s="81"/>
      <c r="L45" s="86" t="s">
        <v>6</v>
      </c>
      <c r="M45" s="44"/>
      <c r="N45" s="50">
        <v>0</v>
      </c>
      <c r="O45" s="146"/>
      <c r="P45" s="50">
        <v>0</v>
      </c>
      <c r="Q45" s="146"/>
      <c r="R45" s="50">
        <v>0</v>
      </c>
      <c r="S45" s="146"/>
      <c r="T45" s="50">
        <v>0</v>
      </c>
      <c r="U45" s="81"/>
      <c r="V45" s="88">
        <v>0</v>
      </c>
    </row>
    <row r="46" spans="1:22">
      <c r="A46" s="436" t="s">
        <v>326</v>
      </c>
      <c r="B46" s="354" t="s">
        <v>327</v>
      </c>
      <c r="C46" s="91"/>
      <c r="D46" s="92">
        <v>6</v>
      </c>
      <c r="E46" s="91"/>
      <c r="F46" s="92">
        <v>17</v>
      </c>
      <c r="G46" s="91"/>
      <c r="H46" s="92">
        <v>132</v>
      </c>
      <c r="I46" s="91"/>
      <c r="J46" s="92">
        <v>27</v>
      </c>
      <c r="K46" s="91">
        <v>43</v>
      </c>
      <c r="L46" s="93">
        <v>46</v>
      </c>
      <c r="M46" s="94">
        <v>51</v>
      </c>
      <c r="N46" s="95">
        <v>75</v>
      </c>
      <c r="O46" s="148">
        <v>46</v>
      </c>
      <c r="P46" s="149">
        <v>63</v>
      </c>
      <c r="Q46" s="148">
        <v>35</v>
      </c>
      <c r="R46" s="149">
        <v>38</v>
      </c>
      <c r="S46" s="148">
        <v>28</v>
      </c>
      <c r="T46" s="149">
        <v>34</v>
      </c>
      <c r="U46" s="319">
        <v>35</v>
      </c>
      <c r="V46" s="320">
        <v>31</v>
      </c>
    </row>
    <row r="47" spans="1:22" ht="35.25" customHeight="1">
      <c r="A47" s="2908" t="s">
        <v>549</v>
      </c>
      <c r="B47" s="2908"/>
      <c r="C47" s="2908"/>
      <c r="D47" s="2908"/>
      <c r="E47" s="2908"/>
      <c r="F47" s="2908"/>
      <c r="G47" s="2908"/>
      <c r="H47" s="2908"/>
      <c r="I47" s="2908"/>
      <c r="J47" s="2908"/>
      <c r="K47" s="2908"/>
      <c r="L47" s="2908"/>
      <c r="M47" s="2908"/>
      <c r="N47" s="2908"/>
      <c r="O47" s="2908"/>
      <c r="P47" s="2908"/>
      <c r="Q47" s="2908"/>
      <c r="R47" s="2908"/>
      <c r="S47" s="2908"/>
      <c r="T47" s="2908"/>
      <c r="U47" s="2908"/>
      <c r="V47" s="2908"/>
    </row>
    <row r="48" spans="1:22" ht="15.75" customHeight="1">
      <c r="A48" s="437"/>
      <c r="B48" s="2905"/>
      <c r="C48" s="2905"/>
      <c r="D48" s="2905"/>
      <c r="E48" s="2905"/>
      <c r="F48" s="2905"/>
      <c r="G48" s="24"/>
      <c r="H48" s="24"/>
      <c r="I48" s="24"/>
      <c r="J48" s="24"/>
      <c r="K48" s="24"/>
      <c r="L48" s="24"/>
    </row>
    <row r="49" spans="1:12">
      <c r="A49" s="5"/>
      <c r="B49" s="2904"/>
      <c r="C49" s="2904"/>
      <c r="D49" s="2904"/>
      <c r="E49" s="2904"/>
      <c r="F49" s="2904"/>
      <c r="G49" s="6"/>
      <c r="H49" s="6"/>
      <c r="I49" s="6"/>
      <c r="J49" s="6"/>
      <c r="K49" s="6"/>
      <c r="L49" s="6"/>
    </row>
    <row r="50" spans="1:12">
      <c r="B50" s="2904"/>
      <c r="C50" s="2904"/>
      <c r="D50" s="2904"/>
      <c r="E50" s="2904"/>
      <c r="F50" s="2904"/>
    </row>
  </sheetData>
  <sortState ref="B37:V44">
    <sortCondition descending="1" ref="V37:V44"/>
  </sortState>
  <mergeCells count="20">
    <mergeCell ref="Q2:R2"/>
    <mergeCell ref="S2:T2"/>
    <mergeCell ref="U2:V2"/>
    <mergeCell ref="A1:V1"/>
    <mergeCell ref="A26:A35"/>
    <mergeCell ref="K2:L2"/>
    <mergeCell ref="A2:B3"/>
    <mergeCell ref="C2:D2"/>
    <mergeCell ref="E2:F2"/>
    <mergeCell ref="G2:H2"/>
    <mergeCell ref="I2:J2"/>
    <mergeCell ref="M2:N2"/>
    <mergeCell ref="O2:P2"/>
    <mergeCell ref="B50:F50"/>
    <mergeCell ref="B49:F49"/>
    <mergeCell ref="B48:F48"/>
    <mergeCell ref="A36:A45"/>
    <mergeCell ref="A4:A14"/>
    <mergeCell ref="A15:A25"/>
    <mergeCell ref="A47:V47"/>
  </mergeCells>
  <phoneticPr fontId="61" type="noConversion"/>
  <printOptions horizontalCentered="1" verticalCentered="1"/>
  <pageMargins left="0.70866141732283472" right="0.70866141732283472" top="0.74803149606299213" bottom="0.74803149606299213" header="0.31496062992125984" footer="0.31496062992125984"/>
  <pageSetup paperSize="11" scale="42" orientation="landscape" r:id="rId1"/>
  <headerFooter differentOddEven="1" scaleWithDoc="0">
    <oddHeader>&amp;L&amp;"Times New Roman,標準"&amp;8 107&amp;"標楷體,標準"年犯罪狀況及其分析</oddHeader>
    <evenHeader>&amp;R&amp;"標楷體,標準"&amp;8第一篇　&amp;"Times New Roman,標準"107&amp;"標楷體,標準"年犯罪狀況及近&amp;"Times New Roman,標準"10&amp;"標楷體,標準"年犯罪趨勢分析</evenHead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Q19"/>
  <sheetViews>
    <sheetView showGridLines="0" workbookViewId="0">
      <selection activeCell="B18" sqref="B18:D18"/>
    </sheetView>
  </sheetViews>
  <sheetFormatPr defaultRowHeight="15.75"/>
  <cols>
    <col min="1" max="1" width="6.375" style="2156" customWidth="1"/>
    <col min="2" max="2" width="22.375" style="2156" customWidth="1"/>
    <col min="3" max="17" width="7.625" style="2156" customWidth="1"/>
    <col min="18" max="253" width="9" style="2156"/>
    <col min="254" max="254" width="6.375" style="2156" customWidth="1"/>
    <col min="255" max="255" width="22.375" style="2156" customWidth="1"/>
    <col min="256" max="270" width="7.125" style="2156" customWidth="1"/>
    <col min="271" max="509" width="9" style="2156"/>
    <col min="510" max="510" width="6.375" style="2156" customWidth="1"/>
    <col min="511" max="511" width="22.375" style="2156" customWidth="1"/>
    <col min="512" max="526" width="7.125" style="2156" customWidth="1"/>
    <col min="527" max="765" width="9" style="2156"/>
    <col min="766" max="766" width="6.375" style="2156" customWidth="1"/>
    <col min="767" max="767" width="22.375" style="2156" customWidth="1"/>
    <col min="768" max="782" width="7.125" style="2156" customWidth="1"/>
    <col min="783" max="1021" width="9" style="2156"/>
    <col min="1022" max="1022" width="6.375" style="2156" customWidth="1"/>
    <col min="1023" max="1023" width="22.375" style="2156" customWidth="1"/>
    <col min="1024" max="1038" width="7.125" style="2156" customWidth="1"/>
    <col min="1039" max="1277" width="9" style="2156"/>
    <col min="1278" max="1278" width="6.375" style="2156" customWidth="1"/>
    <col min="1279" max="1279" width="22.375" style="2156" customWidth="1"/>
    <col min="1280" max="1294" width="7.125" style="2156" customWidth="1"/>
    <col min="1295" max="1533" width="9" style="2156"/>
    <col min="1534" max="1534" width="6.375" style="2156" customWidth="1"/>
    <col min="1535" max="1535" width="22.375" style="2156" customWidth="1"/>
    <col min="1536" max="1550" width="7.125" style="2156" customWidth="1"/>
    <col min="1551" max="1789" width="9" style="2156"/>
    <col min="1790" max="1790" width="6.375" style="2156" customWidth="1"/>
    <col min="1791" max="1791" width="22.375" style="2156" customWidth="1"/>
    <col min="1792" max="1806" width="7.125" style="2156" customWidth="1"/>
    <col min="1807" max="2045" width="9" style="2156"/>
    <col min="2046" max="2046" width="6.375" style="2156" customWidth="1"/>
    <col min="2047" max="2047" width="22.375" style="2156" customWidth="1"/>
    <col min="2048" max="2062" width="7.125" style="2156" customWidth="1"/>
    <col min="2063" max="2301" width="9" style="2156"/>
    <col min="2302" max="2302" width="6.375" style="2156" customWidth="1"/>
    <col min="2303" max="2303" width="22.375" style="2156" customWidth="1"/>
    <col min="2304" max="2318" width="7.125" style="2156" customWidth="1"/>
    <col min="2319" max="2557" width="9" style="2156"/>
    <col min="2558" max="2558" width="6.375" style="2156" customWidth="1"/>
    <col min="2559" max="2559" width="22.375" style="2156" customWidth="1"/>
    <col min="2560" max="2574" width="7.125" style="2156" customWidth="1"/>
    <col min="2575" max="2813" width="9" style="2156"/>
    <col min="2814" max="2814" width="6.375" style="2156" customWidth="1"/>
    <col min="2815" max="2815" width="22.375" style="2156" customWidth="1"/>
    <col min="2816" max="2830" width="7.125" style="2156" customWidth="1"/>
    <col min="2831" max="3069" width="9" style="2156"/>
    <col min="3070" max="3070" width="6.375" style="2156" customWidth="1"/>
    <col min="3071" max="3071" width="22.375" style="2156" customWidth="1"/>
    <col min="3072" max="3086" width="7.125" style="2156" customWidth="1"/>
    <col min="3087" max="3325" width="9" style="2156"/>
    <col min="3326" max="3326" width="6.375" style="2156" customWidth="1"/>
    <col min="3327" max="3327" width="22.375" style="2156" customWidth="1"/>
    <col min="3328" max="3342" width="7.125" style="2156" customWidth="1"/>
    <col min="3343" max="3581" width="9" style="2156"/>
    <col min="3582" max="3582" width="6.375" style="2156" customWidth="1"/>
    <col min="3583" max="3583" width="22.375" style="2156" customWidth="1"/>
    <col min="3584" max="3598" width="7.125" style="2156" customWidth="1"/>
    <col min="3599" max="3837" width="9" style="2156"/>
    <col min="3838" max="3838" width="6.375" style="2156" customWidth="1"/>
    <col min="3839" max="3839" width="22.375" style="2156" customWidth="1"/>
    <col min="3840" max="3854" width="7.125" style="2156" customWidth="1"/>
    <col min="3855" max="4093" width="9" style="2156"/>
    <col min="4094" max="4094" width="6.375" style="2156" customWidth="1"/>
    <col min="4095" max="4095" width="22.375" style="2156" customWidth="1"/>
    <col min="4096" max="4110" width="7.125" style="2156" customWidth="1"/>
    <col min="4111" max="4349" width="9" style="2156"/>
    <col min="4350" max="4350" width="6.375" style="2156" customWidth="1"/>
    <col min="4351" max="4351" width="22.375" style="2156" customWidth="1"/>
    <col min="4352" max="4366" width="7.125" style="2156" customWidth="1"/>
    <col min="4367" max="4605" width="9" style="2156"/>
    <col min="4606" max="4606" width="6.375" style="2156" customWidth="1"/>
    <col min="4607" max="4607" width="22.375" style="2156" customWidth="1"/>
    <col min="4608" max="4622" width="7.125" style="2156" customWidth="1"/>
    <col min="4623" max="4861" width="9" style="2156"/>
    <col min="4862" max="4862" width="6.375" style="2156" customWidth="1"/>
    <col min="4863" max="4863" width="22.375" style="2156" customWidth="1"/>
    <col min="4864" max="4878" width="7.125" style="2156" customWidth="1"/>
    <col min="4879" max="5117" width="9" style="2156"/>
    <col min="5118" max="5118" width="6.375" style="2156" customWidth="1"/>
    <col min="5119" max="5119" width="22.375" style="2156" customWidth="1"/>
    <col min="5120" max="5134" width="7.125" style="2156" customWidth="1"/>
    <col min="5135" max="5373" width="9" style="2156"/>
    <col min="5374" max="5374" width="6.375" style="2156" customWidth="1"/>
    <col min="5375" max="5375" width="22.375" style="2156" customWidth="1"/>
    <col min="5376" max="5390" width="7.125" style="2156" customWidth="1"/>
    <col min="5391" max="5629" width="9" style="2156"/>
    <col min="5630" max="5630" width="6.375" style="2156" customWidth="1"/>
    <col min="5631" max="5631" width="22.375" style="2156" customWidth="1"/>
    <col min="5632" max="5646" width="7.125" style="2156" customWidth="1"/>
    <col min="5647" max="5885" width="9" style="2156"/>
    <col min="5886" max="5886" width="6.375" style="2156" customWidth="1"/>
    <col min="5887" max="5887" width="22.375" style="2156" customWidth="1"/>
    <col min="5888" max="5902" width="7.125" style="2156" customWidth="1"/>
    <col min="5903" max="6141" width="9" style="2156"/>
    <col min="6142" max="6142" width="6.375" style="2156" customWidth="1"/>
    <col min="6143" max="6143" width="22.375" style="2156" customWidth="1"/>
    <col min="6144" max="6158" width="7.125" style="2156" customWidth="1"/>
    <col min="6159" max="6397" width="9" style="2156"/>
    <col min="6398" max="6398" width="6.375" style="2156" customWidth="1"/>
    <col min="6399" max="6399" width="22.375" style="2156" customWidth="1"/>
    <col min="6400" max="6414" width="7.125" style="2156" customWidth="1"/>
    <col min="6415" max="6653" width="9" style="2156"/>
    <col min="6654" max="6654" width="6.375" style="2156" customWidth="1"/>
    <col min="6655" max="6655" width="22.375" style="2156" customWidth="1"/>
    <col min="6656" max="6670" width="7.125" style="2156" customWidth="1"/>
    <col min="6671" max="6909" width="9" style="2156"/>
    <col min="6910" max="6910" width="6.375" style="2156" customWidth="1"/>
    <col min="6911" max="6911" width="22.375" style="2156" customWidth="1"/>
    <col min="6912" max="6926" width="7.125" style="2156" customWidth="1"/>
    <col min="6927" max="7165" width="9" style="2156"/>
    <col min="7166" max="7166" width="6.375" style="2156" customWidth="1"/>
    <col min="7167" max="7167" width="22.375" style="2156" customWidth="1"/>
    <col min="7168" max="7182" width="7.125" style="2156" customWidth="1"/>
    <col min="7183" max="7421" width="9" style="2156"/>
    <col min="7422" max="7422" width="6.375" style="2156" customWidth="1"/>
    <col min="7423" max="7423" width="22.375" style="2156" customWidth="1"/>
    <col min="7424" max="7438" width="7.125" style="2156" customWidth="1"/>
    <col min="7439" max="7677" width="9" style="2156"/>
    <col min="7678" max="7678" width="6.375" style="2156" customWidth="1"/>
    <col min="7679" max="7679" width="22.375" style="2156" customWidth="1"/>
    <col min="7680" max="7694" width="7.125" style="2156" customWidth="1"/>
    <col min="7695" max="7933" width="9" style="2156"/>
    <col min="7934" max="7934" width="6.375" style="2156" customWidth="1"/>
    <col min="7935" max="7935" width="22.375" style="2156" customWidth="1"/>
    <col min="7936" max="7950" width="7.125" style="2156" customWidth="1"/>
    <col min="7951" max="8189" width="9" style="2156"/>
    <col min="8190" max="8190" width="6.375" style="2156" customWidth="1"/>
    <col min="8191" max="8191" width="22.375" style="2156" customWidth="1"/>
    <col min="8192" max="8206" width="7.125" style="2156" customWidth="1"/>
    <col min="8207" max="8445" width="9" style="2156"/>
    <col min="8446" max="8446" width="6.375" style="2156" customWidth="1"/>
    <col min="8447" max="8447" width="22.375" style="2156" customWidth="1"/>
    <col min="8448" max="8462" width="7.125" style="2156" customWidth="1"/>
    <col min="8463" max="8701" width="9" style="2156"/>
    <col min="8702" max="8702" width="6.375" style="2156" customWidth="1"/>
    <col min="8703" max="8703" width="22.375" style="2156" customWidth="1"/>
    <col min="8704" max="8718" width="7.125" style="2156" customWidth="1"/>
    <col min="8719" max="8957" width="9" style="2156"/>
    <col min="8958" max="8958" width="6.375" style="2156" customWidth="1"/>
    <col min="8959" max="8959" width="22.375" style="2156" customWidth="1"/>
    <col min="8960" max="8974" width="7.125" style="2156" customWidth="1"/>
    <col min="8975" max="9213" width="9" style="2156"/>
    <col min="9214" max="9214" width="6.375" style="2156" customWidth="1"/>
    <col min="9215" max="9215" width="22.375" style="2156" customWidth="1"/>
    <col min="9216" max="9230" width="7.125" style="2156" customWidth="1"/>
    <col min="9231" max="9469" width="9" style="2156"/>
    <col min="9470" max="9470" width="6.375" style="2156" customWidth="1"/>
    <col min="9471" max="9471" width="22.375" style="2156" customWidth="1"/>
    <col min="9472" max="9486" width="7.125" style="2156" customWidth="1"/>
    <col min="9487" max="9725" width="9" style="2156"/>
    <col min="9726" max="9726" width="6.375" style="2156" customWidth="1"/>
    <col min="9727" max="9727" width="22.375" style="2156" customWidth="1"/>
    <col min="9728" max="9742" width="7.125" style="2156" customWidth="1"/>
    <col min="9743" max="9981" width="9" style="2156"/>
    <col min="9982" max="9982" width="6.375" style="2156" customWidth="1"/>
    <col min="9983" max="9983" width="22.375" style="2156" customWidth="1"/>
    <col min="9984" max="9998" width="7.125" style="2156" customWidth="1"/>
    <col min="9999" max="10237" width="9" style="2156"/>
    <col min="10238" max="10238" width="6.375" style="2156" customWidth="1"/>
    <col min="10239" max="10239" width="22.375" style="2156" customWidth="1"/>
    <col min="10240" max="10254" width="7.125" style="2156" customWidth="1"/>
    <col min="10255" max="10493" width="9" style="2156"/>
    <col min="10494" max="10494" width="6.375" style="2156" customWidth="1"/>
    <col min="10495" max="10495" width="22.375" style="2156" customWidth="1"/>
    <col min="10496" max="10510" width="7.125" style="2156" customWidth="1"/>
    <col min="10511" max="10749" width="9" style="2156"/>
    <col min="10750" max="10750" width="6.375" style="2156" customWidth="1"/>
    <col min="10751" max="10751" width="22.375" style="2156" customWidth="1"/>
    <col min="10752" max="10766" width="7.125" style="2156" customWidth="1"/>
    <col min="10767" max="11005" width="9" style="2156"/>
    <col min="11006" max="11006" width="6.375" style="2156" customWidth="1"/>
    <col min="11007" max="11007" width="22.375" style="2156" customWidth="1"/>
    <col min="11008" max="11022" width="7.125" style="2156" customWidth="1"/>
    <col min="11023" max="11261" width="9" style="2156"/>
    <col min="11262" max="11262" width="6.375" style="2156" customWidth="1"/>
    <col min="11263" max="11263" width="22.375" style="2156" customWidth="1"/>
    <col min="11264" max="11278" width="7.125" style="2156" customWidth="1"/>
    <col min="11279" max="11517" width="9" style="2156"/>
    <col min="11518" max="11518" width="6.375" style="2156" customWidth="1"/>
    <col min="11519" max="11519" width="22.375" style="2156" customWidth="1"/>
    <col min="11520" max="11534" width="7.125" style="2156" customWidth="1"/>
    <col min="11535" max="11773" width="9" style="2156"/>
    <col min="11774" max="11774" width="6.375" style="2156" customWidth="1"/>
    <col min="11775" max="11775" width="22.375" style="2156" customWidth="1"/>
    <col min="11776" max="11790" width="7.125" style="2156" customWidth="1"/>
    <col min="11791" max="12029" width="9" style="2156"/>
    <col min="12030" max="12030" width="6.375" style="2156" customWidth="1"/>
    <col min="12031" max="12031" width="22.375" style="2156" customWidth="1"/>
    <col min="12032" max="12046" width="7.125" style="2156" customWidth="1"/>
    <col min="12047" max="12285" width="9" style="2156"/>
    <col min="12286" max="12286" width="6.375" style="2156" customWidth="1"/>
    <col min="12287" max="12287" width="22.375" style="2156" customWidth="1"/>
    <col min="12288" max="12302" width="7.125" style="2156" customWidth="1"/>
    <col min="12303" max="12541" width="9" style="2156"/>
    <col min="12542" max="12542" width="6.375" style="2156" customWidth="1"/>
    <col min="12543" max="12543" width="22.375" style="2156" customWidth="1"/>
    <col min="12544" max="12558" width="7.125" style="2156" customWidth="1"/>
    <col min="12559" max="12797" width="9" style="2156"/>
    <col min="12798" max="12798" width="6.375" style="2156" customWidth="1"/>
    <col min="12799" max="12799" width="22.375" style="2156" customWidth="1"/>
    <col min="12800" max="12814" width="7.125" style="2156" customWidth="1"/>
    <col min="12815" max="13053" width="9" style="2156"/>
    <col min="13054" max="13054" width="6.375" style="2156" customWidth="1"/>
    <col min="13055" max="13055" width="22.375" style="2156" customWidth="1"/>
    <col min="13056" max="13070" width="7.125" style="2156" customWidth="1"/>
    <col min="13071" max="13309" width="9" style="2156"/>
    <col min="13310" max="13310" width="6.375" style="2156" customWidth="1"/>
    <col min="13311" max="13311" width="22.375" style="2156" customWidth="1"/>
    <col min="13312" max="13326" width="7.125" style="2156" customWidth="1"/>
    <col min="13327" max="13565" width="9" style="2156"/>
    <col min="13566" max="13566" width="6.375" style="2156" customWidth="1"/>
    <col min="13567" max="13567" width="22.375" style="2156" customWidth="1"/>
    <col min="13568" max="13582" width="7.125" style="2156" customWidth="1"/>
    <col min="13583" max="13821" width="9" style="2156"/>
    <col min="13822" max="13822" width="6.375" style="2156" customWidth="1"/>
    <col min="13823" max="13823" width="22.375" style="2156" customWidth="1"/>
    <col min="13824" max="13838" width="7.125" style="2156" customWidth="1"/>
    <col min="13839" max="14077" width="9" style="2156"/>
    <col min="14078" max="14078" width="6.375" style="2156" customWidth="1"/>
    <col min="14079" max="14079" width="22.375" style="2156" customWidth="1"/>
    <col min="14080" max="14094" width="7.125" style="2156" customWidth="1"/>
    <col min="14095" max="14333" width="9" style="2156"/>
    <col min="14334" max="14334" width="6.375" style="2156" customWidth="1"/>
    <col min="14335" max="14335" width="22.375" style="2156" customWidth="1"/>
    <col min="14336" max="14350" width="7.125" style="2156" customWidth="1"/>
    <col min="14351" max="14589" width="9" style="2156"/>
    <col min="14590" max="14590" width="6.375" style="2156" customWidth="1"/>
    <col min="14591" max="14591" width="22.375" style="2156" customWidth="1"/>
    <col min="14592" max="14606" width="7.125" style="2156" customWidth="1"/>
    <col min="14607" max="14845" width="9" style="2156"/>
    <col min="14846" max="14846" width="6.375" style="2156" customWidth="1"/>
    <col min="14847" max="14847" width="22.375" style="2156" customWidth="1"/>
    <col min="14848" max="14862" width="7.125" style="2156" customWidth="1"/>
    <col min="14863" max="15101" width="9" style="2156"/>
    <col min="15102" max="15102" width="6.375" style="2156" customWidth="1"/>
    <col min="15103" max="15103" width="22.375" style="2156" customWidth="1"/>
    <col min="15104" max="15118" width="7.125" style="2156" customWidth="1"/>
    <col min="15119" max="15357" width="9" style="2156"/>
    <col min="15358" max="15358" width="6.375" style="2156" customWidth="1"/>
    <col min="15359" max="15359" width="22.375" style="2156" customWidth="1"/>
    <col min="15360" max="15374" width="7.125" style="2156" customWidth="1"/>
    <col min="15375" max="15613" width="9" style="2156"/>
    <col min="15614" max="15614" width="6.375" style="2156" customWidth="1"/>
    <col min="15615" max="15615" width="22.375" style="2156" customWidth="1"/>
    <col min="15616" max="15630" width="7.125" style="2156" customWidth="1"/>
    <col min="15631" max="15869" width="9" style="2156"/>
    <col min="15870" max="15870" width="6.375" style="2156" customWidth="1"/>
    <col min="15871" max="15871" width="22.375" style="2156" customWidth="1"/>
    <col min="15872" max="15886" width="7.125" style="2156" customWidth="1"/>
    <col min="15887" max="16125" width="9" style="2156"/>
    <col min="16126" max="16126" width="6.375" style="2156" customWidth="1"/>
    <col min="16127" max="16127" width="22.375" style="2156" customWidth="1"/>
    <col min="16128" max="16142" width="7.125" style="2156" customWidth="1"/>
    <col min="16143" max="16384" width="9" style="2156"/>
  </cols>
  <sheetData>
    <row r="1" spans="1:17" s="2153" customFormat="1" ht="25.35" customHeight="1">
      <c r="A1" s="3926" t="s">
        <v>3335</v>
      </c>
      <c r="B1" s="3926"/>
      <c r="C1" s="3926"/>
      <c r="D1" s="3926"/>
      <c r="E1" s="3926"/>
      <c r="F1" s="3926"/>
      <c r="G1" s="3926"/>
      <c r="H1" s="3926"/>
      <c r="I1" s="3926"/>
      <c r="J1" s="3926"/>
      <c r="K1" s="3926"/>
      <c r="L1" s="3926"/>
      <c r="M1" s="3926"/>
      <c r="N1" s="3926"/>
      <c r="O1" s="3926"/>
      <c r="P1" s="3926"/>
      <c r="Q1" s="3926"/>
    </row>
    <row r="2" spans="1:17" ht="36.6" customHeight="1">
      <c r="A2" s="3908"/>
      <c r="B2" s="3908"/>
      <c r="C2" s="3905" t="s">
        <v>3198</v>
      </c>
      <c r="D2" s="3905"/>
      <c r="E2" s="3905"/>
      <c r="F2" s="3907" t="s">
        <v>3199</v>
      </c>
      <c r="G2" s="3905"/>
      <c r="H2" s="3905"/>
      <c r="I2" s="3907" t="s">
        <v>3200</v>
      </c>
      <c r="J2" s="3905"/>
      <c r="K2" s="3905"/>
      <c r="L2" s="3907" t="s">
        <v>3336</v>
      </c>
      <c r="M2" s="3905"/>
      <c r="N2" s="3905"/>
      <c r="O2" s="3907" t="s">
        <v>3202</v>
      </c>
      <c r="P2" s="3905"/>
      <c r="Q2" s="3905"/>
    </row>
    <row r="3" spans="1:17" ht="37.15" customHeight="1">
      <c r="A3" s="3910"/>
      <c r="B3" s="3910"/>
      <c r="C3" s="2175" t="s">
        <v>3219</v>
      </c>
      <c r="D3" s="2176" t="s">
        <v>3220</v>
      </c>
      <c r="E3" s="2176" t="s">
        <v>3221</v>
      </c>
      <c r="F3" s="2176" t="s">
        <v>3298</v>
      </c>
      <c r="G3" s="2176" t="s">
        <v>3220</v>
      </c>
      <c r="H3" s="2176" t="s">
        <v>3337</v>
      </c>
      <c r="I3" s="2176" t="s">
        <v>3219</v>
      </c>
      <c r="J3" s="2176" t="s">
        <v>3222</v>
      </c>
      <c r="K3" s="2176" t="s">
        <v>3338</v>
      </c>
      <c r="L3" s="2176" t="s">
        <v>3219</v>
      </c>
      <c r="M3" s="2176" t="s">
        <v>3265</v>
      </c>
      <c r="N3" s="2176" t="s">
        <v>3337</v>
      </c>
      <c r="O3" s="2176" t="s">
        <v>3219</v>
      </c>
      <c r="P3" s="2176" t="s">
        <v>3339</v>
      </c>
      <c r="Q3" s="2176" t="s">
        <v>3235</v>
      </c>
    </row>
    <row r="4" spans="1:17" ht="24.6" customHeight="1">
      <c r="A4" s="3899" t="s">
        <v>3340</v>
      </c>
      <c r="B4" s="3921"/>
      <c r="C4" s="2215">
        <f t="shared" ref="C4:Q4" si="0">SUM(C5:C17)</f>
        <v>825</v>
      </c>
      <c r="D4" s="2215">
        <f t="shared" si="0"/>
        <v>724</v>
      </c>
      <c r="E4" s="2215">
        <f t="shared" si="0"/>
        <v>101</v>
      </c>
      <c r="F4" s="2215">
        <f t="shared" si="0"/>
        <v>833</v>
      </c>
      <c r="G4" s="2215">
        <f t="shared" si="0"/>
        <v>709</v>
      </c>
      <c r="H4" s="2215">
        <f t="shared" si="0"/>
        <v>124</v>
      </c>
      <c r="I4" s="2215">
        <f t="shared" si="0"/>
        <v>738</v>
      </c>
      <c r="J4" s="2215">
        <f t="shared" si="0"/>
        <v>636</v>
      </c>
      <c r="K4" s="2215">
        <f t="shared" si="0"/>
        <v>102</v>
      </c>
      <c r="L4" s="2215">
        <f t="shared" si="0"/>
        <v>475</v>
      </c>
      <c r="M4" s="2215">
        <f t="shared" si="0"/>
        <v>420</v>
      </c>
      <c r="N4" s="2215">
        <f t="shared" si="0"/>
        <v>55</v>
      </c>
      <c r="O4" s="2215">
        <f t="shared" si="0"/>
        <v>473</v>
      </c>
      <c r="P4" s="2215">
        <f t="shared" si="0"/>
        <v>402</v>
      </c>
      <c r="Q4" s="2216">
        <f t="shared" si="0"/>
        <v>71</v>
      </c>
    </row>
    <row r="5" spans="1:17" ht="28.15" customHeight="1">
      <c r="A5" s="3922" t="s">
        <v>3341</v>
      </c>
      <c r="B5" s="2217" t="s">
        <v>3342</v>
      </c>
      <c r="C5" s="2215">
        <v>147</v>
      </c>
      <c r="D5" s="2215">
        <v>129</v>
      </c>
      <c r="E5" s="2215">
        <v>18</v>
      </c>
      <c r="F5" s="2215">
        <v>154</v>
      </c>
      <c r="G5" s="2215">
        <v>127</v>
      </c>
      <c r="H5" s="2215">
        <v>27</v>
      </c>
      <c r="I5" s="2215">
        <v>122</v>
      </c>
      <c r="J5" s="2215">
        <v>107</v>
      </c>
      <c r="K5" s="2215">
        <v>15</v>
      </c>
      <c r="L5" s="2215">
        <v>86</v>
      </c>
      <c r="M5" s="2215">
        <v>82</v>
      </c>
      <c r="N5" s="2215">
        <v>4</v>
      </c>
      <c r="O5" s="2215">
        <v>92</v>
      </c>
      <c r="P5" s="2215">
        <v>72</v>
      </c>
      <c r="Q5" s="2218">
        <v>20</v>
      </c>
    </row>
    <row r="6" spans="1:17" ht="28.15" customHeight="1">
      <c r="A6" s="3923"/>
      <c r="B6" s="2219" t="s">
        <v>3343</v>
      </c>
      <c r="C6" s="2215">
        <v>280</v>
      </c>
      <c r="D6" s="2215">
        <v>244</v>
      </c>
      <c r="E6" s="2215">
        <v>36</v>
      </c>
      <c r="F6" s="2215">
        <v>267</v>
      </c>
      <c r="G6" s="2215">
        <v>222</v>
      </c>
      <c r="H6" s="2215">
        <v>45</v>
      </c>
      <c r="I6" s="2215">
        <v>232</v>
      </c>
      <c r="J6" s="2215">
        <v>182</v>
      </c>
      <c r="K6" s="2215">
        <v>50</v>
      </c>
      <c r="L6" s="2215">
        <v>121</v>
      </c>
      <c r="M6" s="2215">
        <v>92</v>
      </c>
      <c r="N6" s="2215">
        <v>29</v>
      </c>
      <c r="O6" s="2215">
        <v>88</v>
      </c>
      <c r="P6" s="2215">
        <v>61</v>
      </c>
      <c r="Q6" s="2218">
        <v>27</v>
      </c>
    </row>
    <row r="7" spans="1:17" ht="28.15" customHeight="1">
      <c r="A7" s="3923"/>
      <c r="B7" s="2220" t="s">
        <v>3344</v>
      </c>
      <c r="C7" s="2215">
        <v>76</v>
      </c>
      <c r="D7" s="2215">
        <v>70</v>
      </c>
      <c r="E7" s="2215">
        <v>6</v>
      </c>
      <c r="F7" s="2215">
        <v>79</v>
      </c>
      <c r="G7" s="2215">
        <v>70</v>
      </c>
      <c r="H7" s="2215">
        <v>9</v>
      </c>
      <c r="I7" s="2215">
        <v>69</v>
      </c>
      <c r="J7" s="2215">
        <v>61</v>
      </c>
      <c r="K7" s="2215">
        <v>8</v>
      </c>
      <c r="L7" s="2215">
        <v>59</v>
      </c>
      <c r="M7" s="2215">
        <v>53</v>
      </c>
      <c r="N7" s="2215">
        <v>6</v>
      </c>
      <c r="O7" s="2215">
        <v>65</v>
      </c>
      <c r="P7" s="2215">
        <v>60</v>
      </c>
      <c r="Q7" s="2218">
        <v>5</v>
      </c>
    </row>
    <row r="8" spans="1:17" ht="28.15" customHeight="1">
      <c r="A8" s="3923"/>
      <c r="B8" s="2219" t="s">
        <v>3345</v>
      </c>
      <c r="C8" s="2215">
        <v>46</v>
      </c>
      <c r="D8" s="2215">
        <v>45</v>
      </c>
      <c r="E8" s="2215">
        <v>1</v>
      </c>
      <c r="F8" s="2215">
        <v>43</v>
      </c>
      <c r="G8" s="2215">
        <v>41</v>
      </c>
      <c r="H8" s="2215">
        <v>2</v>
      </c>
      <c r="I8" s="2215">
        <v>40</v>
      </c>
      <c r="J8" s="2215">
        <v>39</v>
      </c>
      <c r="K8" s="2215">
        <v>1</v>
      </c>
      <c r="L8" s="2215">
        <v>33</v>
      </c>
      <c r="M8" s="2215">
        <v>30</v>
      </c>
      <c r="N8" s="2215">
        <v>3</v>
      </c>
      <c r="O8" s="2215">
        <v>37</v>
      </c>
      <c r="P8" s="2215">
        <v>36</v>
      </c>
      <c r="Q8" s="2218">
        <v>1</v>
      </c>
    </row>
    <row r="9" spans="1:17" ht="28.15" customHeight="1">
      <c r="A9" s="3923"/>
      <c r="B9" s="2220" t="s">
        <v>3346</v>
      </c>
      <c r="C9" s="2215">
        <v>24</v>
      </c>
      <c r="D9" s="2215">
        <v>23</v>
      </c>
      <c r="E9" s="2215">
        <v>1</v>
      </c>
      <c r="F9" s="2215">
        <v>15</v>
      </c>
      <c r="G9" s="2215">
        <v>14</v>
      </c>
      <c r="H9" s="2215">
        <v>1</v>
      </c>
      <c r="I9" s="2215">
        <v>12</v>
      </c>
      <c r="J9" s="2215">
        <v>12</v>
      </c>
      <c r="K9" s="2221" t="s">
        <v>1</v>
      </c>
      <c r="L9" s="2215">
        <v>5</v>
      </c>
      <c r="M9" s="2215">
        <v>5</v>
      </c>
      <c r="N9" s="2221" t="s">
        <v>1</v>
      </c>
      <c r="O9" s="2215">
        <v>12</v>
      </c>
      <c r="P9" s="2215">
        <v>11</v>
      </c>
      <c r="Q9" s="2218">
        <v>1</v>
      </c>
    </row>
    <row r="10" spans="1:17" ht="28.15" customHeight="1">
      <c r="A10" s="3923"/>
      <c r="B10" s="2220" t="s">
        <v>3347</v>
      </c>
      <c r="C10" s="2215">
        <v>7</v>
      </c>
      <c r="D10" s="2215">
        <v>6</v>
      </c>
      <c r="E10" s="2215">
        <v>1</v>
      </c>
      <c r="F10" s="2215">
        <v>6</v>
      </c>
      <c r="G10" s="2215">
        <v>5</v>
      </c>
      <c r="H10" s="2215">
        <v>1</v>
      </c>
      <c r="I10" s="2215">
        <v>11</v>
      </c>
      <c r="J10" s="2215">
        <v>7</v>
      </c>
      <c r="K10" s="2215">
        <v>4</v>
      </c>
      <c r="L10" s="2215">
        <v>13</v>
      </c>
      <c r="M10" s="2215">
        <v>9</v>
      </c>
      <c r="N10" s="2215">
        <v>4</v>
      </c>
      <c r="O10" s="2215">
        <v>8</v>
      </c>
      <c r="P10" s="2215">
        <v>6</v>
      </c>
      <c r="Q10" s="2218">
        <v>2</v>
      </c>
    </row>
    <row r="11" spans="1:17" ht="28.15" customHeight="1">
      <c r="A11" s="3923"/>
      <c r="B11" s="2219" t="s">
        <v>3348</v>
      </c>
      <c r="C11" s="2215">
        <v>2</v>
      </c>
      <c r="D11" s="2215">
        <v>2</v>
      </c>
      <c r="E11" s="2221" t="s">
        <v>1</v>
      </c>
      <c r="F11" s="2215">
        <v>3</v>
      </c>
      <c r="G11" s="2215">
        <v>3</v>
      </c>
      <c r="H11" s="2221" t="s">
        <v>1</v>
      </c>
      <c r="I11" s="2215">
        <v>2</v>
      </c>
      <c r="J11" s="2215">
        <v>2</v>
      </c>
      <c r="K11" s="2221" t="s">
        <v>1</v>
      </c>
      <c r="L11" s="2215">
        <v>5</v>
      </c>
      <c r="M11" s="2215">
        <v>5</v>
      </c>
      <c r="N11" s="2221" t="s">
        <v>1</v>
      </c>
      <c r="O11" s="2215">
        <v>7</v>
      </c>
      <c r="P11" s="2215">
        <v>7</v>
      </c>
      <c r="Q11" s="2222" t="s">
        <v>1</v>
      </c>
    </row>
    <row r="12" spans="1:17" ht="28.15" customHeight="1">
      <c r="A12" s="3923"/>
      <c r="B12" s="2220" t="s">
        <v>3349</v>
      </c>
      <c r="C12" s="2215">
        <v>6</v>
      </c>
      <c r="D12" s="2215">
        <v>6</v>
      </c>
      <c r="E12" s="2221" t="s">
        <v>1</v>
      </c>
      <c r="F12" s="2215">
        <v>5</v>
      </c>
      <c r="G12" s="2215">
        <v>5</v>
      </c>
      <c r="H12" s="2221" t="s">
        <v>1</v>
      </c>
      <c r="I12" s="2215">
        <v>4</v>
      </c>
      <c r="J12" s="2215">
        <v>4</v>
      </c>
      <c r="K12" s="2221" t="s">
        <v>1</v>
      </c>
      <c r="L12" s="2215">
        <v>5</v>
      </c>
      <c r="M12" s="2215">
        <v>5</v>
      </c>
      <c r="N12" s="2221" t="s">
        <v>1</v>
      </c>
      <c r="O12" s="2215">
        <v>4</v>
      </c>
      <c r="P12" s="2215">
        <v>4</v>
      </c>
      <c r="Q12" s="2222" t="s">
        <v>1</v>
      </c>
    </row>
    <row r="13" spans="1:17" ht="28.15" customHeight="1">
      <c r="A13" s="3923"/>
      <c r="B13" s="2220" t="s">
        <v>3350</v>
      </c>
      <c r="C13" s="2215">
        <v>4</v>
      </c>
      <c r="D13" s="2215">
        <v>3</v>
      </c>
      <c r="E13" s="2215">
        <v>1</v>
      </c>
      <c r="F13" s="2215">
        <v>3</v>
      </c>
      <c r="G13" s="2215">
        <v>3</v>
      </c>
      <c r="H13" s="2221" t="s">
        <v>1</v>
      </c>
      <c r="I13" s="2221" t="s">
        <v>1</v>
      </c>
      <c r="J13" s="2221" t="s">
        <v>1</v>
      </c>
      <c r="K13" s="2221" t="s">
        <v>1</v>
      </c>
      <c r="L13" s="2215">
        <v>6</v>
      </c>
      <c r="M13" s="2215">
        <v>5</v>
      </c>
      <c r="N13" s="2215">
        <v>1</v>
      </c>
      <c r="O13" s="2215">
        <v>2</v>
      </c>
      <c r="P13" s="2215">
        <v>2</v>
      </c>
      <c r="Q13" s="2222" t="s">
        <v>1</v>
      </c>
    </row>
    <row r="14" spans="1:17" ht="28.15" customHeight="1">
      <c r="A14" s="3923"/>
      <c r="B14" s="2220" t="s">
        <v>3351</v>
      </c>
      <c r="C14" s="2221" t="s">
        <v>1</v>
      </c>
      <c r="D14" s="2221" t="s">
        <v>1</v>
      </c>
      <c r="E14" s="2221" t="s">
        <v>1</v>
      </c>
      <c r="F14" s="2215">
        <v>1</v>
      </c>
      <c r="G14" s="2215">
        <v>1</v>
      </c>
      <c r="H14" s="2221" t="s">
        <v>1</v>
      </c>
      <c r="I14" s="2221" t="s">
        <v>1</v>
      </c>
      <c r="J14" s="2221" t="s">
        <v>1</v>
      </c>
      <c r="K14" s="2221" t="s">
        <v>1</v>
      </c>
      <c r="L14" s="2221" t="s">
        <v>1</v>
      </c>
      <c r="M14" s="2221" t="s">
        <v>1</v>
      </c>
      <c r="N14" s="2221" t="s">
        <v>1</v>
      </c>
      <c r="O14" s="2215">
        <v>1</v>
      </c>
      <c r="P14" s="2215">
        <v>1</v>
      </c>
      <c r="Q14" s="2222" t="s">
        <v>1</v>
      </c>
    </row>
    <row r="15" spans="1:17" ht="28.15" customHeight="1">
      <c r="A15" s="3923"/>
      <c r="B15" s="2219" t="s">
        <v>3352</v>
      </c>
      <c r="C15" s="2215">
        <v>1</v>
      </c>
      <c r="D15" s="2215">
        <v>1</v>
      </c>
      <c r="E15" s="2221" t="s">
        <v>1</v>
      </c>
      <c r="F15" s="2221" t="s">
        <v>1</v>
      </c>
      <c r="G15" s="2221" t="s">
        <v>1</v>
      </c>
      <c r="H15" s="2221" t="s">
        <v>1</v>
      </c>
      <c r="I15" s="2221" t="s">
        <v>1</v>
      </c>
      <c r="J15" s="2221" t="s">
        <v>1</v>
      </c>
      <c r="K15" s="2221" t="s">
        <v>1</v>
      </c>
      <c r="L15" s="2221" t="s">
        <v>1</v>
      </c>
      <c r="M15" s="2221" t="s">
        <v>1</v>
      </c>
      <c r="N15" s="2221" t="s">
        <v>1</v>
      </c>
      <c r="O15" s="2221" t="s">
        <v>1</v>
      </c>
      <c r="P15" s="2221" t="s">
        <v>1</v>
      </c>
      <c r="Q15" s="2222" t="s">
        <v>1</v>
      </c>
    </row>
    <row r="16" spans="1:17" ht="28.15" customHeight="1">
      <c r="A16" s="3923"/>
      <c r="B16" s="2220" t="s">
        <v>3353</v>
      </c>
      <c r="C16" s="2215">
        <v>89</v>
      </c>
      <c r="D16" s="2215">
        <v>86</v>
      </c>
      <c r="E16" s="2215">
        <v>3</v>
      </c>
      <c r="F16" s="2215">
        <v>145</v>
      </c>
      <c r="G16" s="2215">
        <v>122</v>
      </c>
      <c r="H16" s="2215">
        <v>23</v>
      </c>
      <c r="I16" s="2215">
        <v>167</v>
      </c>
      <c r="J16" s="2215">
        <v>161</v>
      </c>
      <c r="K16" s="2215">
        <v>6</v>
      </c>
      <c r="L16" s="2215">
        <v>105</v>
      </c>
      <c r="M16" s="2215">
        <v>102</v>
      </c>
      <c r="N16" s="2215">
        <v>3</v>
      </c>
      <c r="O16" s="2215">
        <v>124</v>
      </c>
      <c r="P16" s="2215">
        <v>113</v>
      </c>
      <c r="Q16" s="2218">
        <v>11</v>
      </c>
    </row>
    <row r="17" spans="1:17" ht="28.15" customHeight="1">
      <c r="A17" s="3924" t="s">
        <v>3354</v>
      </c>
      <c r="B17" s="3925"/>
      <c r="C17" s="2223">
        <v>143</v>
      </c>
      <c r="D17" s="2223">
        <v>109</v>
      </c>
      <c r="E17" s="2223">
        <v>34</v>
      </c>
      <c r="F17" s="2223">
        <v>112</v>
      </c>
      <c r="G17" s="2223">
        <v>96</v>
      </c>
      <c r="H17" s="2223">
        <v>16</v>
      </c>
      <c r="I17" s="2223">
        <v>79</v>
      </c>
      <c r="J17" s="2223">
        <v>61</v>
      </c>
      <c r="K17" s="2223">
        <v>18</v>
      </c>
      <c r="L17" s="2223">
        <v>37</v>
      </c>
      <c r="M17" s="2223">
        <v>32</v>
      </c>
      <c r="N17" s="2223">
        <v>5</v>
      </c>
      <c r="O17" s="2223">
        <v>33</v>
      </c>
      <c r="P17" s="2223">
        <v>29</v>
      </c>
      <c r="Q17" s="2224">
        <v>4</v>
      </c>
    </row>
    <row r="18" spans="1:17" ht="14.25" customHeight="1">
      <c r="A18" s="2170" t="s">
        <v>997</v>
      </c>
      <c r="B18" s="2170"/>
      <c r="C18" s="2184"/>
      <c r="D18" s="2184"/>
      <c r="E18" s="2184"/>
      <c r="F18" s="2170"/>
      <c r="G18" s="2170"/>
      <c r="H18" s="2170"/>
      <c r="I18" s="2197"/>
      <c r="J18" s="2197"/>
      <c r="K18" s="2197"/>
      <c r="L18" s="2170"/>
      <c r="M18" s="2170"/>
      <c r="N18" s="2170"/>
      <c r="O18" s="2170"/>
      <c r="P18" s="2170"/>
      <c r="Q18" s="2170"/>
    </row>
    <row r="19" spans="1:17" ht="14.25" customHeight="1">
      <c r="A19" s="2225" t="s">
        <v>3355</v>
      </c>
      <c r="B19" s="2170"/>
      <c r="C19" s="2170"/>
      <c r="D19" s="2170"/>
      <c r="E19" s="2170"/>
      <c r="F19" s="2170"/>
      <c r="G19" s="2170"/>
      <c r="H19" s="2170"/>
      <c r="I19" s="2170"/>
      <c r="J19" s="2170"/>
      <c r="K19" s="2170"/>
      <c r="L19" s="2170"/>
      <c r="M19" s="2170"/>
      <c r="N19" s="2170"/>
      <c r="O19" s="2170"/>
      <c r="P19" s="2170"/>
      <c r="Q19" s="2170"/>
    </row>
  </sheetData>
  <mergeCells count="10">
    <mergeCell ref="A4:B4"/>
    <mergeCell ref="A5:A16"/>
    <mergeCell ref="A17:B17"/>
    <mergeCell ref="A1:Q1"/>
    <mergeCell ref="A2:B3"/>
    <mergeCell ref="C2:E2"/>
    <mergeCell ref="F2:H2"/>
    <mergeCell ref="I2:K2"/>
    <mergeCell ref="L2:N2"/>
    <mergeCell ref="O2:Q2"/>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60"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G20"/>
  <sheetViews>
    <sheetView showGridLines="0" workbookViewId="0">
      <selection activeCell="B18" sqref="B18:D18"/>
    </sheetView>
  </sheetViews>
  <sheetFormatPr defaultRowHeight="12.75"/>
  <cols>
    <col min="1" max="1" width="12.625" style="2226" customWidth="1"/>
    <col min="2" max="2" width="6.625" style="2226" customWidth="1"/>
    <col min="3" max="7" width="20.625" style="2226" customWidth="1"/>
    <col min="8" max="256" width="9" style="2226"/>
    <col min="257" max="257" width="12.625" style="2226" customWidth="1"/>
    <col min="258" max="258" width="6.625" style="2226" customWidth="1"/>
    <col min="259" max="263" width="20.625" style="2226" customWidth="1"/>
    <col min="264" max="512" width="9" style="2226"/>
    <col min="513" max="513" width="12.625" style="2226" customWidth="1"/>
    <col min="514" max="514" width="6.625" style="2226" customWidth="1"/>
    <col min="515" max="519" width="20.625" style="2226" customWidth="1"/>
    <col min="520" max="768" width="9" style="2226"/>
    <col min="769" max="769" width="12.625" style="2226" customWidth="1"/>
    <col min="770" max="770" width="6.625" style="2226" customWidth="1"/>
    <col min="771" max="775" width="20.625" style="2226" customWidth="1"/>
    <col min="776" max="1024" width="9" style="2226"/>
    <col min="1025" max="1025" width="12.625" style="2226" customWidth="1"/>
    <col min="1026" max="1026" width="6.625" style="2226" customWidth="1"/>
    <col min="1027" max="1031" width="20.625" style="2226" customWidth="1"/>
    <col min="1032" max="1280" width="9" style="2226"/>
    <col min="1281" max="1281" width="12.625" style="2226" customWidth="1"/>
    <col min="1282" max="1282" width="6.625" style="2226" customWidth="1"/>
    <col min="1283" max="1287" width="20.625" style="2226" customWidth="1"/>
    <col min="1288" max="1536" width="9" style="2226"/>
    <col min="1537" max="1537" width="12.625" style="2226" customWidth="1"/>
    <col min="1538" max="1538" width="6.625" style="2226" customWidth="1"/>
    <col min="1539" max="1543" width="20.625" style="2226" customWidth="1"/>
    <col min="1544" max="1792" width="9" style="2226"/>
    <col min="1793" max="1793" width="12.625" style="2226" customWidth="1"/>
    <col min="1794" max="1794" width="6.625" style="2226" customWidth="1"/>
    <col min="1795" max="1799" width="20.625" style="2226" customWidth="1"/>
    <col min="1800" max="2048" width="9" style="2226"/>
    <col min="2049" max="2049" width="12.625" style="2226" customWidth="1"/>
    <col min="2050" max="2050" width="6.625" style="2226" customWidth="1"/>
    <col min="2051" max="2055" width="20.625" style="2226" customWidth="1"/>
    <col min="2056" max="2304" width="9" style="2226"/>
    <col min="2305" max="2305" width="12.625" style="2226" customWidth="1"/>
    <col min="2306" max="2306" width="6.625" style="2226" customWidth="1"/>
    <col min="2307" max="2311" width="20.625" style="2226" customWidth="1"/>
    <col min="2312" max="2560" width="9" style="2226"/>
    <col min="2561" max="2561" width="12.625" style="2226" customWidth="1"/>
    <col min="2562" max="2562" width="6.625" style="2226" customWidth="1"/>
    <col min="2563" max="2567" width="20.625" style="2226" customWidth="1"/>
    <col min="2568" max="2816" width="9" style="2226"/>
    <col min="2817" max="2817" width="12.625" style="2226" customWidth="1"/>
    <col min="2818" max="2818" width="6.625" style="2226" customWidth="1"/>
    <col min="2819" max="2823" width="20.625" style="2226" customWidth="1"/>
    <col min="2824" max="3072" width="9" style="2226"/>
    <col min="3073" max="3073" width="12.625" style="2226" customWidth="1"/>
    <col min="3074" max="3074" width="6.625" style="2226" customWidth="1"/>
    <col min="3075" max="3079" width="20.625" style="2226" customWidth="1"/>
    <col min="3080" max="3328" width="9" style="2226"/>
    <col min="3329" max="3329" width="12.625" style="2226" customWidth="1"/>
    <col min="3330" max="3330" width="6.625" style="2226" customWidth="1"/>
    <col min="3331" max="3335" width="20.625" style="2226" customWidth="1"/>
    <col min="3336" max="3584" width="9" style="2226"/>
    <col min="3585" max="3585" width="12.625" style="2226" customWidth="1"/>
    <col min="3586" max="3586" width="6.625" style="2226" customWidth="1"/>
    <col min="3587" max="3591" width="20.625" style="2226" customWidth="1"/>
    <col min="3592" max="3840" width="9" style="2226"/>
    <col min="3841" max="3841" width="12.625" style="2226" customWidth="1"/>
    <col min="3842" max="3842" width="6.625" style="2226" customWidth="1"/>
    <col min="3843" max="3847" width="20.625" style="2226" customWidth="1"/>
    <col min="3848" max="4096" width="9" style="2226"/>
    <col min="4097" max="4097" width="12.625" style="2226" customWidth="1"/>
    <col min="4098" max="4098" width="6.625" style="2226" customWidth="1"/>
    <col min="4099" max="4103" width="20.625" style="2226" customWidth="1"/>
    <col min="4104" max="4352" width="9" style="2226"/>
    <col min="4353" max="4353" width="12.625" style="2226" customWidth="1"/>
    <col min="4354" max="4354" width="6.625" style="2226" customWidth="1"/>
    <col min="4355" max="4359" width="20.625" style="2226" customWidth="1"/>
    <col min="4360" max="4608" width="9" style="2226"/>
    <col min="4609" max="4609" width="12.625" style="2226" customWidth="1"/>
    <col min="4610" max="4610" width="6.625" style="2226" customWidth="1"/>
    <col min="4611" max="4615" width="20.625" style="2226" customWidth="1"/>
    <col min="4616" max="4864" width="9" style="2226"/>
    <col min="4865" max="4865" width="12.625" style="2226" customWidth="1"/>
    <col min="4866" max="4866" width="6.625" style="2226" customWidth="1"/>
    <col min="4867" max="4871" width="20.625" style="2226" customWidth="1"/>
    <col min="4872" max="5120" width="9" style="2226"/>
    <col min="5121" max="5121" width="12.625" style="2226" customWidth="1"/>
    <col min="5122" max="5122" width="6.625" style="2226" customWidth="1"/>
    <col min="5123" max="5127" width="20.625" style="2226" customWidth="1"/>
    <col min="5128" max="5376" width="9" style="2226"/>
    <col min="5377" max="5377" width="12.625" style="2226" customWidth="1"/>
    <col min="5378" max="5378" width="6.625" style="2226" customWidth="1"/>
    <col min="5379" max="5383" width="20.625" style="2226" customWidth="1"/>
    <col min="5384" max="5632" width="9" style="2226"/>
    <col min="5633" max="5633" width="12.625" style="2226" customWidth="1"/>
    <col min="5634" max="5634" width="6.625" style="2226" customWidth="1"/>
    <col min="5635" max="5639" width="20.625" style="2226" customWidth="1"/>
    <col min="5640" max="5888" width="9" style="2226"/>
    <col min="5889" max="5889" width="12.625" style="2226" customWidth="1"/>
    <col min="5890" max="5890" width="6.625" style="2226" customWidth="1"/>
    <col min="5891" max="5895" width="20.625" style="2226" customWidth="1"/>
    <col min="5896" max="6144" width="9" style="2226"/>
    <col min="6145" max="6145" width="12.625" style="2226" customWidth="1"/>
    <col min="6146" max="6146" width="6.625" style="2226" customWidth="1"/>
    <col min="6147" max="6151" width="20.625" style="2226" customWidth="1"/>
    <col min="6152" max="6400" width="9" style="2226"/>
    <col min="6401" max="6401" width="12.625" style="2226" customWidth="1"/>
    <col min="6402" max="6402" width="6.625" style="2226" customWidth="1"/>
    <col min="6403" max="6407" width="20.625" style="2226" customWidth="1"/>
    <col min="6408" max="6656" width="9" style="2226"/>
    <col min="6657" max="6657" width="12.625" style="2226" customWidth="1"/>
    <col min="6658" max="6658" width="6.625" style="2226" customWidth="1"/>
    <col min="6659" max="6663" width="20.625" style="2226" customWidth="1"/>
    <col min="6664" max="6912" width="9" style="2226"/>
    <col min="6913" max="6913" width="12.625" style="2226" customWidth="1"/>
    <col min="6914" max="6914" width="6.625" style="2226" customWidth="1"/>
    <col min="6915" max="6919" width="20.625" style="2226" customWidth="1"/>
    <col min="6920" max="7168" width="9" style="2226"/>
    <col min="7169" max="7169" width="12.625" style="2226" customWidth="1"/>
    <col min="7170" max="7170" width="6.625" style="2226" customWidth="1"/>
    <col min="7171" max="7175" width="20.625" style="2226" customWidth="1"/>
    <col min="7176" max="7424" width="9" style="2226"/>
    <col min="7425" max="7425" width="12.625" style="2226" customWidth="1"/>
    <col min="7426" max="7426" width="6.625" style="2226" customWidth="1"/>
    <col min="7427" max="7431" width="20.625" style="2226" customWidth="1"/>
    <col min="7432" max="7680" width="9" style="2226"/>
    <col min="7681" max="7681" width="12.625" style="2226" customWidth="1"/>
    <col min="7682" max="7682" width="6.625" style="2226" customWidth="1"/>
    <col min="7683" max="7687" width="20.625" style="2226" customWidth="1"/>
    <col min="7688" max="7936" width="9" style="2226"/>
    <col min="7937" max="7937" width="12.625" style="2226" customWidth="1"/>
    <col min="7938" max="7938" width="6.625" style="2226" customWidth="1"/>
    <col min="7939" max="7943" width="20.625" style="2226" customWidth="1"/>
    <col min="7944" max="8192" width="9" style="2226"/>
    <col min="8193" max="8193" width="12.625" style="2226" customWidth="1"/>
    <col min="8194" max="8194" width="6.625" style="2226" customWidth="1"/>
    <col min="8195" max="8199" width="20.625" style="2226" customWidth="1"/>
    <col min="8200" max="8448" width="9" style="2226"/>
    <col min="8449" max="8449" width="12.625" style="2226" customWidth="1"/>
    <col min="8450" max="8450" width="6.625" style="2226" customWidth="1"/>
    <col min="8451" max="8455" width="20.625" style="2226" customWidth="1"/>
    <col min="8456" max="8704" width="9" style="2226"/>
    <col min="8705" max="8705" width="12.625" style="2226" customWidth="1"/>
    <col min="8706" max="8706" width="6.625" style="2226" customWidth="1"/>
    <col min="8707" max="8711" width="20.625" style="2226" customWidth="1"/>
    <col min="8712" max="8960" width="9" style="2226"/>
    <col min="8961" max="8961" width="12.625" style="2226" customWidth="1"/>
    <col min="8962" max="8962" width="6.625" style="2226" customWidth="1"/>
    <col min="8963" max="8967" width="20.625" style="2226" customWidth="1"/>
    <col min="8968" max="9216" width="9" style="2226"/>
    <col min="9217" max="9217" width="12.625" style="2226" customWidth="1"/>
    <col min="9218" max="9218" width="6.625" style="2226" customWidth="1"/>
    <col min="9219" max="9223" width="20.625" style="2226" customWidth="1"/>
    <col min="9224" max="9472" width="9" style="2226"/>
    <col min="9473" max="9473" width="12.625" style="2226" customWidth="1"/>
    <col min="9474" max="9474" width="6.625" style="2226" customWidth="1"/>
    <col min="9475" max="9479" width="20.625" style="2226" customWidth="1"/>
    <col min="9480" max="9728" width="9" style="2226"/>
    <col min="9729" max="9729" width="12.625" style="2226" customWidth="1"/>
    <col min="9730" max="9730" width="6.625" style="2226" customWidth="1"/>
    <col min="9731" max="9735" width="20.625" style="2226" customWidth="1"/>
    <col min="9736" max="9984" width="9" style="2226"/>
    <col min="9985" max="9985" width="12.625" style="2226" customWidth="1"/>
    <col min="9986" max="9986" width="6.625" style="2226" customWidth="1"/>
    <col min="9987" max="9991" width="20.625" style="2226" customWidth="1"/>
    <col min="9992" max="10240" width="9" style="2226"/>
    <col min="10241" max="10241" width="12.625" style="2226" customWidth="1"/>
    <col min="10242" max="10242" width="6.625" style="2226" customWidth="1"/>
    <col min="10243" max="10247" width="20.625" style="2226" customWidth="1"/>
    <col min="10248" max="10496" width="9" style="2226"/>
    <col min="10497" max="10497" width="12.625" style="2226" customWidth="1"/>
    <col min="10498" max="10498" width="6.625" style="2226" customWidth="1"/>
    <col min="10499" max="10503" width="20.625" style="2226" customWidth="1"/>
    <col min="10504" max="10752" width="9" style="2226"/>
    <col min="10753" max="10753" width="12.625" style="2226" customWidth="1"/>
    <col min="10754" max="10754" width="6.625" style="2226" customWidth="1"/>
    <col min="10755" max="10759" width="20.625" style="2226" customWidth="1"/>
    <col min="10760" max="11008" width="9" style="2226"/>
    <col min="11009" max="11009" width="12.625" style="2226" customWidth="1"/>
    <col min="11010" max="11010" width="6.625" style="2226" customWidth="1"/>
    <col min="11011" max="11015" width="20.625" style="2226" customWidth="1"/>
    <col min="11016" max="11264" width="9" style="2226"/>
    <col min="11265" max="11265" width="12.625" style="2226" customWidth="1"/>
    <col min="11266" max="11266" width="6.625" style="2226" customWidth="1"/>
    <col min="11267" max="11271" width="20.625" style="2226" customWidth="1"/>
    <col min="11272" max="11520" width="9" style="2226"/>
    <col min="11521" max="11521" width="12.625" style="2226" customWidth="1"/>
    <col min="11522" max="11522" width="6.625" style="2226" customWidth="1"/>
    <col min="11523" max="11527" width="20.625" style="2226" customWidth="1"/>
    <col min="11528" max="11776" width="9" style="2226"/>
    <col min="11777" max="11777" width="12.625" style="2226" customWidth="1"/>
    <col min="11778" max="11778" width="6.625" style="2226" customWidth="1"/>
    <col min="11779" max="11783" width="20.625" style="2226" customWidth="1"/>
    <col min="11784" max="12032" width="9" style="2226"/>
    <col min="12033" max="12033" width="12.625" style="2226" customWidth="1"/>
    <col min="12034" max="12034" width="6.625" style="2226" customWidth="1"/>
    <col min="12035" max="12039" width="20.625" style="2226" customWidth="1"/>
    <col min="12040" max="12288" width="9" style="2226"/>
    <col min="12289" max="12289" width="12.625" style="2226" customWidth="1"/>
    <col min="12290" max="12290" width="6.625" style="2226" customWidth="1"/>
    <col min="12291" max="12295" width="20.625" style="2226" customWidth="1"/>
    <col min="12296" max="12544" width="9" style="2226"/>
    <col min="12545" max="12545" width="12.625" style="2226" customWidth="1"/>
    <col min="12546" max="12546" width="6.625" style="2226" customWidth="1"/>
    <col min="12547" max="12551" width="20.625" style="2226" customWidth="1"/>
    <col min="12552" max="12800" width="9" style="2226"/>
    <col min="12801" max="12801" width="12.625" style="2226" customWidth="1"/>
    <col min="12802" max="12802" width="6.625" style="2226" customWidth="1"/>
    <col min="12803" max="12807" width="20.625" style="2226" customWidth="1"/>
    <col min="12808" max="13056" width="9" style="2226"/>
    <col min="13057" max="13057" width="12.625" style="2226" customWidth="1"/>
    <col min="13058" max="13058" width="6.625" style="2226" customWidth="1"/>
    <col min="13059" max="13063" width="20.625" style="2226" customWidth="1"/>
    <col min="13064" max="13312" width="9" style="2226"/>
    <col min="13313" max="13313" width="12.625" style="2226" customWidth="1"/>
    <col min="13314" max="13314" width="6.625" style="2226" customWidth="1"/>
    <col min="13315" max="13319" width="20.625" style="2226" customWidth="1"/>
    <col min="13320" max="13568" width="9" style="2226"/>
    <col min="13569" max="13569" width="12.625" style="2226" customWidth="1"/>
    <col min="13570" max="13570" width="6.625" style="2226" customWidth="1"/>
    <col min="13571" max="13575" width="20.625" style="2226" customWidth="1"/>
    <col min="13576" max="13824" width="9" style="2226"/>
    <col min="13825" max="13825" width="12.625" style="2226" customWidth="1"/>
    <col min="13826" max="13826" width="6.625" style="2226" customWidth="1"/>
    <col min="13827" max="13831" width="20.625" style="2226" customWidth="1"/>
    <col min="13832" max="14080" width="9" style="2226"/>
    <col min="14081" max="14081" width="12.625" style="2226" customWidth="1"/>
    <col min="14082" max="14082" width="6.625" style="2226" customWidth="1"/>
    <col min="14083" max="14087" width="20.625" style="2226" customWidth="1"/>
    <col min="14088" max="14336" width="9" style="2226"/>
    <col min="14337" max="14337" width="12.625" style="2226" customWidth="1"/>
    <col min="14338" max="14338" width="6.625" style="2226" customWidth="1"/>
    <col min="14339" max="14343" width="20.625" style="2226" customWidth="1"/>
    <col min="14344" max="14592" width="9" style="2226"/>
    <col min="14593" max="14593" width="12.625" style="2226" customWidth="1"/>
    <col min="14594" max="14594" width="6.625" style="2226" customWidth="1"/>
    <col min="14595" max="14599" width="20.625" style="2226" customWidth="1"/>
    <col min="14600" max="14848" width="9" style="2226"/>
    <col min="14849" max="14849" width="12.625" style="2226" customWidth="1"/>
    <col min="14850" max="14850" width="6.625" style="2226" customWidth="1"/>
    <col min="14851" max="14855" width="20.625" style="2226" customWidth="1"/>
    <col min="14856" max="15104" width="9" style="2226"/>
    <col min="15105" max="15105" width="12.625" style="2226" customWidth="1"/>
    <col min="15106" max="15106" width="6.625" style="2226" customWidth="1"/>
    <col min="15107" max="15111" width="20.625" style="2226" customWidth="1"/>
    <col min="15112" max="15360" width="9" style="2226"/>
    <col min="15361" max="15361" width="12.625" style="2226" customWidth="1"/>
    <col min="15362" max="15362" width="6.625" style="2226" customWidth="1"/>
    <col min="15363" max="15367" width="20.625" style="2226" customWidth="1"/>
    <col min="15368" max="15616" width="9" style="2226"/>
    <col min="15617" max="15617" width="12.625" style="2226" customWidth="1"/>
    <col min="15618" max="15618" width="6.625" style="2226" customWidth="1"/>
    <col min="15619" max="15623" width="20.625" style="2226" customWidth="1"/>
    <col min="15624" max="15872" width="9" style="2226"/>
    <col min="15873" max="15873" width="12.625" style="2226" customWidth="1"/>
    <col min="15874" max="15874" width="6.625" style="2226" customWidth="1"/>
    <col min="15875" max="15879" width="20.625" style="2226" customWidth="1"/>
    <col min="15880" max="16128" width="9" style="2226"/>
    <col min="16129" max="16129" width="12.625" style="2226" customWidth="1"/>
    <col min="16130" max="16130" width="6.625" style="2226" customWidth="1"/>
    <col min="16131" max="16135" width="20.625" style="2226" customWidth="1"/>
    <col min="16136" max="16384" width="9" style="2226"/>
  </cols>
  <sheetData>
    <row r="1" spans="1:7" ht="29.25" customHeight="1">
      <c r="A1" s="3894" t="s">
        <v>3356</v>
      </c>
      <c r="B1" s="3894"/>
      <c r="C1" s="3894"/>
      <c r="D1" s="3895"/>
      <c r="E1" s="3895"/>
      <c r="F1" s="3895"/>
      <c r="G1" s="3896"/>
    </row>
    <row r="2" spans="1:7" ht="52.5" customHeight="1">
      <c r="A2" s="3897"/>
      <c r="B2" s="3898"/>
      <c r="C2" s="2227" t="s">
        <v>3357</v>
      </c>
      <c r="D2" s="2228" t="s">
        <v>3358</v>
      </c>
      <c r="E2" s="2228" t="s">
        <v>3359</v>
      </c>
      <c r="F2" s="2228" t="s">
        <v>3336</v>
      </c>
      <c r="G2" s="2228" t="s">
        <v>3360</v>
      </c>
    </row>
    <row r="3" spans="1:7" ht="60" customHeight="1">
      <c r="A3" s="3899" t="s">
        <v>3290</v>
      </c>
      <c r="B3" s="2157" t="s">
        <v>3361</v>
      </c>
      <c r="C3" s="2229">
        <v>219</v>
      </c>
      <c r="D3" s="2229">
        <v>177</v>
      </c>
      <c r="E3" s="2229">
        <v>156</v>
      </c>
      <c r="F3" s="2229">
        <v>160</v>
      </c>
      <c r="G3" s="2230">
        <v>140</v>
      </c>
    </row>
    <row r="4" spans="1:7" ht="60" customHeight="1">
      <c r="A4" s="3900"/>
      <c r="B4" s="2160" t="s">
        <v>3362</v>
      </c>
      <c r="C4" s="2231">
        <v>100</v>
      </c>
      <c r="D4" s="2231">
        <v>100</v>
      </c>
      <c r="E4" s="2231">
        <v>100</v>
      </c>
      <c r="F4" s="2231">
        <v>100</v>
      </c>
      <c r="G4" s="2231">
        <v>100</v>
      </c>
    </row>
    <row r="5" spans="1:7" ht="60" customHeight="1">
      <c r="A5" s="3927" t="s">
        <v>3363</v>
      </c>
      <c r="B5" s="2157" t="s">
        <v>3361</v>
      </c>
      <c r="C5" s="2229">
        <v>212</v>
      </c>
      <c r="D5" s="2229">
        <v>170</v>
      </c>
      <c r="E5" s="2229">
        <v>148</v>
      </c>
      <c r="F5" s="2229">
        <v>156</v>
      </c>
      <c r="G5" s="2232">
        <v>135</v>
      </c>
    </row>
    <row r="6" spans="1:7" ht="60" customHeight="1">
      <c r="A6" s="3928"/>
      <c r="B6" s="2160" t="s">
        <v>3362</v>
      </c>
      <c r="C6" s="2231">
        <v>96.803652968036531</v>
      </c>
      <c r="D6" s="2231">
        <v>96.045197740112997</v>
      </c>
      <c r="E6" s="2231">
        <v>94.871794871794862</v>
      </c>
      <c r="F6" s="2231">
        <v>97.5</v>
      </c>
      <c r="G6" s="2231">
        <v>96.428571428571431</v>
      </c>
    </row>
    <row r="7" spans="1:7" ht="60" customHeight="1">
      <c r="A7" s="3929" t="s">
        <v>3364</v>
      </c>
      <c r="B7" s="2157" t="s">
        <v>3361</v>
      </c>
      <c r="C7" s="2229">
        <v>7</v>
      </c>
      <c r="D7" s="2229">
        <v>7</v>
      </c>
      <c r="E7" s="2229">
        <v>8</v>
      </c>
      <c r="F7" s="2229">
        <v>4</v>
      </c>
      <c r="G7" s="2232">
        <v>5</v>
      </c>
    </row>
    <row r="8" spans="1:7" ht="60" customHeight="1">
      <c r="A8" s="3930"/>
      <c r="B8" s="2165" t="s">
        <v>3362</v>
      </c>
      <c r="C8" s="2233">
        <v>3.1963470319634704</v>
      </c>
      <c r="D8" s="2233">
        <v>3.9548022598870061</v>
      </c>
      <c r="E8" s="2233">
        <v>5.1282051282051277</v>
      </c>
      <c r="F8" s="2233">
        <v>2.5</v>
      </c>
      <c r="G8" s="2233">
        <v>3.5714285714285712</v>
      </c>
    </row>
    <row r="9" spans="1:7" ht="14.25">
      <c r="A9" s="2167" t="s">
        <v>997</v>
      </c>
      <c r="B9" s="2168"/>
      <c r="C9" s="2169"/>
      <c r="D9" s="2170"/>
      <c r="E9" s="2170"/>
      <c r="F9" s="2170"/>
      <c r="G9" s="2170"/>
    </row>
    <row r="10" spans="1:7">
      <c r="A10" s="2167"/>
      <c r="B10" s="2171"/>
      <c r="C10" s="2167"/>
      <c r="D10" s="2170"/>
      <c r="E10" s="2170"/>
      <c r="F10" s="2170"/>
      <c r="G10" s="2170"/>
    </row>
    <row r="11" spans="1:7" ht="15.75">
      <c r="A11" s="2167"/>
      <c r="B11" s="2172"/>
      <c r="C11" s="2173"/>
      <c r="D11" s="2234"/>
      <c r="E11" s="2234"/>
      <c r="F11" s="2234"/>
      <c r="G11" s="2234"/>
    </row>
    <row r="12" spans="1:7" ht="15.75">
      <c r="A12" s="2234"/>
      <c r="B12" s="2174"/>
      <c r="C12" s="2234"/>
      <c r="D12" s="2234"/>
      <c r="E12" s="2234"/>
      <c r="F12" s="2234"/>
      <c r="G12" s="2234"/>
    </row>
    <row r="13" spans="1:7" ht="15.75">
      <c r="B13" s="2172"/>
    </row>
    <row r="14" spans="1:7" ht="15.75">
      <c r="B14" s="2174"/>
    </row>
    <row r="15" spans="1:7" ht="15.75">
      <c r="B15" s="2172"/>
    </row>
    <row r="16" spans="1:7" ht="15.75">
      <c r="B16" s="2174"/>
    </row>
    <row r="17" spans="2:2" ht="15.75">
      <c r="B17" s="2172"/>
    </row>
    <row r="18" spans="2:2" ht="15.75">
      <c r="B18" s="2174"/>
    </row>
    <row r="19" spans="2:2" ht="15.75">
      <c r="B19" s="2172"/>
    </row>
    <row r="20" spans="2:2" ht="15.75">
      <c r="B20" s="2174"/>
    </row>
  </sheetData>
  <mergeCells count="5">
    <mergeCell ref="A1:G1"/>
    <mergeCell ref="A2:B2"/>
    <mergeCell ref="A3:A4"/>
    <mergeCell ref="A5:A6"/>
    <mergeCell ref="A7:A8"/>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70"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J11"/>
  <sheetViews>
    <sheetView showGridLines="0" workbookViewId="0">
      <selection activeCell="B18" sqref="B18:D18"/>
    </sheetView>
  </sheetViews>
  <sheetFormatPr defaultRowHeight="16.5"/>
  <cols>
    <col min="1" max="1" width="14.75" style="2235" customWidth="1"/>
    <col min="2" max="6" width="17.625" style="2235" customWidth="1"/>
    <col min="7" max="16384" width="9" style="2235"/>
  </cols>
  <sheetData>
    <row r="1" spans="1:10" ht="23.25" customHeight="1">
      <c r="A1" s="3931" t="s">
        <v>3365</v>
      </c>
      <c r="B1" s="3931"/>
      <c r="C1" s="3931"/>
      <c r="D1" s="3931"/>
      <c r="E1" s="3931"/>
      <c r="F1" s="3931"/>
    </row>
    <row r="2" spans="1:10" ht="17.25" thickBot="1">
      <c r="A2" s="2236"/>
      <c r="B2" s="2236"/>
      <c r="C2" s="2236"/>
      <c r="D2" s="2236"/>
      <c r="E2" s="2236"/>
      <c r="F2" s="2237" t="s">
        <v>3366</v>
      </c>
    </row>
    <row r="3" spans="1:10" ht="17.25" thickBot="1">
      <c r="A3" s="2238"/>
      <c r="B3" s="2239" t="s">
        <v>3367</v>
      </c>
      <c r="C3" s="2239" t="s">
        <v>3368</v>
      </c>
      <c r="D3" s="2239" t="s">
        <v>3369</v>
      </c>
      <c r="E3" s="2239" t="s">
        <v>3370</v>
      </c>
      <c r="F3" s="2239" t="s">
        <v>3371</v>
      </c>
      <c r="G3" s="2240"/>
      <c r="H3" s="2240"/>
      <c r="I3" s="2240"/>
      <c r="J3" s="2240"/>
    </row>
    <row r="4" spans="1:10">
      <c r="A4" s="2241" t="s">
        <v>3372</v>
      </c>
      <c r="B4" s="2241" t="s">
        <v>3373</v>
      </c>
      <c r="C4" s="2241" t="s">
        <v>3374</v>
      </c>
      <c r="D4" s="2241" t="s">
        <v>3375</v>
      </c>
      <c r="E4" s="2241" t="s">
        <v>3376</v>
      </c>
      <c r="F4" s="2241" t="s">
        <v>3377</v>
      </c>
    </row>
    <row r="5" spans="1:10">
      <c r="A5" s="2241" t="s">
        <v>3378</v>
      </c>
      <c r="B5" s="2241" t="s">
        <v>3379</v>
      </c>
      <c r="C5" s="2241" t="s">
        <v>3380</v>
      </c>
      <c r="D5" s="2241" t="s">
        <v>3381</v>
      </c>
      <c r="E5" s="2241" t="s">
        <v>3382</v>
      </c>
      <c r="F5" s="2241" t="s">
        <v>3383</v>
      </c>
    </row>
    <row r="6" spans="1:10">
      <c r="A6" s="2241" t="s">
        <v>3384</v>
      </c>
      <c r="B6" s="2241" t="s">
        <v>3385</v>
      </c>
      <c r="C6" s="2241" t="s">
        <v>3386</v>
      </c>
      <c r="D6" s="2241" t="s">
        <v>3387</v>
      </c>
      <c r="E6" s="2241" t="s">
        <v>3388</v>
      </c>
      <c r="F6" s="2241" t="s">
        <v>3389</v>
      </c>
    </row>
    <row r="7" spans="1:10">
      <c r="A7" s="2241" t="s">
        <v>3390</v>
      </c>
      <c r="B7" s="2241" t="s">
        <v>3391</v>
      </c>
      <c r="C7" s="2241" t="s">
        <v>3392</v>
      </c>
      <c r="D7" s="2241" t="s">
        <v>3393</v>
      </c>
      <c r="E7" s="2241" t="s">
        <v>3394</v>
      </c>
      <c r="F7" s="2241" t="s">
        <v>3395</v>
      </c>
    </row>
    <row r="8" spans="1:10" ht="17.25" thickBot="1">
      <c r="A8" s="2241" t="s">
        <v>3396</v>
      </c>
      <c r="B8" s="2241" t="s">
        <v>3397</v>
      </c>
      <c r="C8" s="2241" t="s">
        <v>3398</v>
      </c>
      <c r="D8" s="2241" t="s">
        <v>3399</v>
      </c>
      <c r="E8" s="2241" t="s">
        <v>3400</v>
      </c>
      <c r="F8" s="2241" t="s">
        <v>3401</v>
      </c>
    </row>
    <row r="9" spans="1:10" ht="17.25" thickBot="1">
      <c r="A9" s="2242" t="s">
        <v>3402</v>
      </c>
      <c r="B9" s="2243" t="s">
        <v>3403</v>
      </c>
      <c r="C9" s="2243" t="s">
        <v>3404</v>
      </c>
      <c r="D9" s="2243" t="s">
        <v>3405</v>
      </c>
      <c r="E9" s="2243" t="s">
        <v>3406</v>
      </c>
      <c r="F9" s="2243" t="s">
        <v>3407</v>
      </c>
    </row>
    <row r="10" spans="1:10">
      <c r="A10" s="3932" t="s">
        <v>3408</v>
      </c>
      <c r="B10" s="3932"/>
      <c r="C10" s="3932"/>
      <c r="D10" s="3932"/>
      <c r="E10" s="3932"/>
      <c r="F10" s="3932"/>
    </row>
    <row r="11" spans="1:10" ht="45.75" customHeight="1">
      <c r="A11" s="3933" t="s">
        <v>3409</v>
      </c>
      <c r="B11" s="3933"/>
      <c r="C11" s="3933"/>
      <c r="D11" s="3933"/>
      <c r="E11" s="3933"/>
      <c r="F11" s="3933"/>
    </row>
  </sheetData>
  <mergeCells count="3">
    <mergeCell ref="A1:F1"/>
    <mergeCell ref="A10:F10"/>
    <mergeCell ref="A11:F11"/>
  </mergeCells>
  <phoneticPr fontId="61" type="noConversion"/>
  <pageMargins left="0.7" right="0.7" top="0.75" bottom="0.75" header="0.3" footer="0.3"/>
  <pageSetup paperSize="9"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F9"/>
  <sheetViews>
    <sheetView showGridLines="0" workbookViewId="0">
      <selection activeCell="B18" sqref="B18:D18"/>
    </sheetView>
  </sheetViews>
  <sheetFormatPr defaultRowHeight="16.5"/>
  <cols>
    <col min="1" max="1" width="14.75" style="2235" customWidth="1"/>
    <col min="2" max="6" width="17.625" style="2235" customWidth="1"/>
    <col min="7" max="16384" width="9" style="2235"/>
  </cols>
  <sheetData>
    <row r="1" spans="1:6" ht="23.25" customHeight="1">
      <c r="A1" s="3934" t="s">
        <v>3410</v>
      </c>
      <c r="B1" s="3934"/>
      <c r="C1" s="3934"/>
      <c r="D1" s="3934"/>
      <c r="E1" s="3934"/>
      <c r="F1" s="3934"/>
    </row>
    <row r="2" spans="1:6" ht="17.25" thickBot="1">
      <c r="F2" s="2237" t="s">
        <v>3366</v>
      </c>
    </row>
    <row r="3" spans="1:6" s="2240" customFormat="1" ht="17.25" thickBot="1">
      <c r="A3" s="2244"/>
      <c r="B3" s="2239" t="s">
        <v>3411</v>
      </c>
      <c r="C3" s="2239" t="s">
        <v>3412</v>
      </c>
      <c r="D3" s="2239" t="s">
        <v>3413</v>
      </c>
      <c r="E3" s="2239" t="s">
        <v>3414</v>
      </c>
      <c r="F3" s="2239" t="s">
        <v>3415</v>
      </c>
    </row>
    <row r="4" spans="1:6">
      <c r="A4" s="2241" t="s">
        <v>3416</v>
      </c>
      <c r="B4" s="2241" t="s">
        <v>3417</v>
      </c>
      <c r="C4" s="2241" t="s">
        <v>3418</v>
      </c>
      <c r="D4" s="2241" t="s">
        <v>3419</v>
      </c>
      <c r="E4" s="2241" t="s">
        <v>3420</v>
      </c>
      <c r="F4" s="2241" t="s">
        <v>3421</v>
      </c>
    </row>
    <row r="5" spans="1:6">
      <c r="A5" s="2241" t="s">
        <v>3422</v>
      </c>
      <c r="B5" s="2241" t="s">
        <v>3423</v>
      </c>
      <c r="C5" s="2241" t="s">
        <v>3424</v>
      </c>
      <c r="D5" s="2241" t="s">
        <v>3425</v>
      </c>
      <c r="E5" s="2241" t="s">
        <v>3426</v>
      </c>
      <c r="F5" s="2241" t="s">
        <v>3427</v>
      </c>
    </row>
    <row r="6" spans="1:6">
      <c r="A6" s="2241" t="s">
        <v>3428</v>
      </c>
      <c r="B6" s="2241" t="s">
        <v>3429</v>
      </c>
      <c r="C6" s="2241" t="s">
        <v>3430</v>
      </c>
      <c r="D6" s="2241" t="s">
        <v>3431</v>
      </c>
      <c r="E6" s="2241" t="s">
        <v>3432</v>
      </c>
      <c r="F6" s="2241" t="s">
        <v>3433</v>
      </c>
    </row>
    <row r="7" spans="1:6" ht="17.25" thickBot="1">
      <c r="A7" s="2241" t="s">
        <v>3434</v>
      </c>
      <c r="B7" s="2241" t="s">
        <v>3435</v>
      </c>
      <c r="C7" s="2241" t="s">
        <v>3436</v>
      </c>
      <c r="D7" s="2241" t="s">
        <v>3437</v>
      </c>
      <c r="E7" s="2241" t="s">
        <v>3438</v>
      </c>
      <c r="F7" s="2241" t="s">
        <v>3439</v>
      </c>
    </row>
    <row r="8" spans="1:6" ht="17.25" thickBot="1">
      <c r="A8" s="2243" t="s">
        <v>3440</v>
      </c>
      <c r="B8" s="2245" t="s">
        <v>3441</v>
      </c>
      <c r="C8" s="2245" t="s">
        <v>3442</v>
      </c>
      <c r="D8" s="2245" t="s">
        <v>3443</v>
      </c>
      <c r="E8" s="2245" t="s">
        <v>3444</v>
      </c>
      <c r="F8" s="2245" t="s">
        <v>3445</v>
      </c>
    </row>
    <row r="9" spans="1:6" ht="60.75" customHeight="1">
      <c r="A9" s="3935" t="s">
        <v>3446</v>
      </c>
      <c r="B9" s="3932"/>
      <c r="C9" s="3932"/>
      <c r="D9" s="3932"/>
      <c r="E9" s="3932"/>
      <c r="F9" s="3932"/>
    </row>
  </sheetData>
  <mergeCells count="2">
    <mergeCell ref="A1:F1"/>
    <mergeCell ref="A9:F9"/>
  </mergeCells>
  <phoneticPr fontId="61" type="noConversion"/>
  <pageMargins left="0.7" right="0.7" top="0.75" bottom="0.75" header="0.3" footer="0.3"/>
  <pageSetup paperSize="9"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K21"/>
  <sheetViews>
    <sheetView showGridLines="0" zoomScale="110" zoomScaleNormal="110" workbookViewId="0">
      <selection activeCell="A18" sqref="A18:H18"/>
    </sheetView>
  </sheetViews>
  <sheetFormatPr defaultRowHeight="15.75"/>
  <cols>
    <col min="1" max="1" width="13.5" style="849" customWidth="1"/>
    <col min="2" max="2" width="11.375" style="2278" customWidth="1"/>
    <col min="3" max="3" width="11.125" style="849" customWidth="1"/>
    <col min="4" max="4" width="8.75" style="849" customWidth="1"/>
    <col min="5" max="5" width="12.125" style="849" customWidth="1"/>
    <col min="6" max="6" width="12.25" style="849" customWidth="1"/>
    <col min="7" max="7" width="8.75" style="849" customWidth="1"/>
    <col min="8" max="8" width="12.625" style="849" customWidth="1"/>
    <col min="9" max="9" width="8.75" style="849" customWidth="1"/>
    <col min="10" max="10" width="12.75" style="849" customWidth="1"/>
    <col min="11" max="11" width="8.75" style="849" customWidth="1"/>
    <col min="12" max="248" width="9" style="849"/>
    <col min="249" max="249" width="13.5" style="849" customWidth="1"/>
    <col min="250" max="250" width="3.125" style="849" customWidth="1"/>
    <col min="251" max="251" width="10.625" style="849" customWidth="1"/>
    <col min="252" max="252" width="9.25" style="849" customWidth="1"/>
    <col min="253" max="253" width="8.75" style="849" customWidth="1"/>
    <col min="254" max="254" width="12.125" style="849" customWidth="1"/>
    <col min="255" max="256" width="11.25" style="849" customWidth="1"/>
    <col min="257" max="257" width="11.125" style="849" customWidth="1"/>
    <col min="258" max="258" width="9.5" style="849" bestFit="1" customWidth="1"/>
    <col min="259" max="259" width="10.125" style="849" customWidth="1"/>
    <col min="260" max="260" width="9.5" style="849" bestFit="1" customWidth="1"/>
    <col min="261" max="504" width="9" style="849"/>
    <col min="505" max="505" width="13.5" style="849" customWidth="1"/>
    <col min="506" max="506" width="3.125" style="849" customWidth="1"/>
    <col min="507" max="507" width="10.625" style="849" customWidth="1"/>
    <col min="508" max="508" width="9.25" style="849" customWidth="1"/>
    <col min="509" max="509" width="8.75" style="849" customWidth="1"/>
    <col min="510" max="510" width="12.125" style="849" customWidth="1"/>
    <col min="511" max="512" width="11.25" style="849" customWidth="1"/>
    <col min="513" max="513" width="11.125" style="849" customWidth="1"/>
    <col min="514" max="514" width="9.5" style="849" bestFit="1" customWidth="1"/>
    <col min="515" max="515" width="10.125" style="849" customWidth="1"/>
    <col min="516" max="516" width="9.5" style="849" bestFit="1" customWidth="1"/>
    <col min="517" max="760" width="9" style="849"/>
    <col min="761" max="761" width="13.5" style="849" customWidth="1"/>
    <col min="762" max="762" width="3.125" style="849" customWidth="1"/>
    <col min="763" max="763" width="10.625" style="849" customWidth="1"/>
    <col min="764" max="764" width="9.25" style="849" customWidth="1"/>
    <col min="765" max="765" width="8.75" style="849" customWidth="1"/>
    <col min="766" max="766" width="12.125" style="849" customWidth="1"/>
    <col min="767" max="768" width="11.25" style="849" customWidth="1"/>
    <col min="769" max="769" width="11.125" style="849" customWidth="1"/>
    <col min="770" max="770" width="9.5" style="849" bestFit="1" customWidth="1"/>
    <col min="771" max="771" width="10.125" style="849" customWidth="1"/>
    <col min="772" max="772" width="9.5" style="849" bestFit="1" customWidth="1"/>
    <col min="773" max="1016" width="9" style="849"/>
    <col min="1017" max="1017" width="13.5" style="849" customWidth="1"/>
    <col min="1018" max="1018" width="3.125" style="849" customWidth="1"/>
    <col min="1019" max="1019" width="10.625" style="849" customWidth="1"/>
    <col min="1020" max="1020" width="9.25" style="849" customWidth="1"/>
    <col min="1021" max="1021" width="8.75" style="849" customWidth="1"/>
    <col min="1022" max="1022" width="12.125" style="849" customWidth="1"/>
    <col min="1023" max="1024" width="11.25" style="849" customWidth="1"/>
    <col min="1025" max="1025" width="11.125" style="849" customWidth="1"/>
    <col min="1026" max="1026" width="9.5" style="849" bestFit="1" customWidth="1"/>
    <col min="1027" max="1027" width="10.125" style="849" customWidth="1"/>
    <col min="1028" max="1028" width="9.5" style="849" bestFit="1" customWidth="1"/>
    <col min="1029" max="1272" width="9" style="849"/>
    <col min="1273" max="1273" width="13.5" style="849" customWidth="1"/>
    <col min="1274" max="1274" width="3.125" style="849" customWidth="1"/>
    <col min="1275" max="1275" width="10.625" style="849" customWidth="1"/>
    <col min="1276" max="1276" width="9.25" style="849" customWidth="1"/>
    <col min="1277" max="1277" width="8.75" style="849" customWidth="1"/>
    <col min="1278" max="1278" width="12.125" style="849" customWidth="1"/>
    <col min="1279" max="1280" width="11.25" style="849" customWidth="1"/>
    <col min="1281" max="1281" width="11.125" style="849" customWidth="1"/>
    <col min="1282" max="1282" width="9.5" style="849" bestFit="1" customWidth="1"/>
    <col min="1283" max="1283" width="10.125" style="849" customWidth="1"/>
    <col min="1284" max="1284" width="9.5" style="849" bestFit="1" customWidth="1"/>
    <col min="1285" max="1528" width="9" style="849"/>
    <col min="1529" max="1529" width="13.5" style="849" customWidth="1"/>
    <col min="1530" max="1530" width="3.125" style="849" customWidth="1"/>
    <col min="1531" max="1531" width="10.625" style="849" customWidth="1"/>
    <col min="1532" max="1532" width="9.25" style="849" customWidth="1"/>
    <col min="1533" max="1533" width="8.75" style="849" customWidth="1"/>
    <col min="1534" max="1534" width="12.125" style="849" customWidth="1"/>
    <col min="1535" max="1536" width="11.25" style="849" customWidth="1"/>
    <col min="1537" max="1537" width="11.125" style="849" customWidth="1"/>
    <col min="1538" max="1538" width="9.5" style="849" bestFit="1" customWidth="1"/>
    <col min="1539" max="1539" width="10.125" style="849" customWidth="1"/>
    <col min="1540" max="1540" width="9.5" style="849" bestFit="1" customWidth="1"/>
    <col min="1541" max="1784" width="9" style="849"/>
    <col min="1785" max="1785" width="13.5" style="849" customWidth="1"/>
    <col min="1786" max="1786" width="3.125" style="849" customWidth="1"/>
    <col min="1787" max="1787" width="10.625" style="849" customWidth="1"/>
    <col min="1788" max="1788" width="9.25" style="849" customWidth="1"/>
    <col min="1789" max="1789" width="8.75" style="849" customWidth="1"/>
    <col min="1790" max="1790" width="12.125" style="849" customWidth="1"/>
    <col min="1791" max="1792" width="11.25" style="849" customWidth="1"/>
    <col min="1793" max="1793" width="11.125" style="849" customWidth="1"/>
    <col min="1794" max="1794" width="9.5" style="849" bestFit="1" customWidth="1"/>
    <col min="1795" max="1795" width="10.125" style="849" customWidth="1"/>
    <col min="1796" max="1796" width="9.5" style="849" bestFit="1" customWidth="1"/>
    <col min="1797" max="2040" width="9" style="849"/>
    <col min="2041" max="2041" width="13.5" style="849" customWidth="1"/>
    <col min="2042" max="2042" width="3.125" style="849" customWidth="1"/>
    <col min="2043" max="2043" width="10.625" style="849" customWidth="1"/>
    <col min="2044" max="2044" width="9.25" style="849" customWidth="1"/>
    <col min="2045" max="2045" width="8.75" style="849" customWidth="1"/>
    <col min="2046" max="2046" width="12.125" style="849" customWidth="1"/>
    <col min="2047" max="2048" width="11.25" style="849" customWidth="1"/>
    <col min="2049" max="2049" width="11.125" style="849" customWidth="1"/>
    <col min="2050" max="2050" width="9.5" style="849" bestFit="1" customWidth="1"/>
    <col min="2051" max="2051" width="10.125" style="849" customWidth="1"/>
    <col min="2052" max="2052" width="9.5" style="849" bestFit="1" customWidth="1"/>
    <col min="2053" max="2296" width="9" style="849"/>
    <col min="2297" max="2297" width="13.5" style="849" customWidth="1"/>
    <col min="2298" max="2298" width="3.125" style="849" customWidth="1"/>
    <col min="2299" max="2299" width="10.625" style="849" customWidth="1"/>
    <col min="2300" max="2300" width="9.25" style="849" customWidth="1"/>
    <col min="2301" max="2301" width="8.75" style="849" customWidth="1"/>
    <col min="2302" max="2302" width="12.125" style="849" customWidth="1"/>
    <col min="2303" max="2304" width="11.25" style="849" customWidth="1"/>
    <col min="2305" max="2305" width="11.125" style="849" customWidth="1"/>
    <col min="2306" max="2306" width="9.5" style="849" bestFit="1" customWidth="1"/>
    <col min="2307" max="2307" width="10.125" style="849" customWidth="1"/>
    <col min="2308" max="2308" width="9.5" style="849" bestFit="1" customWidth="1"/>
    <col min="2309" max="2552" width="9" style="849"/>
    <col min="2553" max="2553" width="13.5" style="849" customWidth="1"/>
    <col min="2554" max="2554" width="3.125" style="849" customWidth="1"/>
    <col min="2555" max="2555" width="10.625" style="849" customWidth="1"/>
    <col min="2556" max="2556" width="9.25" style="849" customWidth="1"/>
    <col min="2557" max="2557" width="8.75" style="849" customWidth="1"/>
    <col min="2558" max="2558" width="12.125" style="849" customWidth="1"/>
    <col min="2559" max="2560" width="11.25" style="849" customWidth="1"/>
    <col min="2561" max="2561" width="11.125" style="849" customWidth="1"/>
    <col min="2562" max="2562" width="9.5" style="849" bestFit="1" customWidth="1"/>
    <col min="2563" max="2563" width="10.125" style="849" customWidth="1"/>
    <col min="2564" max="2564" width="9.5" style="849" bestFit="1" customWidth="1"/>
    <col min="2565" max="2808" width="9" style="849"/>
    <col min="2809" max="2809" width="13.5" style="849" customWidth="1"/>
    <col min="2810" max="2810" width="3.125" style="849" customWidth="1"/>
    <col min="2811" max="2811" width="10.625" style="849" customWidth="1"/>
    <col min="2812" max="2812" width="9.25" style="849" customWidth="1"/>
    <col min="2813" max="2813" width="8.75" style="849" customWidth="1"/>
    <col min="2814" max="2814" width="12.125" style="849" customWidth="1"/>
    <col min="2815" max="2816" width="11.25" style="849" customWidth="1"/>
    <col min="2817" max="2817" width="11.125" style="849" customWidth="1"/>
    <col min="2818" max="2818" width="9.5" style="849" bestFit="1" customWidth="1"/>
    <col min="2819" max="2819" width="10.125" style="849" customWidth="1"/>
    <col min="2820" max="2820" width="9.5" style="849" bestFit="1" customWidth="1"/>
    <col min="2821" max="3064" width="9" style="849"/>
    <col min="3065" max="3065" width="13.5" style="849" customWidth="1"/>
    <col min="3066" max="3066" width="3.125" style="849" customWidth="1"/>
    <col min="3067" max="3067" width="10.625" style="849" customWidth="1"/>
    <col min="3068" max="3068" width="9.25" style="849" customWidth="1"/>
    <col min="3069" max="3069" width="8.75" style="849" customWidth="1"/>
    <col min="3070" max="3070" width="12.125" style="849" customWidth="1"/>
    <col min="3071" max="3072" width="11.25" style="849" customWidth="1"/>
    <col min="3073" max="3073" width="11.125" style="849" customWidth="1"/>
    <col min="3074" max="3074" width="9.5" style="849" bestFit="1" customWidth="1"/>
    <col min="3075" max="3075" width="10.125" style="849" customWidth="1"/>
    <col min="3076" max="3076" width="9.5" style="849" bestFit="1" customWidth="1"/>
    <col min="3077" max="3320" width="9" style="849"/>
    <col min="3321" max="3321" width="13.5" style="849" customWidth="1"/>
    <col min="3322" max="3322" width="3.125" style="849" customWidth="1"/>
    <col min="3323" max="3323" width="10.625" style="849" customWidth="1"/>
    <col min="3324" max="3324" width="9.25" style="849" customWidth="1"/>
    <col min="3325" max="3325" width="8.75" style="849" customWidth="1"/>
    <col min="3326" max="3326" width="12.125" style="849" customWidth="1"/>
    <col min="3327" max="3328" width="11.25" style="849" customWidth="1"/>
    <col min="3329" max="3329" width="11.125" style="849" customWidth="1"/>
    <col min="3330" max="3330" width="9.5" style="849" bestFit="1" customWidth="1"/>
    <col min="3331" max="3331" width="10.125" style="849" customWidth="1"/>
    <col min="3332" max="3332" width="9.5" style="849" bestFit="1" customWidth="1"/>
    <col min="3333" max="3576" width="9" style="849"/>
    <col min="3577" max="3577" width="13.5" style="849" customWidth="1"/>
    <col min="3578" max="3578" width="3.125" style="849" customWidth="1"/>
    <col min="3579" max="3579" width="10.625" style="849" customWidth="1"/>
    <col min="3580" max="3580" width="9.25" style="849" customWidth="1"/>
    <col min="3581" max="3581" width="8.75" style="849" customWidth="1"/>
    <col min="3582" max="3582" width="12.125" style="849" customWidth="1"/>
    <col min="3583" max="3584" width="11.25" style="849" customWidth="1"/>
    <col min="3585" max="3585" width="11.125" style="849" customWidth="1"/>
    <col min="3586" max="3586" width="9.5" style="849" bestFit="1" customWidth="1"/>
    <col min="3587" max="3587" width="10.125" style="849" customWidth="1"/>
    <col min="3588" max="3588" width="9.5" style="849" bestFit="1" customWidth="1"/>
    <col min="3589" max="3832" width="9" style="849"/>
    <col min="3833" max="3833" width="13.5" style="849" customWidth="1"/>
    <col min="3834" max="3834" width="3.125" style="849" customWidth="1"/>
    <col min="3835" max="3835" width="10.625" style="849" customWidth="1"/>
    <col min="3836" max="3836" width="9.25" style="849" customWidth="1"/>
    <col min="3837" max="3837" width="8.75" style="849" customWidth="1"/>
    <col min="3838" max="3838" width="12.125" style="849" customWidth="1"/>
    <col min="3839" max="3840" width="11.25" style="849" customWidth="1"/>
    <col min="3841" max="3841" width="11.125" style="849" customWidth="1"/>
    <col min="3842" max="3842" width="9.5" style="849" bestFit="1" customWidth="1"/>
    <col min="3843" max="3843" width="10.125" style="849" customWidth="1"/>
    <col min="3844" max="3844" width="9.5" style="849" bestFit="1" customWidth="1"/>
    <col min="3845" max="4088" width="9" style="849"/>
    <col min="4089" max="4089" width="13.5" style="849" customWidth="1"/>
    <col min="4090" max="4090" width="3.125" style="849" customWidth="1"/>
    <col min="4091" max="4091" width="10.625" style="849" customWidth="1"/>
    <col min="4092" max="4092" width="9.25" style="849" customWidth="1"/>
    <col min="4093" max="4093" width="8.75" style="849" customWidth="1"/>
    <col min="4094" max="4094" width="12.125" style="849" customWidth="1"/>
    <col min="4095" max="4096" width="11.25" style="849" customWidth="1"/>
    <col min="4097" max="4097" width="11.125" style="849" customWidth="1"/>
    <col min="4098" max="4098" width="9.5" style="849" bestFit="1" customWidth="1"/>
    <col min="4099" max="4099" width="10.125" style="849" customWidth="1"/>
    <col min="4100" max="4100" width="9.5" style="849" bestFit="1" customWidth="1"/>
    <col min="4101" max="4344" width="9" style="849"/>
    <col min="4345" max="4345" width="13.5" style="849" customWidth="1"/>
    <col min="4346" max="4346" width="3.125" style="849" customWidth="1"/>
    <col min="4347" max="4347" width="10.625" style="849" customWidth="1"/>
    <col min="4348" max="4348" width="9.25" style="849" customWidth="1"/>
    <col min="4349" max="4349" width="8.75" style="849" customWidth="1"/>
    <col min="4350" max="4350" width="12.125" style="849" customWidth="1"/>
    <col min="4351" max="4352" width="11.25" style="849" customWidth="1"/>
    <col min="4353" max="4353" width="11.125" style="849" customWidth="1"/>
    <col min="4354" max="4354" width="9.5" style="849" bestFit="1" customWidth="1"/>
    <col min="4355" max="4355" width="10.125" style="849" customWidth="1"/>
    <col min="4356" max="4356" width="9.5" style="849" bestFit="1" customWidth="1"/>
    <col min="4357" max="4600" width="9" style="849"/>
    <col min="4601" max="4601" width="13.5" style="849" customWidth="1"/>
    <col min="4602" max="4602" width="3.125" style="849" customWidth="1"/>
    <col min="4603" max="4603" width="10.625" style="849" customWidth="1"/>
    <col min="4604" max="4604" width="9.25" style="849" customWidth="1"/>
    <col min="4605" max="4605" width="8.75" style="849" customWidth="1"/>
    <col min="4606" max="4606" width="12.125" style="849" customWidth="1"/>
    <col min="4607" max="4608" width="11.25" style="849" customWidth="1"/>
    <col min="4609" max="4609" width="11.125" style="849" customWidth="1"/>
    <col min="4610" max="4610" width="9.5" style="849" bestFit="1" customWidth="1"/>
    <col min="4611" max="4611" width="10.125" style="849" customWidth="1"/>
    <col min="4612" max="4612" width="9.5" style="849" bestFit="1" customWidth="1"/>
    <col min="4613" max="4856" width="9" style="849"/>
    <col min="4857" max="4857" width="13.5" style="849" customWidth="1"/>
    <col min="4858" max="4858" width="3.125" style="849" customWidth="1"/>
    <col min="4859" max="4859" width="10.625" style="849" customWidth="1"/>
    <col min="4860" max="4860" width="9.25" style="849" customWidth="1"/>
    <col min="4861" max="4861" width="8.75" style="849" customWidth="1"/>
    <col min="4862" max="4862" width="12.125" style="849" customWidth="1"/>
    <col min="4863" max="4864" width="11.25" style="849" customWidth="1"/>
    <col min="4865" max="4865" width="11.125" style="849" customWidth="1"/>
    <col min="4866" max="4866" width="9.5" style="849" bestFit="1" customWidth="1"/>
    <col min="4867" max="4867" width="10.125" style="849" customWidth="1"/>
    <col min="4868" max="4868" width="9.5" style="849" bestFit="1" customWidth="1"/>
    <col min="4869" max="5112" width="9" style="849"/>
    <col min="5113" max="5113" width="13.5" style="849" customWidth="1"/>
    <col min="5114" max="5114" width="3.125" style="849" customWidth="1"/>
    <col min="5115" max="5115" width="10.625" style="849" customWidth="1"/>
    <col min="5116" max="5116" width="9.25" style="849" customWidth="1"/>
    <col min="5117" max="5117" width="8.75" style="849" customWidth="1"/>
    <col min="5118" max="5118" width="12.125" style="849" customWidth="1"/>
    <col min="5119" max="5120" width="11.25" style="849" customWidth="1"/>
    <col min="5121" max="5121" width="11.125" style="849" customWidth="1"/>
    <col min="5122" max="5122" width="9.5" style="849" bestFit="1" customWidth="1"/>
    <col min="5123" max="5123" width="10.125" style="849" customWidth="1"/>
    <col min="5124" max="5124" width="9.5" style="849" bestFit="1" customWidth="1"/>
    <col min="5125" max="5368" width="9" style="849"/>
    <col min="5369" max="5369" width="13.5" style="849" customWidth="1"/>
    <col min="5370" max="5370" width="3.125" style="849" customWidth="1"/>
    <col min="5371" max="5371" width="10.625" style="849" customWidth="1"/>
    <col min="5372" max="5372" width="9.25" style="849" customWidth="1"/>
    <col min="5373" max="5373" width="8.75" style="849" customWidth="1"/>
    <col min="5374" max="5374" width="12.125" style="849" customWidth="1"/>
    <col min="5375" max="5376" width="11.25" style="849" customWidth="1"/>
    <col min="5377" max="5377" width="11.125" style="849" customWidth="1"/>
    <col min="5378" max="5378" width="9.5" style="849" bestFit="1" customWidth="1"/>
    <col min="5379" max="5379" width="10.125" style="849" customWidth="1"/>
    <col min="5380" max="5380" width="9.5" style="849" bestFit="1" customWidth="1"/>
    <col min="5381" max="5624" width="9" style="849"/>
    <col min="5625" max="5625" width="13.5" style="849" customWidth="1"/>
    <col min="5626" max="5626" width="3.125" style="849" customWidth="1"/>
    <col min="5627" max="5627" width="10.625" style="849" customWidth="1"/>
    <col min="5628" max="5628" width="9.25" style="849" customWidth="1"/>
    <col min="5629" max="5629" width="8.75" style="849" customWidth="1"/>
    <col min="5630" max="5630" width="12.125" style="849" customWidth="1"/>
    <col min="5631" max="5632" width="11.25" style="849" customWidth="1"/>
    <col min="5633" max="5633" width="11.125" style="849" customWidth="1"/>
    <col min="5634" max="5634" width="9.5" style="849" bestFit="1" customWidth="1"/>
    <col min="5635" max="5635" width="10.125" style="849" customWidth="1"/>
    <col min="5636" max="5636" width="9.5" style="849" bestFit="1" customWidth="1"/>
    <col min="5637" max="5880" width="9" style="849"/>
    <col min="5881" max="5881" width="13.5" style="849" customWidth="1"/>
    <col min="5882" max="5882" width="3.125" style="849" customWidth="1"/>
    <col min="5883" max="5883" width="10.625" style="849" customWidth="1"/>
    <col min="5884" max="5884" width="9.25" style="849" customWidth="1"/>
    <col min="5885" max="5885" width="8.75" style="849" customWidth="1"/>
    <col min="5886" max="5886" width="12.125" style="849" customWidth="1"/>
    <col min="5887" max="5888" width="11.25" style="849" customWidth="1"/>
    <col min="5889" max="5889" width="11.125" style="849" customWidth="1"/>
    <col min="5890" max="5890" width="9.5" style="849" bestFit="1" customWidth="1"/>
    <col min="5891" max="5891" width="10.125" style="849" customWidth="1"/>
    <col min="5892" max="5892" width="9.5" style="849" bestFit="1" customWidth="1"/>
    <col min="5893" max="6136" width="9" style="849"/>
    <col min="6137" max="6137" width="13.5" style="849" customWidth="1"/>
    <col min="6138" max="6138" width="3.125" style="849" customWidth="1"/>
    <col min="6139" max="6139" width="10.625" style="849" customWidth="1"/>
    <col min="6140" max="6140" width="9.25" style="849" customWidth="1"/>
    <col min="6141" max="6141" width="8.75" style="849" customWidth="1"/>
    <col min="6142" max="6142" width="12.125" style="849" customWidth="1"/>
    <col min="6143" max="6144" width="11.25" style="849" customWidth="1"/>
    <col min="6145" max="6145" width="11.125" style="849" customWidth="1"/>
    <col min="6146" max="6146" width="9.5" style="849" bestFit="1" customWidth="1"/>
    <col min="6147" max="6147" width="10.125" style="849" customWidth="1"/>
    <col min="6148" max="6148" width="9.5" style="849" bestFit="1" customWidth="1"/>
    <col min="6149" max="6392" width="9" style="849"/>
    <col min="6393" max="6393" width="13.5" style="849" customWidth="1"/>
    <col min="6394" max="6394" width="3.125" style="849" customWidth="1"/>
    <col min="6395" max="6395" width="10.625" style="849" customWidth="1"/>
    <col min="6396" max="6396" width="9.25" style="849" customWidth="1"/>
    <col min="6397" max="6397" width="8.75" style="849" customWidth="1"/>
    <col min="6398" max="6398" width="12.125" style="849" customWidth="1"/>
    <col min="6399" max="6400" width="11.25" style="849" customWidth="1"/>
    <col min="6401" max="6401" width="11.125" style="849" customWidth="1"/>
    <col min="6402" max="6402" width="9.5" style="849" bestFit="1" customWidth="1"/>
    <col min="6403" max="6403" width="10.125" style="849" customWidth="1"/>
    <col min="6404" max="6404" width="9.5" style="849" bestFit="1" customWidth="1"/>
    <col min="6405" max="6648" width="9" style="849"/>
    <col min="6649" max="6649" width="13.5" style="849" customWidth="1"/>
    <col min="6650" max="6650" width="3.125" style="849" customWidth="1"/>
    <col min="6651" max="6651" width="10.625" style="849" customWidth="1"/>
    <col min="6652" max="6652" width="9.25" style="849" customWidth="1"/>
    <col min="6653" max="6653" width="8.75" style="849" customWidth="1"/>
    <col min="6654" max="6654" width="12.125" style="849" customWidth="1"/>
    <col min="6655" max="6656" width="11.25" style="849" customWidth="1"/>
    <col min="6657" max="6657" width="11.125" style="849" customWidth="1"/>
    <col min="6658" max="6658" width="9.5" style="849" bestFit="1" customWidth="1"/>
    <col min="6659" max="6659" width="10.125" style="849" customWidth="1"/>
    <col min="6660" max="6660" width="9.5" style="849" bestFit="1" customWidth="1"/>
    <col min="6661" max="6904" width="9" style="849"/>
    <col min="6905" max="6905" width="13.5" style="849" customWidth="1"/>
    <col min="6906" max="6906" width="3.125" style="849" customWidth="1"/>
    <col min="6907" max="6907" width="10.625" style="849" customWidth="1"/>
    <col min="6908" max="6908" width="9.25" style="849" customWidth="1"/>
    <col min="6909" max="6909" width="8.75" style="849" customWidth="1"/>
    <col min="6910" max="6910" width="12.125" style="849" customWidth="1"/>
    <col min="6911" max="6912" width="11.25" style="849" customWidth="1"/>
    <col min="6913" max="6913" width="11.125" style="849" customWidth="1"/>
    <col min="6914" max="6914" width="9.5" style="849" bestFit="1" customWidth="1"/>
    <col min="6915" max="6915" width="10.125" style="849" customWidth="1"/>
    <col min="6916" max="6916" width="9.5" style="849" bestFit="1" customWidth="1"/>
    <col min="6917" max="7160" width="9" style="849"/>
    <col min="7161" max="7161" width="13.5" style="849" customWidth="1"/>
    <col min="7162" max="7162" width="3.125" style="849" customWidth="1"/>
    <col min="7163" max="7163" width="10.625" style="849" customWidth="1"/>
    <col min="7164" max="7164" width="9.25" style="849" customWidth="1"/>
    <col min="7165" max="7165" width="8.75" style="849" customWidth="1"/>
    <col min="7166" max="7166" width="12.125" style="849" customWidth="1"/>
    <col min="7167" max="7168" width="11.25" style="849" customWidth="1"/>
    <col min="7169" max="7169" width="11.125" style="849" customWidth="1"/>
    <col min="7170" max="7170" width="9.5" style="849" bestFit="1" customWidth="1"/>
    <col min="7171" max="7171" width="10.125" style="849" customWidth="1"/>
    <col min="7172" max="7172" width="9.5" style="849" bestFit="1" customWidth="1"/>
    <col min="7173" max="7416" width="9" style="849"/>
    <col min="7417" max="7417" width="13.5" style="849" customWidth="1"/>
    <col min="7418" max="7418" width="3.125" style="849" customWidth="1"/>
    <col min="7419" max="7419" width="10.625" style="849" customWidth="1"/>
    <col min="7420" max="7420" width="9.25" style="849" customWidth="1"/>
    <col min="7421" max="7421" width="8.75" style="849" customWidth="1"/>
    <col min="7422" max="7422" width="12.125" style="849" customWidth="1"/>
    <col min="7423" max="7424" width="11.25" style="849" customWidth="1"/>
    <col min="7425" max="7425" width="11.125" style="849" customWidth="1"/>
    <col min="7426" max="7426" width="9.5" style="849" bestFit="1" customWidth="1"/>
    <col min="7427" max="7427" width="10.125" style="849" customWidth="1"/>
    <col min="7428" max="7428" width="9.5" style="849" bestFit="1" customWidth="1"/>
    <col min="7429" max="7672" width="9" style="849"/>
    <col min="7673" max="7673" width="13.5" style="849" customWidth="1"/>
    <col min="7674" max="7674" width="3.125" style="849" customWidth="1"/>
    <col min="7675" max="7675" width="10.625" style="849" customWidth="1"/>
    <col min="7676" max="7676" width="9.25" style="849" customWidth="1"/>
    <col min="7677" max="7677" width="8.75" style="849" customWidth="1"/>
    <col min="7678" max="7678" width="12.125" style="849" customWidth="1"/>
    <col min="7679" max="7680" width="11.25" style="849" customWidth="1"/>
    <col min="7681" max="7681" width="11.125" style="849" customWidth="1"/>
    <col min="7682" max="7682" width="9.5" style="849" bestFit="1" customWidth="1"/>
    <col min="7683" max="7683" width="10.125" style="849" customWidth="1"/>
    <col min="7684" max="7684" width="9.5" style="849" bestFit="1" customWidth="1"/>
    <col min="7685" max="7928" width="9" style="849"/>
    <col min="7929" max="7929" width="13.5" style="849" customWidth="1"/>
    <col min="7930" max="7930" width="3.125" style="849" customWidth="1"/>
    <col min="7931" max="7931" width="10.625" style="849" customWidth="1"/>
    <col min="7932" max="7932" width="9.25" style="849" customWidth="1"/>
    <col min="7933" max="7933" width="8.75" style="849" customWidth="1"/>
    <col min="7934" max="7934" width="12.125" style="849" customWidth="1"/>
    <col min="7935" max="7936" width="11.25" style="849" customWidth="1"/>
    <col min="7937" max="7937" width="11.125" style="849" customWidth="1"/>
    <col min="7938" max="7938" width="9.5" style="849" bestFit="1" customWidth="1"/>
    <col min="7939" max="7939" width="10.125" style="849" customWidth="1"/>
    <col min="7940" max="7940" width="9.5" style="849" bestFit="1" customWidth="1"/>
    <col min="7941" max="8184" width="9" style="849"/>
    <col min="8185" max="8185" width="13.5" style="849" customWidth="1"/>
    <col min="8186" max="8186" width="3.125" style="849" customWidth="1"/>
    <col min="8187" max="8187" width="10.625" style="849" customWidth="1"/>
    <col min="8188" max="8188" width="9.25" style="849" customWidth="1"/>
    <col min="8189" max="8189" width="8.75" style="849" customWidth="1"/>
    <col min="8190" max="8190" width="12.125" style="849" customWidth="1"/>
    <col min="8191" max="8192" width="11.25" style="849" customWidth="1"/>
    <col min="8193" max="8193" width="11.125" style="849" customWidth="1"/>
    <col min="8194" max="8194" width="9.5" style="849" bestFit="1" customWidth="1"/>
    <col min="8195" max="8195" width="10.125" style="849" customWidth="1"/>
    <col min="8196" max="8196" width="9.5" style="849" bestFit="1" customWidth="1"/>
    <col min="8197" max="8440" width="9" style="849"/>
    <col min="8441" max="8441" width="13.5" style="849" customWidth="1"/>
    <col min="8442" max="8442" width="3.125" style="849" customWidth="1"/>
    <col min="8443" max="8443" width="10.625" style="849" customWidth="1"/>
    <col min="8444" max="8444" width="9.25" style="849" customWidth="1"/>
    <col min="8445" max="8445" width="8.75" style="849" customWidth="1"/>
    <col min="8446" max="8446" width="12.125" style="849" customWidth="1"/>
    <col min="8447" max="8448" width="11.25" style="849" customWidth="1"/>
    <col min="8449" max="8449" width="11.125" style="849" customWidth="1"/>
    <col min="8450" max="8450" width="9.5" style="849" bestFit="1" customWidth="1"/>
    <col min="8451" max="8451" width="10.125" style="849" customWidth="1"/>
    <col min="8452" max="8452" width="9.5" style="849" bestFit="1" customWidth="1"/>
    <col min="8453" max="8696" width="9" style="849"/>
    <col min="8697" max="8697" width="13.5" style="849" customWidth="1"/>
    <col min="8698" max="8698" width="3.125" style="849" customWidth="1"/>
    <col min="8699" max="8699" width="10.625" style="849" customWidth="1"/>
    <col min="8700" max="8700" width="9.25" style="849" customWidth="1"/>
    <col min="8701" max="8701" width="8.75" style="849" customWidth="1"/>
    <col min="8702" max="8702" width="12.125" style="849" customWidth="1"/>
    <col min="8703" max="8704" width="11.25" style="849" customWidth="1"/>
    <col min="8705" max="8705" width="11.125" style="849" customWidth="1"/>
    <col min="8706" max="8706" width="9.5" style="849" bestFit="1" customWidth="1"/>
    <col min="8707" max="8707" width="10.125" style="849" customWidth="1"/>
    <col min="8708" max="8708" width="9.5" style="849" bestFit="1" customWidth="1"/>
    <col min="8709" max="8952" width="9" style="849"/>
    <col min="8953" max="8953" width="13.5" style="849" customWidth="1"/>
    <col min="8954" max="8954" width="3.125" style="849" customWidth="1"/>
    <col min="8955" max="8955" width="10.625" style="849" customWidth="1"/>
    <col min="8956" max="8956" width="9.25" style="849" customWidth="1"/>
    <col min="8957" max="8957" width="8.75" style="849" customWidth="1"/>
    <col min="8958" max="8958" width="12.125" style="849" customWidth="1"/>
    <col min="8959" max="8960" width="11.25" style="849" customWidth="1"/>
    <col min="8961" max="8961" width="11.125" style="849" customWidth="1"/>
    <col min="8962" max="8962" width="9.5" style="849" bestFit="1" customWidth="1"/>
    <col min="8963" max="8963" width="10.125" style="849" customWidth="1"/>
    <col min="8964" max="8964" width="9.5" style="849" bestFit="1" customWidth="1"/>
    <col min="8965" max="9208" width="9" style="849"/>
    <col min="9209" max="9209" width="13.5" style="849" customWidth="1"/>
    <col min="9210" max="9210" width="3.125" style="849" customWidth="1"/>
    <col min="9211" max="9211" width="10.625" style="849" customWidth="1"/>
    <col min="9212" max="9212" width="9.25" style="849" customWidth="1"/>
    <col min="9213" max="9213" width="8.75" style="849" customWidth="1"/>
    <col min="9214" max="9214" width="12.125" style="849" customWidth="1"/>
    <col min="9215" max="9216" width="11.25" style="849" customWidth="1"/>
    <col min="9217" max="9217" width="11.125" style="849" customWidth="1"/>
    <col min="9218" max="9218" width="9.5" style="849" bestFit="1" customWidth="1"/>
    <col min="9219" max="9219" width="10.125" style="849" customWidth="1"/>
    <col min="9220" max="9220" width="9.5" style="849" bestFit="1" customWidth="1"/>
    <col min="9221" max="9464" width="9" style="849"/>
    <col min="9465" max="9465" width="13.5" style="849" customWidth="1"/>
    <col min="9466" max="9466" width="3.125" style="849" customWidth="1"/>
    <col min="9467" max="9467" width="10.625" style="849" customWidth="1"/>
    <col min="9468" max="9468" width="9.25" style="849" customWidth="1"/>
    <col min="9469" max="9469" width="8.75" style="849" customWidth="1"/>
    <col min="9470" max="9470" width="12.125" style="849" customWidth="1"/>
    <col min="9471" max="9472" width="11.25" style="849" customWidth="1"/>
    <col min="9473" max="9473" width="11.125" style="849" customWidth="1"/>
    <col min="9474" max="9474" width="9.5" style="849" bestFit="1" customWidth="1"/>
    <col min="9475" max="9475" width="10.125" style="849" customWidth="1"/>
    <col min="9476" max="9476" width="9.5" style="849" bestFit="1" customWidth="1"/>
    <col min="9477" max="9720" width="9" style="849"/>
    <col min="9721" max="9721" width="13.5" style="849" customWidth="1"/>
    <col min="9722" max="9722" width="3.125" style="849" customWidth="1"/>
    <col min="9723" max="9723" width="10.625" style="849" customWidth="1"/>
    <col min="9724" max="9724" width="9.25" style="849" customWidth="1"/>
    <col min="9725" max="9725" width="8.75" style="849" customWidth="1"/>
    <col min="9726" max="9726" width="12.125" style="849" customWidth="1"/>
    <col min="9727" max="9728" width="11.25" style="849" customWidth="1"/>
    <col min="9729" max="9729" width="11.125" style="849" customWidth="1"/>
    <col min="9730" max="9730" width="9.5" style="849" bestFit="1" customWidth="1"/>
    <col min="9731" max="9731" width="10.125" style="849" customWidth="1"/>
    <col min="9732" max="9732" width="9.5" style="849" bestFit="1" customWidth="1"/>
    <col min="9733" max="9976" width="9" style="849"/>
    <col min="9977" max="9977" width="13.5" style="849" customWidth="1"/>
    <col min="9978" max="9978" width="3.125" style="849" customWidth="1"/>
    <col min="9979" max="9979" width="10.625" style="849" customWidth="1"/>
    <col min="9980" max="9980" width="9.25" style="849" customWidth="1"/>
    <col min="9981" max="9981" width="8.75" style="849" customWidth="1"/>
    <col min="9982" max="9982" width="12.125" style="849" customWidth="1"/>
    <col min="9983" max="9984" width="11.25" style="849" customWidth="1"/>
    <col min="9985" max="9985" width="11.125" style="849" customWidth="1"/>
    <col min="9986" max="9986" width="9.5" style="849" bestFit="1" customWidth="1"/>
    <col min="9987" max="9987" width="10.125" style="849" customWidth="1"/>
    <col min="9988" max="9988" width="9.5" style="849" bestFit="1" customWidth="1"/>
    <col min="9989" max="10232" width="9" style="849"/>
    <col min="10233" max="10233" width="13.5" style="849" customWidth="1"/>
    <col min="10234" max="10234" width="3.125" style="849" customWidth="1"/>
    <col min="10235" max="10235" width="10.625" style="849" customWidth="1"/>
    <col min="10236" max="10236" width="9.25" style="849" customWidth="1"/>
    <col min="10237" max="10237" width="8.75" style="849" customWidth="1"/>
    <col min="10238" max="10238" width="12.125" style="849" customWidth="1"/>
    <col min="10239" max="10240" width="11.25" style="849" customWidth="1"/>
    <col min="10241" max="10241" width="11.125" style="849" customWidth="1"/>
    <col min="10242" max="10242" width="9.5" style="849" bestFit="1" customWidth="1"/>
    <col min="10243" max="10243" width="10.125" style="849" customWidth="1"/>
    <col min="10244" max="10244" width="9.5" style="849" bestFit="1" customWidth="1"/>
    <col min="10245" max="10488" width="9" style="849"/>
    <col min="10489" max="10489" width="13.5" style="849" customWidth="1"/>
    <col min="10490" max="10490" width="3.125" style="849" customWidth="1"/>
    <col min="10491" max="10491" width="10.625" style="849" customWidth="1"/>
    <col min="10492" max="10492" width="9.25" style="849" customWidth="1"/>
    <col min="10493" max="10493" width="8.75" style="849" customWidth="1"/>
    <col min="10494" max="10494" width="12.125" style="849" customWidth="1"/>
    <col min="10495" max="10496" width="11.25" style="849" customWidth="1"/>
    <col min="10497" max="10497" width="11.125" style="849" customWidth="1"/>
    <col min="10498" max="10498" width="9.5" style="849" bestFit="1" customWidth="1"/>
    <col min="10499" max="10499" width="10.125" style="849" customWidth="1"/>
    <col min="10500" max="10500" width="9.5" style="849" bestFit="1" customWidth="1"/>
    <col min="10501" max="10744" width="9" style="849"/>
    <col min="10745" max="10745" width="13.5" style="849" customWidth="1"/>
    <col min="10746" max="10746" width="3.125" style="849" customWidth="1"/>
    <col min="10747" max="10747" width="10.625" style="849" customWidth="1"/>
    <col min="10748" max="10748" width="9.25" style="849" customWidth="1"/>
    <col min="10749" max="10749" width="8.75" style="849" customWidth="1"/>
    <col min="10750" max="10750" width="12.125" style="849" customWidth="1"/>
    <col min="10751" max="10752" width="11.25" style="849" customWidth="1"/>
    <col min="10753" max="10753" width="11.125" style="849" customWidth="1"/>
    <col min="10754" max="10754" width="9.5" style="849" bestFit="1" customWidth="1"/>
    <col min="10755" max="10755" width="10.125" style="849" customWidth="1"/>
    <col min="10756" max="10756" width="9.5" style="849" bestFit="1" customWidth="1"/>
    <col min="10757" max="11000" width="9" style="849"/>
    <col min="11001" max="11001" width="13.5" style="849" customWidth="1"/>
    <col min="11002" max="11002" width="3.125" style="849" customWidth="1"/>
    <col min="11003" max="11003" width="10.625" style="849" customWidth="1"/>
    <col min="11004" max="11004" width="9.25" style="849" customWidth="1"/>
    <col min="11005" max="11005" width="8.75" style="849" customWidth="1"/>
    <col min="11006" max="11006" width="12.125" style="849" customWidth="1"/>
    <col min="11007" max="11008" width="11.25" style="849" customWidth="1"/>
    <col min="11009" max="11009" width="11.125" style="849" customWidth="1"/>
    <col min="11010" max="11010" width="9.5" style="849" bestFit="1" customWidth="1"/>
    <col min="11011" max="11011" width="10.125" style="849" customWidth="1"/>
    <col min="11012" max="11012" width="9.5" style="849" bestFit="1" customWidth="1"/>
    <col min="11013" max="11256" width="9" style="849"/>
    <col min="11257" max="11257" width="13.5" style="849" customWidth="1"/>
    <col min="11258" max="11258" width="3.125" style="849" customWidth="1"/>
    <col min="11259" max="11259" width="10.625" style="849" customWidth="1"/>
    <col min="11260" max="11260" width="9.25" style="849" customWidth="1"/>
    <col min="11261" max="11261" width="8.75" style="849" customWidth="1"/>
    <col min="11262" max="11262" width="12.125" style="849" customWidth="1"/>
    <col min="11263" max="11264" width="11.25" style="849" customWidth="1"/>
    <col min="11265" max="11265" width="11.125" style="849" customWidth="1"/>
    <col min="11266" max="11266" width="9.5" style="849" bestFit="1" customWidth="1"/>
    <col min="11267" max="11267" width="10.125" style="849" customWidth="1"/>
    <col min="11268" max="11268" width="9.5" style="849" bestFit="1" customWidth="1"/>
    <col min="11269" max="11512" width="9" style="849"/>
    <col min="11513" max="11513" width="13.5" style="849" customWidth="1"/>
    <col min="11514" max="11514" width="3.125" style="849" customWidth="1"/>
    <col min="11515" max="11515" width="10.625" style="849" customWidth="1"/>
    <col min="11516" max="11516" width="9.25" style="849" customWidth="1"/>
    <col min="11517" max="11517" width="8.75" style="849" customWidth="1"/>
    <col min="11518" max="11518" width="12.125" style="849" customWidth="1"/>
    <col min="11519" max="11520" width="11.25" style="849" customWidth="1"/>
    <col min="11521" max="11521" width="11.125" style="849" customWidth="1"/>
    <col min="11522" max="11522" width="9.5" style="849" bestFit="1" customWidth="1"/>
    <col min="11523" max="11523" width="10.125" style="849" customWidth="1"/>
    <col min="11524" max="11524" width="9.5" style="849" bestFit="1" customWidth="1"/>
    <col min="11525" max="11768" width="9" style="849"/>
    <col min="11769" max="11769" width="13.5" style="849" customWidth="1"/>
    <col min="11770" max="11770" width="3.125" style="849" customWidth="1"/>
    <col min="11771" max="11771" width="10.625" style="849" customWidth="1"/>
    <col min="11772" max="11772" width="9.25" style="849" customWidth="1"/>
    <col min="11773" max="11773" width="8.75" style="849" customWidth="1"/>
    <col min="11774" max="11774" width="12.125" style="849" customWidth="1"/>
    <col min="11775" max="11776" width="11.25" style="849" customWidth="1"/>
    <col min="11777" max="11777" width="11.125" style="849" customWidth="1"/>
    <col min="11778" max="11778" width="9.5" style="849" bestFit="1" customWidth="1"/>
    <col min="11779" max="11779" width="10.125" style="849" customWidth="1"/>
    <col min="11780" max="11780" width="9.5" style="849" bestFit="1" customWidth="1"/>
    <col min="11781" max="12024" width="9" style="849"/>
    <col min="12025" max="12025" width="13.5" style="849" customWidth="1"/>
    <col min="12026" max="12026" width="3.125" style="849" customWidth="1"/>
    <col min="12027" max="12027" width="10.625" style="849" customWidth="1"/>
    <col min="12028" max="12028" width="9.25" style="849" customWidth="1"/>
    <col min="12029" max="12029" width="8.75" style="849" customWidth="1"/>
    <col min="12030" max="12030" width="12.125" style="849" customWidth="1"/>
    <col min="12031" max="12032" width="11.25" style="849" customWidth="1"/>
    <col min="12033" max="12033" width="11.125" style="849" customWidth="1"/>
    <col min="12034" max="12034" width="9.5" style="849" bestFit="1" customWidth="1"/>
    <col min="12035" max="12035" width="10.125" style="849" customWidth="1"/>
    <col min="12036" max="12036" width="9.5" style="849" bestFit="1" customWidth="1"/>
    <col min="12037" max="12280" width="9" style="849"/>
    <col min="12281" max="12281" width="13.5" style="849" customWidth="1"/>
    <col min="12282" max="12282" width="3.125" style="849" customWidth="1"/>
    <col min="12283" max="12283" width="10.625" style="849" customWidth="1"/>
    <col min="12284" max="12284" width="9.25" style="849" customWidth="1"/>
    <col min="12285" max="12285" width="8.75" style="849" customWidth="1"/>
    <col min="12286" max="12286" width="12.125" style="849" customWidth="1"/>
    <col min="12287" max="12288" width="11.25" style="849" customWidth="1"/>
    <col min="12289" max="12289" width="11.125" style="849" customWidth="1"/>
    <col min="12290" max="12290" width="9.5" style="849" bestFit="1" customWidth="1"/>
    <col min="12291" max="12291" width="10.125" style="849" customWidth="1"/>
    <col min="12292" max="12292" width="9.5" style="849" bestFit="1" customWidth="1"/>
    <col min="12293" max="12536" width="9" style="849"/>
    <col min="12537" max="12537" width="13.5" style="849" customWidth="1"/>
    <col min="12538" max="12538" width="3.125" style="849" customWidth="1"/>
    <col min="12539" max="12539" width="10.625" style="849" customWidth="1"/>
    <col min="12540" max="12540" width="9.25" style="849" customWidth="1"/>
    <col min="12541" max="12541" width="8.75" style="849" customWidth="1"/>
    <col min="12542" max="12542" width="12.125" style="849" customWidth="1"/>
    <col min="12543" max="12544" width="11.25" style="849" customWidth="1"/>
    <col min="12545" max="12545" width="11.125" style="849" customWidth="1"/>
    <col min="12546" max="12546" width="9.5" style="849" bestFit="1" customWidth="1"/>
    <col min="12547" max="12547" width="10.125" style="849" customWidth="1"/>
    <col min="12548" max="12548" width="9.5" style="849" bestFit="1" customWidth="1"/>
    <col min="12549" max="12792" width="9" style="849"/>
    <col min="12793" max="12793" width="13.5" style="849" customWidth="1"/>
    <col min="12794" max="12794" width="3.125" style="849" customWidth="1"/>
    <col min="12795" max="12795" width="10.625" style="849" customWidth="1"/>
    <col min="12796" max="12796" width="9.25" style="849" customWidth="1"/>
    <col min="12797" max="12797" width="8.75" style="849" customWidth="1"/>
    <col min="12798" max="12798" width="12.125" style="849" customWidth="1"/>
    <col min="12799" max="12800" width="11.25" style="849" customWidth="1"/>
    <col min="12801" max="12801" width="11.125" style="849" customWidth="1"/>
    <col min="12802" max="12802" width="9.5" style="849" bestFit="1" customWidth="1"/>
    <col min="12803" max="12803" width="10.125" style="849" customWidth="1"/>
    <col min="12804" max="12804" width="9.5" style="849" bestFit="1" customWidth="1"/>
    <col min="12805" max="13048" width="9" style="849"/>
    <col min="13049" max="13049" width="13.5" style="849" customWidth="1"/>
    <col min="13050" max="13050" width="3.125" style="849" customWidth="1"/>
    <col min="13051" max="13051" width="10.625" style="849" customWidth="1"/>
    <col min="13052" max="13052" width="9.25" style="849" customWidth="1"/>
    <col min="13053" max="13053" width="8.75" style="849" customWidth="1"/>
    <col min="13054" max="13054" width="12.125" style="849" customWidth="1"/>
    <col min="13055" max="13056" width="11.25" style="849" customWidth="1"/>
    <col min="13057" max="13057" width="11.125" style="849" customWidth="1"/>
    <col min="13058" max="13058" width="9.5" style="849" bestFit="1" customWidth="1"/>
    <col min="13059" max="13059" width="10.125" style="849" customWidth="1"/>
    <col min="13060" max="13060" width="9.5" style="849" bestFit="1" customWidth="1"/>
    <col min="13061" max="13304" width="9" style="849"/>
    <col min="13305" max="13305" width="13.5" style="849" customWidth="1"/>
    <col min="13306" max="13306" width="3.125" style="849" customWidth="1"/>
    <col min="13307" max="13307" width="10.625" style="849" customWidth="1"/>
    <col min="13308" max="13308" width="9.25" style="849" customWidth="1"/>
    <col min="13309" max="13309" width="8.75" style="849" customWidth="1"/>
    <col min="13310" max="13310" width="12.125" style="849" customWidth="1"/>
    <col min="13311" max="13312" width="11.25" style="849" customWidth="1"/>
    <col min="13313" max="13313" width="11.125" style="849" customWidth="1"/>
    <col min="13314" max="13314" width="9.5" style="849" bestFit="1" customWidth="1"/>
    <col min="13315" max="13315" width="10.125" style="849" customWidth="1"/>
    <col min="13316" max="13316" width="9.5" style="849" bestFit="1" customWidth="1"/>
    <col min="13317" max="13560" width="9" style="849"/>
    <col min="13561" max="13561" width="13.5" style="849" customWidth="1"/>
    <col min="13562" max="13562" width="3.125" style="849" customWidth="1"/>
    <col min="13563" max="13563" width="10.625" style="849" customWidth="1"/>
    <col min="13564" max="13564" width="9.25" style="849" customWidth="1"/>
    <col min="13565" max="13565" width="8.75" style="849" customWidth="1"/>
    <col min="13566" max="13566" width="12.125" style="849" customWidth="1"/>
    <col min="13567" max="13568" width="11.25" style="849" customWidth="1"/>
    <col min="13569" max="13569" width="11.125" style="849" customWidth="1"/>
    <col min="13570" max="13570" width="9.5" style="849" bestFit="1" customWidth="1"/>
    <col min="13571" max="13571" width="10.125" style="849" customWidth="1"/>
    <col min="13572" max="13572" width="9.5" style="849" bestFit="1" customWidth="1"/>
    <col min="13573" max="13816" width="9" style="849"/>
    <col min="13817" max="13817" width="13.5" style="849" customWidth="1"/>
    <col min="13818" max="13818" width="3.125" style="849" customWidth="1"/>
    <col min="13819" max="13819" width="10.625" style="849" customWidth="1"/>
    <col min="13820" max="13820" width="9.25" style="849" customWidth="1"/>
    <col min="13821" max="13821" width="8.75" style="849" customWidth="1"/>
    <col min="13822" max="13822" width="12.125" style="849" customWidth="1"/>
    <col min="13823" max="13824" width="11.25" style="849" customWidth="1"/>
    <col min="13825" max="13825" width="11.125" style="849" customWidth="1"/>
    <col min="13826" max="13826" width="9.5" style="849" bestFit="1" customWidth="1"/>
    <col min="13827" max="13827" width="10.125" style="849" customWidth="1"/>
    <col min="13828" max="13828" width="9.5" style="849" bestFit="1" customWidth="1"/>
    <col min="13829" max="14072" width="9" style="849"/>
    <col min="14073" max="14073" width="13.5" style="849" customWidth="1"/>
    <col min="14074" max="14074" width="3.125" style="849" customWidth="1"/>
    <col min="14075" max="14075" width="10.625" style="849" customWidth="1"/>
    <col min="14076" max="14076" width="9.25" style="849" customWidth="1"/>
    <col min="14077" max="14077" width="8.75" style="849" customWidth="1"/>
    <col min="14078" max="14078" width="12.125" style="849" customWidth="1"/>
    <col min="14079" max="14080" width="11.25" style="849" customWidth="1"/>
    <col min="14081" max="14081" width="11.125" style="849" customWidth="1"/>
    <col min="14082" max="14082" width="9.5" style="849" bestFit="1" customWidth="1"/>
    <col min="14083" max="14083" width="10.125" style="849" customWidth="1"/>
    <col min="14084" max="14084" width="9.5" style="849" bestFit="1" customWidth="1"/>
    <col min="14085" max="14328" width="9" style="849"/>
    <col min="14329" max="14329" width="13.5" style="849" customWidth="1"/>
    <col min="14330" max="14330" width="3.125" style="849" customWidth="1"/>
    <col min="14331" max="14331" width="10.625" style="849" customWidth="1"/>
    <col min="14332" max="14332" width="9.25" style="849" customWidth="1"/>
    <col min="14333" max="14333" width="8.75" style="849" customWidth="1"/>
    <col min="14334" max="14334" width="12.125" style="849" customWidth="1"/>
    <col min="14335" max="14336" width="11.25" style="849" customWidth="1"/>
    <col min="14337" max="14337" width="11.125" style="849" customWidth="1"/>
    <col min="14338" max="14338" width="9.5" style="849" bestFit="1" customWidth="1"/>
    <col min="14339" max="14339" width="10.125" style="849" customWidth="1"/>
    <col min="14340" max="14340" width="9.5" style="849" bestFit="1" customWidth="1"/>
    <col min="14341" max="14584" width="9" style="849"/>
    <col min="14585" max="14585" width="13.5" style="849" customWidth="1"/>
    <col min="14586" max="14586" width="3.125" style="849" customWidth="1"/>
    <col min="14587" max="14587" width="10.625" style="849" customWidth="1"/>
    <col min="14588" max="14588" width="9.25" style="849" customWidth="1"/>
    <col min="14589" max="14589" width="8.75" style="849" customWidth="1"/>
    <col min="14590" max="14590" width="12.125" style="849" customWidth="1"/>
    <col min="14591" max="14592" width="11.25" style="849" customWidth="1"/>
    <col min="14593" max="14593" width="11.125" style="849" customWidth="1"/>
    <col min="14594" max="14594" width="9.5" style="849" bestFit="1" customWidth="1"/>
    <col min="14595" max="14595" width="10.125" style="849" customWidth="1"/>
    <col min="14596" max="14596" width="9.5" style="849" bestFit="1" customWidth="1"/>
    <col min="14597" max="14840" width="9" style="849"/>
    <col min="14841" max="14841" width="13.5" style="849" customWidth="1"/>
    <col min="14842" max="14842" width="3.125" style="849" customWidth="1"/>
    <col min="14843" max="14843" width="10.625" style="849" customWidth="1"/>
    <col min="14844" max="14844" width="9.25" style="849" customWidth="1"/>
    <col min="14845" max="14845" width="8.75" style="849" customWidth="1"/>
    <col min="14846" max="14846" width="12.125" style="849" customWidth="1"/>
    <col min="14847" max="14848" width="11.25" style="849" customWidth="1"/>
    <col min="14849" max="14849" width="11.125" style="849" customWidth="1"/>
    <col min="14850" max="14850" width="9.5" style="849" bestFit="1" customWidth="1"/>
    <col min="14851" max="14851" width="10.125" style="849" customWidth="1"/>
    <col min="14852" max="14852" width="9.5" style="849" bestFit="1" customWidth="1"/>
    <col min="14853" max="15096" width="9" style="849"/>
    <col min="15097" max="15097" width="13.5" style="849" customWidth="1"/>
    <col min="15098" max="15098" width="3.125" style="849" customWidth="1"/>
    <col min="15099" max="15099" width="10.625" style="849" customWidth="1"/>
    <col min="15100" max="15100" width="9.25" style="849" customWidth="1"/>
    <col min="15101" max="15101" width="8.75" style="849" customWidth="1"/>
    <col min="15102" max="15102" width="12.125" style="849" customWidth="1"/>
    <col min="15103" max="15104" width="11.25" style="849" customWidth="1"/>
    <col min="15105" max="15105" width="11.125" style="849" customWidth="1"/>
    <col min="15106" max="15106" width="9.5" style="849" bestFit="1" customWidth="1"/>
    <col min="15107" max="15107" width="10.125" style="849" customWidth="1"/>
    <col min="15108" max="15108" width="9.5" style="849" bestFit="1" customWidth="1"/>
    <col min="15109" max="15352" width="9" style="849"/>
    <col min="15353" max="15353" width="13.5" style="849" customWidth="1"/>
    <col min="15354" max="15354" width="3.125" style="849" customWidth="1"/>
    <col min="15355" max="15355" width="10.625" style="849" customWidth="1"/>
    <col min="15356" max="15356" width="9.25" style="849" customWidth="1"/>
    <col min="15357" max="15357" width="8.75" style="849" customWidth="1"/>
    <col min="15358" max="15358" width="12.125" style="849" customWidth="1"/>
    <col min="15359" max="15360" width="11.25" style="849" customWidth="1"/>
    <col min="15361" max="15361" width="11.125" style="849" customWidth="1"/>
    <col min="15362" max="15362" width="9.5" style="849" bestFit="1" customWidth="1"/>
    <col min="15363" max="15363" width="10.125" style="849" customWidth="1"/>
    <col min="15364" max="15364" width="9.5" style="849" bestFit="1" customWidth="1"/>
    <col min="15365" max="15608" width="9" style="849"/>
    <col min="15609" max="15609" width="13.5" style="849" customWidth="1"/>
    <col min="15610" max="15610" width="3.125" style="849" customWidth="1"/>
    <col min="15611" max="15611" width="10.625" style="849" customWidth="1"/>
    <col min="15612" max="15612" width="9.25" style="849" customWidth="1"/>
    <col min="15613" max="15613" width="8.75" style="849" customWidth="1"/>
    <col min="15614" max="15614" width="12.125" style="849" customWidth="1"/>
    <col min="15615" max="15616" width="11.25" style="849" customWidth="1"/>
    <col min="15617" max="15617" width="11.125" style="849" customWidth="1"/>
    <col min="15618" max="15618" width="9.5" style="849" bestFit="1" customWidth="1"/>
    <col min="15619" max="15619" width="10.125" style="849" customWidth="1"/>
    <col min="15620" max="15620" width="9.5" style="849" bestFit="1" customWidth="1"/>
    <col min="15621" max="15864" width="9" style="849"/>
    <col min="15865" max="15865" width="13.5" style="849" customWidth="1"/>
    <col min="15866" max="15866" width="3.125" style="849" customWidth="1"/>
    <col min="15867" max="15867" width="10.625" style="849" customWidth="1"/>
    <col min="15868" max="15868" width="9.25" style="849" customWidth="1"/>
    <col min="15869" max="15869" width="8.75" style="849" customWidth="1"/>
    <col min="15870" max="15870" width="12.125" style="849" customWidth="1"/>
    <col min="15871" max="15872" width="11.25" style="849" customWidth="1"/>
    <col min="15873" max="15873" width="11.125" style="849" customWidth="1"/>
    <col min="15874" max="15874" width="9.5" style="849" bestFit="1" customWidth="1"/>
    <col min="15875" max="15875" width="10.125" style="849" customWidth="1"/>
    <col min="15876" max="15876" width="9.5" style="849" bestFit="1" customWidth="1"/>
    <col min="15877" max="16120" width="9" style="849"/>
    <col min="16121" max="16121" width="13.5" style="849" customWidth="1"/>
    <col min="16122" max="16122" width="3.125" style="849" customWidth="1"/>
    <col min="16123" max="16123" width="10.625" style="849" customWidth="1"/>
    <col min="16124" max="16124" width="9.25" style="849" customWidth="1"/>
    <col min="16125" max="16125" width="8.75" style="849" customWidth="1"/>
    <col min="16126" max="16126" width="12.125" style="849" customWidth="1"/>
    <col min="16127" max="16128" width="11.25" style="849" customWidth="1"/>
    <col min="16129" max="16129" width="11.125" style="849" customWidth="1"/>
    <col min="16130" max="16130" width="9.5" style="849" bestFit="1" customWidth="1"/>
    <col min="16131" max="16131" width="10.125" style="849" customWidth="1"/>
    <col min="16132" max="16132" width="9.5" style="849" bestFit="1" customWidth="1"/>
    <col min="16133" max="16376" width="9" style="849"/>
    <col min="16377" max="16382" width="9" style="849" customWidth="1"/>
    <col min="16383" max="16384" width="9" style="849"/>
  </cols>
  <sheetData>
    <row r="1" spans="1:11" ht="30.6" customHeight="1">
      <c r="A1" s="3936" t="s">
        <v>3447</v>
      </c>
      <c r="B1" s="3936"/>
      <c r="C1" s="3936"/>
      <c r="D1" s="3936"/>
      <c r="E1" s="3936"/>
      <c r="F1" s="3936"/>
      <c r="G1" s="3936"/>
      <c r="H1" s="3936"/>
      <c r="I1" s="3936"/>
      <c r="J1" s="3936"/>
      <c r="K1" s="3936"/>
    </row>
    <row r="2" spans="1:11" ht="24.75" customHeight="1">
      <c r="A2" s="3937" t="s">
        <v>3448</v>
      </c>
      <c r="B2" s="3940" t="s">
        <v>3449</v>
      </c>
      <c r="C2" s="3943" t="s">
        <v>3450</v>
      </c>
      <c r="D2" s="3937"/>
      <c r="E2" s="3937"/>
      <c r="F2" s="3946" t="s">
        <v>3451</v>
      </c>
      <c r="G2" s="3947"/>
      <c r="H2" s="3947"/>
      <c r="I2" s="3947"/>
      <c r="J2" s="3947"/>
      <c r="K2" s="3947"/>
    </row>
    <row r="3" spans="1:11" ht="18" customHeight="1">
      <c r="A3" s="3938"/>
      <c r="B3" s="3941"/>
      <c r="C3" s="3944"/>
      <c r="D3" s="3938"/>
      <c r="E3" s="3938"/>
      <c r="F3" s="3948" t="s">
        <v>3452</v>
      </c>
      <c r="G3" s="3937"/>
      <c r="H3" s="2246"/>
      <c r="I3" s="2246"/>
      <c r="J3" s="2246"/>
      <c r="K3" s="2246"/>
    </row>
    <row r="4" spans="1:11" ht="19.5" customHeight="1">
      <c r="A4" s="3938"/>
      <c r="B4" s="3941"/>
      <c r="C4" s="3945"/>
      <c r="D4" s="3939"/>
      <c r="E4" s="3939"/>
      <c r="F4" s="3949"/>
      <c r="G4" s="3939"/>
      <c r="H4" s="3950" t="s">
        <v>3453</v>
      </c>
      <c r="I4" s="3951"/>
      <c r="J4" s="3950" t="s">
        <v>3454</v>
      </c>
      <c r="K4" s="3947"/>
    </row>
    <row r="5" spans="1:11" ht="22.9" customHeight="1">
      <c r="A5" s="3939"/>
      <c r="B5" s="3942"/>
      <c r="C5" s="2247" t="s">
        <v>3455</v>
      </c>
      <c r="D5" s="2248" t="s">
        <v>400</v>
      </c>
      <c r="E5" s="2249" t="s">
        <v>3456</v>
      </c>
      <c r="F5" s="2250" t="s">
        <v>3457</v>
      </c>
      <c r="G5" s="2248" t="s">
        <v>3458</v>
      </c>
      <c r="H5" s="2248" t="s">
        <v>3457</v>
      </c>
      <c r="I5" s="2248" t="s">
        <v>3459</v>
      </c>
      <c r="J5" s="2248" t="s">
        <v>3460</v>
      </c>
      <c r="K5" s="2249" t="s">
        <v>3461</v>
      </c>
    </row>
    <row r="6" spans="1:11" ht="18.75" customHeight="1">
      <c r="A6" s="2251" t="s">
        <v>3462</v>
      </c>
      <c r="B6" s="2252">
        <v>11526898</v>
      </c>
      <c r="C6" s="2253">
        <v>49631</v>
      </c>
      <c r="D6" s="2254">
        <v>18.43</v>
      </c>
      <c r="E6" s="2255">
        <v>431.38755362031429</v>
      </c>
      <c r="F6" s="2256">
        <v>179697</v>
      </c>
      <c r="G6" s="2257">
        <v>100</v>
      </c>
      <c r="H6" s="2258">
        <v>153244</v>
      </c>
      <c r="I6" s="2257">
        <v>85.097261787751066</v>
      </c>
      <c r="J6" s="2258">
        <v>26453</v>
      </c>
      <c r="K6" s="2259">
        <v>14.68950083573503</v>
      </c>
    </row>
    <row r="7" spans="1:11" ht="18.75" customHeight="1">
      <c r="A7" s="2260" t="s">
        <v>1007</v>
      </c>
      <c r="B7" s="2252">
        <v>11579238</v>
      </c>
      <c r="C7" s="2253">
        <v>47375</v>
      </c>
      <c r="D7" s="2254">
        <v>18.2</v>
      </c>
      <c r="E7" s="2255">
        <v>410.06423575105765</v>
      </c>
      <c r="F7" s="2261">
        <v>174929</v>
      </c>
      <c r="G7" s="2257">
        <v>100</v>
      </c>
      <c r="H7" s="2258">
        <v>148490</v>
      </c>
      <c r="I7" s="2257">
        <v>84.706217912150592</v>
      </c>
      <c r="J7" s="2258">
        <v>26439</v>
      </c>
      <c r="K7" s="2259">
        <v>15.082144894466628</v>
      </c>
    </row>
    <row r="8" spans="1:11" ht="18.75" customHeight="1">
      <c r="A8" s="2260" t="s">
        <v>3463</v>
      </c>
      <c r="B8" s="2252">
        <v>11642503</v>
      </c>
      <c r="C8" s="2253">
        <v>48109</v>
      </c>
      <c r="D8" s="2254">
        <v>18.36</v>
      </c>
      <c r="E8" s="2255">
        <v>414.34447141581677</v>
      </c>
      <c r="F8" s="2261">
        <v>173482</v>
      </c>
      <c r="G8" s="2257">
        <v>100</v>
      </c>
      <c r="H8" s="2258">
        <v>147682</v>
      </c>
      <c r="I8" s="2257">
        <v>84.941103391156304</v>
      </c>
      <c r="J8" s="2258">
        <v>25800</v>
      </c>
      <c r="K8" s="2259">
        <v>14.839184650071321</v>
      </c>
    </row>
    <row r="9" spans="1:11" ht="18.75" customHeight="1">
      <c r="A9" s="2260" t="s">
        <v>3464</v>
      </c>
      <c r="B9" s="2252">
        <v>11688843</v>
      </c>
      <c r="C9" s="2253">
        <v>46088</v>
      </c>
      <c r="D9" s="2254">
        <v>18.05</v>
      </c>
      <c r="E9" s="2255">
        <v>395.07364898707516</v>
      </c>
      <c r="F9" s="2261">
        <v>168265</v>
      </c>
      <c r="G9" s="2257">
        <v>100</v>
      </c>
      <c r="H9" s="2258">
        <v>143595</v>
      </c>
      <c r="I9" s="2257">
        <v>85.171564993030628</v>
      </c>
      <c r="J9" s="2258">
        <v>24670</v>
      </c>
      <c r="K9" s="2259">
        <v>14.632699664877368</v>
      </c>
    </row>
    <row r="10" spans="1:11" ht="18.75" customHeight="1">
      <c r="A10" s="2260" t="s">
        <v>3465</v>
      </c>
      <c r="B10" s="2252">
        <v>11735782</v>
      </c>
      <c r="C10" s="2253">
        <v>46902</v>
      </c>
      <c r="D10" s="2254">
        <v>17.928693478</v>
      </c>
      <c r="E10" s="2255">
        <v>400.45038074248794</v>
      </c>
      <c r="F10" s="2261">
        <v>188206</v>
      </c>
      <c r="G10" s="2257">
        <v>100</v>
      </c>
      <c r="H10" s="2258">
        <v>162924</v>
      </c>
      <c r="I10" s="2257">
        <v>86.405702254490677</v>
      </c>
      <c r="J10" s="2258">
        <v>25282</v>
      </c>
      <c r="K10" s="2259">
        <v>13.408147138531055</v>
      </c>
    </row>
    <row r="11" spans="1:11" ht="18.75" customHeight="1">
      <c r="A11" s="2260" t="s">
        <v>3466</v>
      </c>
      <c r="B11" s="2252">
        <v>11780027</v>
      </c>
      <c r="C11" s="2253">
        <v>47392</v>
      </c>
      <c r="D11" s="2254">
        <v>17.600000000000001</v>
      </c>
      <c r="E11" s="2255">
        <v>403.06501894108771</v>
      </c>
      <c r="F11" s="2261">
        <v>184702</v>
      </c>
      <c r="G11" s="2257">
        <v>100</v>
      </c>
      <c r="H11" s="2258">
        <v>159591</v>
      </c>
      <c r="I11" s="2257">
        <v>86.240698610668304</v>
      </c>
      <c r="J11" s="2258">
        <v>25111</v>
      </c>
      <c r="K11" s="2259">
        <v>13.569625999038113</v>
      </c>
    </row>
    <row r="12" spans="1:11" ht="18.75" customHeight="1">
      <c r="A12" s="2260" t="s">
        <v>769</v>
      </c>
      <c r="B12" s="2252">
        <v>11820546</v>
      </c>
      <c r="C12" s="2253">
        <v>48434</v>
      </c>
      <c r="D12" s="2254">
        <v>17.75</v>
      </c>
      <c r="E12" s="2255">
        <v>410.45</v>
      </c>
      <c r="F12" s="2261">
        <v>180733</v>
      </c>
      <c r="G12" s="2257">
        <v>100</v>
      </c>
      <c r="H12" s="2258">
        <v>156108</v>
      </c>
      <c r="I12" s="2257">
        <v>86.184660910275383</v>
      </c>
      <c r="J12" s="2258">
        <v>24625</v>
      </c>
      <c r="K12" s="2259">
        <v>13.595057747940729</v>
      </c>
    </row>
    <row r="13" spans="1:11" ht="18.75" customHeight="1">
      <c r="A13" s="2260" t="s">
        <v>3467</v>
      </c>
      <c r="B13" s="2262">
        <v>11851647</v>
      </c>
      <c r="C13" s="2253">
        <v>51906</v>
      </c>
      <c r="D13" s="2254">
        <v>18.07</v>
      </c>
      <c r="E13" s="2263">
        <v>438.54</v>
      </c>
      <c r="F13" s="2261">
        <v>192158</v>
      </c>
      <c r="G13" s="2257">
        <v>100</v>
      </c>
      <c r="H13" s="2258">
        <v>165604</v>
      </c>
      <c r="I13" s="2257">
        <v>86.010626418543779</v>
      </c>
      <c r="J13" s="2258">
        <v>26554</v>
      </c>
      <c r="K13" s="2259">
        <v>13.791491593910843</v>
      </c>
    </row>
    <row r="14" spans="1:11" ht="18.75" customHeight="1">
      <c r="A14" s="2260" t="s">
        <v>3468</v>
      </c>
      <c r="B14" s="2264">
        <v>11876019</v>
      </c>
      <c r="C14" s="2253">
        <v>55313</v>
      </c>
      <c r="D14" s="2265">
        <v>18.97</v>
      </c>
      <c r="E14" s="2263">
        <v>466.23</v>
      </c>
      <c r="F14" s="2261">
        <v>192230</v>
      </c>
      <c r="G14" s="2257">
        <v>100</v>
      </c>
      <c r="H14" s="2258">
        <v>165517</v>
      </c>
      <c r="I14" s="2257">
        <v>85.958297629248776</v>
      </c>
      <c r="J14" s="2258">
        <v>26713</v>
      </c>
      <c r="K14" s="2259">
        <v>13.872919425618655</v>
      </c>
    </row>
    <row r="15" spans="1:11" ht="18.75" customHeight="1">
      <c r="A15" s="2266" t="s">
        <v>364</v>
      </c>
      <c r="B15" s="2267">
        <v>11897935</v>
      </c>
      <c r="C15" s="2268">
        <v>53230</v>
      </c>
      <c r="D15" s="2269">
        <v>19.170000000000002</v>
      </c>
      <c r="E15" s="2270">
        <v>447.8</v>
      </c>
      <c r="F15" s="2271">
        <v>182829</v>
      </c>
      <c r="G15" s="2272">
        <v>100</v>
      </c>
      <c r="H15" s="2273">
        <v>156310</v>
      </c>
      <c r="I15" s="2272">
        <v>85.341151676958276</v>
      </c>
      <c r="J15" s="2273">
        <v>26519</v>
      </c>
      <c r="K15" s="2274">
        <v>14.478676996489389</v>
      </c>
    </row>
    <row r="16" spans="1:11" s="2275" customFormat="1" ht="19.5" customHeight="1">
      <c r="A16" s="2275" t="s">
        <v>3469</v>
      </c>
      <c r="B16" s="2276"/>
    </row>
    <row r="17" spans="1:11" s="2277" customFormat="1" ht="15.75" customHeight="1">
      <c r="A17" s="3952" t="s">
        <v>3470</v>
      </c>
      <c r="B17" s="3952"/>
      <c r="C17" s="3952"/>
      <c r="D17" s="3952"/>
      <c r="E17" s="3952"/>
    </row>
    <row r="18" spans="1:11">
      <c r="A18" s="3953" t="s">
        <v>3471</v>
      </c>
      <c r="B18" s="3953"/>
      <c r="C18" s="3953"/>
      <c r="D18" s="3953"/>
      <c r="E18" s="3953"/>
      <c r="F18" s="3953"/>
      <c r="G18" s="3953"/>
      <c r="H18" s="3953"/>
      <c r="I18" s="2275"/>
      <c r="J18" s="2275"/>
    </row>
    <row r="19" spans="1:11">
      <c r="A19" s="3953" t="s">
        <v>3472</v>
      </c>
      <c r="B19" s="3953"/>
      <c r="C19" s="3953"/>
      <c r="D19" s="3953"/>
      <c r="E19" s="3953"/>
      <c r="F19" s="3953"/>
      <c r="G19" s="3953"/>
      <c r="H19" s="3953"/>
      <c r="I19" s="3953"/>
      <c r="J19" s="2275"/>
    </row>
    <row r="20" spans="1:11">
      <c r="A20" s="3954" t="s">
        <v>3473</v>
      </c>
      <c r="B20" s="3954"/>
      <c r="C20" s="3954"/>
      <c r="D20" s="3954"/>
      <c r="E20" s="3954"/>
      <c r="F20" s="3954"/>
      <c r="G20" s="3954"/>
      <c r="H20" s="3954"/>
      <c r="I20" s="3954"/>
      <c r="J20" s="3954"/>
      <c r="K20" s="3954"/>
    </row>
    <row r="21" spans="1:11" s="2275" customFormat="1" ht="14.25">
      <c r="A21" s="3953" t="s">
        <v>3474</v>
      </c>
      <c r="B21" s="3953"/>
      <c r="C21" s="3953"/>
      <c r="D21" s="3953"/>
      <c r="E21" s="3953"/>
      <c r="F21" s="3953"/>
      <c r="G21" s="3953"/>
      <c r="H21" s="3953"/>
    </row>
  </sheetData>
  <mergeCells count="13">
    <mergeCell ref="A17:E17"/>
    <mergeCell ref="A18:H18"/>
    <mergeCell ref="A19:I19"/>
    <mergeCell ref="A20:K20"/>
    <mergeCell ref="A21:H21"/>
    <mergeCell ref="A1:K1"/>
    <mergeCell ref="A2:A5"/>
    <mergeCell ref="B2:B5"/>
    <mergeCell ref="C2:E4"/>
    <mergeCell ref="F2:K2"/>
    <mergeCell ref="F3:G4"/>
    <mergeCell ref="H4:I4"/>
    <mergeCell ref="J4:K4"/>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78" firstPageNumber="262" orientation="landscape" r:id="rId1"/>
  <headerFooter differentOddEven="1" scaleWithDoc="0">
    <oddHeader>&amp;L&amp;"Times New Roman,標準"&amp;8 107&amp;"標楷體,標準"年犯罪狀況及其分析</oddHeader>
    <evenHeader>&amp;R&amp;"標楷體,標準"&amp;8第四篇　特定類型犯罪者之犯罪趨勢與處遇</evenHead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M42"/>
  <sheetViews>
    <sheetView showGridLines="0" zoomScale="87" workbookViewId="0">
      <selection activeCell="A18" sqref="A18:H18"/>
    </sheetView>
  </sheetViews>
  <sheetFormatPr defaultRowHeight="12.75"/>
  <cols>
    <col min="1" max="1" width="27.5" style="2295" customWidth="1"/>
    <col min="2" max="11" width="12.625" style="2295" customWidth="1"/>
    <col min="12" max="249" width="9" style="2295"/>
    <col min="250" max="250" width="27.5" style="2295" customWidth="1"/>
    <col min="251" max="260" width="8" style="2295" customWidth="1"/>
    <col min="261" max="505" width="9" style="2295"/>
    <col min="506" max="506" width="27.5" style="2295" customWidth="1"/>
    <col min="507" max="516" width="8" style="2295" customWidth="1"/>
    <col min="517" max="761" width="9" style="2295"/>
    <col min="762" max="762" width="27.5" style="2295" customWidth="1"/>
    <col min="763" max="772" width="8" style="2295" customWidth="1"/>
    <col min="773" max="1017" width="9" style="2295"/>
    <col min="1018" max="1018" width="27.5" style="2295" customWidth="1"/>
    <col min="1019" max="1028" width="8" style="2295" customWidth="1"/>
    <col min="1029" max="1273" width="9" style="2295"/>
    <col min="1274" max="1274" width="27.5" style="2295" customWidth="1"/>
    <col min="1275" max="1284" width="8" style="2295" customWidth="1"/>
    <col min="1285" max="1529" width="9" style="2295"/>
    <col min="1530" max="1530" width="27.5" style="2295" customWidth="1"/>
    <col min="1531" max="1540" width="8" style="2295" customWidth="1"/>
    <col min="1541" max="1785" width="9" style="2295"/>
    <col min="1786" max="1786" width="27.5" style="2295" customWidth="1"/>
    <col min="1787" max="1796" width="8" style="2295" customWidth="1"/>
    <col min="1797" max="2041" width="9" style="2295"/>
    <col min="2042" max="2042" width="27.5" style="2295" customWidth="1"/>
    <col min="2043" max="2052" width="8" style="2295" customWidth="1"/>
    <col min="2053" max="2297" width="9" style="2295"/>
    <col min="2298" max="2298" width="27.5" style="2295" customWidth="1"/>
    <col min="2299" max="2308" width="8" style="2295" customWidth="1"/>
    <col min="2309" max="2553" width="9" style="2295"/>
    <col min="2554" max="2554" width="27.5" style="2295" customWidth="1"/>
    <col min="2555" max="2564" width="8" style="2295" customWidth="1"/>
    <col min="2565" max="2809" width="9" style="2295"/>
    <col min="2810" max="2810" width="27.5" style="2295" customWidth="1"/>
    <col min="2811" max="2820" width="8" style="2295" customWidth="1"/>
    <col min="2821" max="3065" width="9" style="2295"/>
    <col min="3066" max="3066" width="27.5" style="2295" customWidth="1"/>
    <col min="3067" max="3076" width="8" style="2295" customWidth="1"/>
    <col min="3077" max="3321" width="9" style="2295"/>
    <col min="3322" max="3322" width="27.5" style="2295" customWidth="1"/>
    <col min="3323" max="3332" width="8" style="2295" customWidth="1"/>
    <col min="3333" max="3577" width="9" style="2295"/>
    <col min="3578" max="3578" width="27.5" style="2295" customWidth="1"/>
    <col min="3579" max="3588" width="8" style="2295" customWidth="1"/>
    <col min="3589" max="3833" width="9" style="2295"/>
    <col min="3834" max="3834" width="27.5" style="2295" customWidth="1"/>
    <col min="3835" max="3844" width="8" style="2295" customWidth="1"/>
    <col min="3845" max="4089" width="9" style="2295"/>
    <col min="4090" max="4090" width="27.5" style="2295" customWidth="1"/>
    <col min="4091" max="4100" width="8" style="2295" customWidth="1"/>
    <col min="4101" max="4345" width="9" style="2295"/>
    <col min="4346" max="4346" width="27.5" style="2295" customWidth="1"/>
    <col min="4347" max="4356" width="8" style="2295" customWidth="1"/>
    <col min="4357" max="4601" width="9" style="2295"/>
    <col min="4602" max="4602" width="27.5" style="2295" customWidth="1"/>
    <col min="4603" max="4612" width="8" style="2295" customWidth="1"/>
    <col min="4613" max="4857" width="9" style="2295"/>
    <col min="4858" max="4858" width="27.5" style="2295" customWidth="1"/>
    <col min="4859" max="4868" width="8" style="2295" customWidth="1"/>
    <col min="4869" max="5113" width="9" style="2295"/>
    <col min="5114" max="5114" width="27.5" style="2295" customWidth="1"/>
    <col min="5115" max="5124" width="8" style="2295" customWidth="1"/>
    <col min="5125" max="5369" width="9" style="2295"/>
    <col min="5370" max="5370" width="27.5" style="2295" customWidth="1"/>
    <col min="5371" max="5380" width="8" style="2295" customWidth="1"/>
    <col min="5381" max="5625" width="9" style="2295"/>
    <col min="5626" max="5626" width="27.5" style="2295" customWidth="1"/>
    <col min="5627" max="5636" width="8" style="2295" customWidth="1"/>
    <col min="5637" max="5881" width="9" style="2295"/>
    <col min="5882" max="5882" width="27.5" style="2295" customWidth="1"/>
    <col min="5883" max="5892" width="8" style="2295" customWidth="1"/>
    <col min="5893" max="6137" width="9" style="2295"/>
    <col min="6138" max="6138" width="27.5" style="2295" customWidth="1"/>
    <col min="6139" max="6148" width="8" style="2295" customWidth="1"/>
    <col min="6149" max="6393" width="9" style="2295"/>
    <col min="6394" max="6394" width="27.5" style="2295" customWidth="1"/>
    <col min="6395" max="6404" width="8" style="2295" customWidth="1"/>
    <col min="6405" max="6649" width="9" style="2295"/>
    <col min="6650" max="6650" width="27.5" style="2295" customWidth="1"/>
    <col min="6651" max="6660" width="8" style="2295" customWidth="1"/>
    <col min="6661" max="6905" width="9" style="2295"/>
    <col min="6906" max="6906" width="27.5" style="2295" customWidth="1"/>
    <col min="6907" max="6916" width="8" style="2295" customWidth="1"/>
    <col min="6917" max="7161" width="9" style="2295"/>
    <col min="7162" max="7162" width="27.5" style="2295" customWidth="1"/>
    <col min="7163" max="7172" width="8" style="2295" customWidth="1"/>
    <col min="7173" max="7417" width="9" style="2295"/>
    <col min="7418" max="7418" width="27.5" style="2295" customWidth="1"/>
    <col min="7419" max="7428" width="8" style="2295" customWidth="1"/>
    <col min="7429" max="7673" width="9" style="2295"/>
    <col min="7674" max="7674" width="27.5" style="2295" customWidth="1"/>
    <col min="7675" max="7684" width="8" style="2295" customWidth="1"/>
    <col min="7685" max="7929" width="9" style="2295"/>
    <col min="7930" max="7930" width="27.5" style="2295" customWidth="1"/>
    <col min="7931" max="7940" width="8" style="2295" customWidth="1"/>
    <col min="7941" max="8185" width="9" style="2295"/>
    <col min="8186" max="8186" width="27.5" style="2295" customWidth="1"/>
    <col min="8187" max="8196" width="8" style="2295" customWidth="1"/>
    <col min="8197" max="8441" width="9" style="2295"/>
    <col min="8442" max="8442" width="27.5" style="2295" customWidth="1"/>
    <col min="8443" max="8452" width="8" style="2295" customWidth="1"/>
    <col min="8453" max="8697" width="9" style="2295"/>
    <col min="8698" max="8698" width="27.5" style="2295" customWidth="1"/>
    <col min="8699" max="8708" width="8" style="2295" customWidth="1"/>
    <col min="8709" max="8953" width="9" style="2295"/>
    <col min="8954" max="8954" width="27.5" style="2295" customWidth="1"/>
    <col min="8955" max="8964" width="8" style="2295" customWidth="1"/>
    <col min="8965" max="9209" width="9" style="2295"/>
    <col min="9210" max="9210" width="27.5" style="2295" customWidth="1"/>
    <col min="9211" max="9220" width="8" style="2295" customWidth="1"/>
    <col min="9221" max="9465" width="9" style="2295"/>
    <col min="9466" max="9466" width="27.5" style="2295" customWidth="1"/>
    <col min="9467" max="9476" width="8" style="2295" customWidth="1"/>
    <col min="9477" max="9721" width="9" style="2295"/>
    <col min="9722" max="9722" width="27.5" style="2295" customWidth="1"/>
    <col min="9723" max="9732" width="8" style="2295" customWidth="1"/>
    <col min="9733" max="9977" width="9" style="2295"/>
    <col min="9978" max="9978" width="27.5" style="2295" customWidth="1"/>
    <col min="9979" max="9988" width="8" style="2295" customWidth="1"/>
    <col min="9989" max="10233" width="9" style="2295"/>
    <col min="10234" max="10234" width="27.5" style="2295" customWidth="1"/>
    <col min="10235" max="10244" width="8" style="2295" customWidth="1"/>
    <col min="10245" max="10489" width="9" style="2295"/>
    <col min="10490" max="10490" width="27.5" style="2295" customWidth="1"/>
    <col min="10491" max="10500" width="8" style="2295" customWidth="1"/>
    <col min="10501" max="10745" width="9" style="2295"/>
    <col min="10746" max="10746" width="27.5" style="2295" customWidth="1"/>
    <col min="10747" max="10756" width="8" style="2295" customWidth="1"/>
    <col min="10757" max="11001" width="9" style="2295"/>
    <col min="11002" max="11002" width="27.5" style="2295" customWidth="1"/>
    <col min="11003" max="11012" width="8" style="2295" customWidth="1"/>
    <col min="11013" max="11257" width="9" style="2295"/>
    <col min="11258" max="11258" width="27.5" style="2295" customWidth="1"/>
    <col min="11259" max="11268" width="8" style="2295" customWidth="1"/>
    <col min="11269" max="11513" width="9" style="2295"/>
    <col min="11514" max="11514" width="27.5" style="2295" customWidth="1"/>
    <col min="11515" max="11524" width="8" style="2295" customWidth="1"/>
    <col min="11525" max="11769" width="9" style="2295"/>
    <col min="11770" max="11770" width="27.5" style="2295" customWidth="1"/>
    <col min="11771" max="11780" width="8" style="2295" customWidth="1"/>
    <col min="11781" max="12025" width="9" style="2295"/>
    <col min="12026" max="12026" width="27.5" style="2295" customWidth="1"/>
    <col min="12027" max="12036" width="8" style="2295" customWidth="1"/>
    <col min="12037" max="12281" width="9" style="2295"/>
    <col min="12282" max="12282" width="27.5" style="2295" customWidth="1"/>
    <col min="12283" max="12292" width="8" style="2295" customWidth="1"/>
    <col min="12293" max="12537" width="9" style="2295"/>
    <col min="12538" max="12538" width="27.5" style="2295" customWidth="1"/>
    <col min="12539" max="12548" width="8" style="2295" customWidth="1"/>
    <col min="12549" max="12793" width="9" style="2295"/>
    <col min="12794" max="12794" width="27.5" style="2295" customWidth="1"/>
    <col min="12795" max="12804" width="8" style="2295" customWidth="1"/>
    <col min="12805" max="13049" width="9" style="2295"/>
    <col min="13050" max="13050" width="27.5" style="2295" customWidth="1"/>
    <col min="13051" max="13060" width="8" style="2295" customWidth="1"/>
    <col min="13061" max="13305" width="9" style="2295"/>
    <col min="13306" max="13306" width="27.5" style="2295" customWidth="1"/>
    <col min="13307" max="13316" width="8" style="2295" customWidth="1"/>
    <col min="13317" max="13561" width="9" style="2295"/>
    <col min="13562" max="13562" width="27.5" style="2295" customWidth="1"/>
    <col min="13563" max="13572" width="8" style="2295" customWidth="1"/>
    <col min="13573" max="13817" width="9" style="2295"/>
    <col min="13818" max="13818" width="27.5" style="2295" customWidth="1"/>
    <col min="13819" max="13828" width="8" style="2295" customWidth="1"/>
    <col min="13829" max="14073" width="9" style="2295"/>
    <col min="14074" max="14074" width="27.5" style="2295" customWidth="1"/>
    <col min="14075" max="14084" width="8" style="2295" customWidth="1"/>
    <col min="14085" max="14329" width="9" style="2295"/>
    <col min="14330" max="14330" width="27.5" style="2295" customWidth="1"/>
    <col min="14331" max="14340" width="8" style="2295" customWidth="1"/>
    <col min="14341" max="14585" width="9" style="2295"/>
    <col min="14586" max="14586" width="27.5" style="2295" customWidth="1"/>
    <col min="14587" max="14596" width="8" style="2295" customWidth="1"/>
    <col min="14597" max="14841" width="9" style="2295"/>
    <col min="14842" max="14842" width="27.5" style="2295" customWidth="1"/>
    <col min="14843" max="14852" width="8" style="2295" customWidth="1"/>
    <col min="14853" max="15097" width="9" style="2295"/>
    <col min="15098" max="15098" width="27.5" style="2295" customWidth="1"/>
    <col min="15099" max="15108" width="8" style="2295" customWidth="1"/>
    <col min="15109" max="15353" width="9" style="2295"/>
    <col min="15354" max="15354" width="27.5" style="2295" customWidth="1"/>
    <col min="15355" max="15364" width="8" style="2295" customWidth="1"/>
    <col min="15365" max="15609" width="9" style="2295"/>
    <col min="15610" max="15610" width="27.5" style="2295" customWidth="1"/>
    <col min="15611" max="15620" width="8" style="2295" customWidth="1"/>
    <col min="15621" max="15865" width="9" style="2295"/>
    <col min="15866" max="15866" width="27.5" style="2295" customWidth="1"/>
    <col min="15867" max="15876" width="8" style="2295" customWidth="1"/>
    <col min="15877" max="16121" width="9" style="2295"/>
    <col min="16122" max="16122" width="27.5" style="2295" customWidth="1"/>
    <col min="16123" max="16132" width="8" style="2295" customWidth="1"/>
    <col min="16133" max="16384" width="9" style="2295"/>
  </cols>
  <sheetData>
    <row r="1" spans="1:11" s="2279" customFormat="1" ht="26.1" customHeight="1">
      <c r="A1" s="3955" t="s">
        <v>3475</v>
      </c>
      <c r="B1" s="3955"/>
      <c r="C1" s="3955"/>
      <c r="D1" s="3955"/>
      <c r="E1" s="3955"/>
      <c r="F1" s="3955"/>
      <c r="G1" s="3955"/>
      <c r="H1" s="3955"/>
      <c r="I1" s="3955"/>
      <c r="J1" s="3955"/>
      <c r="K1" s="3955"/>
    </row>
    <row r="2" spans="1:11" s="2280" customFormat="1" ht="20.100000000000001" customHeight="1">
      <c r="A2" s="3956" t="s">
        <v>3476</v>
      </c>
      <c r="B2" s="3958" t="s">
        <v>3477</v>
      </c>
      <c r="C2" s="3959"/>
      <c r="D2" s="3960" t="s">
        <v>3478</v>
      </c>
      <c r="E2" s="3959"/>
      <c r="F2" s="3960" t="s">
        <v>3479</v>
      </c>
      <c r="G2" s="3959"/>
      <c r="H2" s="3960" t="s">
        <v>3480</v>
      </c>
      <c r="I2" s="3959"/>
      <c r="J2" s="3960" t="s">
        <v>115</v>
      </c>
      <c r="K2" s="3958"/>
    </row>
    <row r="3" spans="1:11" s="2280" customFormat="1" ht="20.100000000000001" customHeight="1">
      <c r="A3" s="3957"/>
      <c r="B3" s="2281" t="s">
        <v>3481</v>
      </c>
      <c r="C3" s="2282" t="s">
        <v>0</v>
      </c>
      <c r="D3" s="2283" t="s">
        <v>3481</v>
      </c>
      <c r="E3" s="2282" t="s">
        <v>0</v>
      </c>
      <c r="F3" s="2283" t="s">
        <v>3481</v>
      </c>
      <c r="G3" s="2282" t="s">
        <v>0</v>
      </c>
      <c r="H3" s="2283" t="s">
        <v>3481</v>
      </c>
      <c r="I3" s="2282" t="s">
        <v>0</v>
      </c>
      <c r="J3" s="2283" t="s">
        <v>3481</v>
      </c>
      <c r="K3" s="2282" t="s">
        <v>0</v>
      </c>
    </row>
    <row r="4" spans="1:11" s="2280" customFormat="1" ht="20.100000000000001" customHeight="1">
      <c r="A4" s="2284" t="s">
        <v>3482</v>
      </c>
      <c r="B4" s="2285">
        <v>18556</v>
      </c>
      <c r="C4" s="2286">
        <f t="shared" ref="C4:I41" si="0">B4/B$4*100</f>
        <v>100</v>
      </c>
      <c r="D4" s="2285">
        <v>17988</v>
      </c>
      <c r="E4" s="2286">
        <f t="shared" ref="E4:E40" si="1">D4/D$4*100</f>
        <v>100</v>
      </c>
      <c r="F4" s="2285">
        <v>19387</v>
      </c>
      <c r="G4" s="2286">
        <f t="shared" ref="G4:G40" si="2">F4/F$4*100</f>
        <v>100</v>
      </c>
      <c r="H4" s="2285">
        <v>19080</v>
      </c>
      <c r="I4" s="2286">
        <f t="shared" ref="I4:I40" si="3">H4/H$4*100</f>
        <v>100</v>
      </c>
      <c r="J4" s="2285">
        <v>18993</v>
      </c>
      <c r="K4" s="2287">
        <f t="shared" ref="K4:K41" si="4">J4/J$4*100</f>
        <v>100</v>
      </c>
    </row>
    <row r="5" spans="1:11" s="2280" customFormat="1" ht="20.100000000000001" customHeight="1">
      <c r="A5" s="2288" t="s">
        <v>1822</v>
      </c>
      <c r="B5" s="2289">
        <v>5195</v>
      </c>
      <c r="C5" s="2254">
        <f t="shared" si="0"/>
        <v>27.996335417115759</v>
      </c>
      <c r="D5" s="2289">
        <v>4977</v>
      </c>
      <c r="E5" s="2254">
        <f t="shared" si="1"/>
        <v>27.66844563042028</v>
      </c>
      <c r="F5" s="2289">
        <v>5111</v>
      </c>
      <c r="G5" s="2254">
        <f t="shared" si="2"/>
        <v>26.363026770516324</v>
      </c>
      <c r="H5" s="2289">
        <v>4864</v>
      </c>
      <c r="I5" s="2254">
        <f t="shared" si="3"/>
        <v>25.492662473794546</v>
      </c>
      <c r="J5" s="2289">
        <v>4355</v>
      </c>
      <c r="K5" s="2290">
        <f t="shared" si="4"/>
        <v>22.92950034223135</v>
      </c>
    </row>
    <row r="6" spans="1:11" s="2292" customFormat="1" ht="20.100000000000001" customHeight="1">
      <c r="A6" s="2291" t="s">
        <v>1827</v>
      </c>
      <c r="B6" s="2289">
        <v>3059</v>
      </c>
      <c r="C6" s="2254">
        <f t="shared" si="0"/>
        <v>16.485233886613496</v>
      </c>
      <c r="D6" s="2289">
        <v>2764</v>
      </c>
      <c r="E6" s="2254">
        <f t="shared" si="1"/>
        <v>15.36579942183678</v>
      </c>
      <c r="F6" s="2289">
        <v>3282</v>
      </c>
      <c r="G6" s="2254">
        <f t="shared" si="2"/>
        <v>16.928869861247229</v>
      </c>
      <c r="H6" s="2289">
        <v>3345</v>
      </c>
      <c r="I6" s="2254">
        <f t="shared" si="3"/>
        <v>17.531446540880502</v>
      </c>
      <c r="J6" s="2289">
        <v>3612</v>
      </c>
      <c r="K6" s="2290">
        <f t="shared" si="4"/>
        <v>19.017532775232983</v>
      </c>
    </row>
    <row r="7" spans="1:11" s="2292" customFormat="1" ht="20.100000000000001" customHeight="1">
      <c r="A7" s="2291" t="s">
        <v>1828</v>
      </c>
      <c r="B7" s="2289">
        <v>1835</v>
      </c>
      <c r="C7" s="2254">
        <f t="shared" si="0"/>
        <v>9.8889846949773652</v>
      </c>
      <c r="D7" s="2289">
        <v>1865</v>
      </c>
      <c r="E7" s="2254">
        <f t="shared" si="1"/>
        <v>10.368023126528797</v>
      </c>
      <c r="F7" s="2289">
        <v>2649</v>
      </c>
      <c r="G7" s="2254">
        <f t="shared" si="2"/>
        <v>13.663795326765356</v>
      </c>
      <c r="H7" s="2289">
        <v>3386</v>
      </c>
      <c r="I7" s="2254">
        <f t="shared" si="3"/>
        <v>17.746331236897277</v>
      </c>
      <c r="J7" s="2289">
        <v>3294</v>
      </c>
      <c r="K7" s="2290">
        <f t="shared" si="4"/>
        <v>17.343231716948349</v>
      </c>
    </row>
    <row r="8" spans="1:11" s="2292" customFormat="1" ht="20.100000000000001" customHeight="1">
      <c r="A8" s="2293" t="s">
        <v>3483</v>
      </c>
      <c r="B8" s="2289">
        <v>1545</v>
      </c>
      <c r="C8" s="2254">
        <f t="shared" si="0"/>
        <v>8.3261478766975632</v>
      </c>
      <c r="D8" s="2289">
        <v>1615</v>
      </c>
      <c r="E8" s="2254">
        <f t="shared" si="1"/>
        <v>8.9782076940182343</v>
      </c>
      <c r="F8" s="2289">
        <v>1832</v>
      </c>
      <c r="G8" s="2254">
        <f t="shared" si="2"/>
        <v>9.4496311961623771</v>
      </c>
      <c r="H8" s="2289">
        <v>1865</v>
      </c>
      <c r="I8" s="2254">
        <f t="shared" si="3"/>
        <v>9.7746331236897266</v>
      </c>
      <c r="J8" s="2289">
        <v>1997</v>
      </c>
      <c r="K8" s="2290">
        <f t="shared" si="4"/>
        <v>10.514400042120782</v>
      </c>
    </row>
    <row r="9" spans="1:11" s="2280" customFormat="1" ht="20.100000000000001" customHeight="1">
      <c r="A9" s="2291" t="s">
        <v>3484</v>
      </c>
      <c r="B9" s="2289">
        <v>2508</v>
      </c>
      <c r="C9" s="2254">
        <f t="shared" si="0"/>
        <v>13.515843931881871</v>
      </c>
      <c r="D9" s="2289">
        <v>2831</v>
      </c>
      <c r="E9" s="2254">
        <f t="shared" si="1"/>
        <v>15.738269957749612</v>
      </c>
      <c r="F9" s="2289">
        <v>2388</v>
      </c>
      <c r="G9" s="2254">
        <f t="shared" si="2"/>
        <v>12.317532367050084</v>
      </c>
      <c r="H9" s="2289">
        <v>1424</v>
      </c>
      <c r="I9" s="2254">
        <f t="shared" si="3"/>
        <v>7.4633123689727467</v>
      </c>
      <c r="J9" s="2289">
        <v>1398</v>
      </c>
      <c r="K9" s="2290">
        <f t="shared" si="4"/>
        <v>7.3606065392513038</v>
      </c>
    </row>
    <row r="10" spans="1:11" s="2280" customFormat="1" ht="20.100000000000001" customHeight="1">
      <c r="A10" s="2288" t="s">
        <v>1824</v>
      </c>
      <c r="B10" s="2289">
        <v>1075</v>
      </c>
      <c r="C10" s="2254">
        <f t="shared" si="0"/>
        <v>5.7932744125889206</v>
      </c>
      <c r="D10" s="2289">
        <v>990</v>
      </c>
      <c r="E10" s="2254">
        <f t="shared" si="1"/>
        <v>5.5036691127418278</v>
      </c>
      <c r="F10" s="2289">
        <v>1035</v>
      </c>
      <c r="G10" s="2254">
        <f t="shared" si="2"/>
        <v>5.3386289781812559</v>
      </c>
      <c r="H10" s="2289">
        <v>971</v>
      </c>
      <c r="I10" s="2254">
        <f t="shared" si="3"/>
        <v>5.0890985324947593</v>
      </c>
      <c r="J10" s="2289">
        <v>979</v>
      </c>
      <c r="K10" s="2290">
        <f t="shared" si="4"/>
        <v>5.154530616542937</v>
      </c>
    </row>
    <row r="11" spans="1:11" s="2280" customFormat="1" ht="20.100000000000001" customHeight="1">
      <c r="A11" s="2291" t="s">
        <v>3485</v>
      </c>
      <c r="B11" s="2289">
        <v>485</v>
      </c>
      <c r="C11" s="2254">
        <f t="shared" si="0"/>
        <v>2.6137098512610475</v>
      </c>
      <c r="D11" s="2289">
        <v>461</v>
      </c>
      <c r="E11" s="2254">
        <f t="shared" si="1"/>
        <v>2.5628196575494777</v>
      </c>
      <c r="F11" s="2289">
        <v>474</v>
      </c>
      <c r="G11" s="2254">
        <f t="shared" si="2"/>
        <v>2.444937329138082</v>
      </c>
      <c r="H11" s="2289">
        <v>569</v>
      </c>
      <c r="I11" s="2254">
        <f t="shared" si="3"/>
        <v>2.9821802935010484</v>
      </c>
      <c r="J11" s="2289">
        <v>608</v>
      </c>
      <c r="K11" s="2290">
        <f t="shared" si="4"/>
        <v>3.2011793818775338</v>
      </c>
    </row>
    <row r="12" spans="1:11" s="2280" customFormat="1" ht="20.100000000000001" customHeight="1">
      <c r="A12" s="2291" t="s">
        <v>3486</v>
      </c>
      <c r="B12" s="2289">
        <v>414</v>
      </c>
      <c r="C12" s="2254">
        <f t="shared" si="0"/>
        <v>2.2310842854063377</v>
      </c>
      <c r="D12" s="2289">
        <v>382</v>
      </c>
      <c r="E12" s="2254">
        <f t="shared" si="1"/>
        <v>2.1236379808761399</v>
      </c>
      <c r="F12" s="2289">
        <v>483</v>
      </c>
      <c r="G12" s="2254">
        <f t="shared" si="2"/>
        <v>2.491360189817919</v>
      </c>
      <c r="H12" s="2289">
        <v>588</v>
      </c>
      <c r="I12" s="2254">
        <f t="shared" si="3"/>
        <v>3.0817610062893084</v>
      </c>
      <c r="J12" s="2289">
        <v>568</v>
      </c>
      <c r="K12" s="2290">
        <f t="shared" si="4"/>
        <v>2.9905754751750644</v>
      </c>
    </row>
    <row r="13" spans="1:11" s="2280" customFormat="1" ht="20.100000000000001" customHeight="1">
      <c r="A13" s="2291" t="s">
        <v>3487</v>
      </c>
      <c r="B13" s="2289">
        <v>376</v>
      </c>
      <c r="C13" s="2254">
        <f t="shared" si="0"/>
        <v>2.0262987712869154</v>
      </c>
      <c r="D13" s="2289">
        <v>350</v>
      </c>
      <c r="E13" s="2254">
        <f t="shared" si="1"/>
        <v>1.9457416055147878</v>
      </c>
      <c r="F13" s="2289">
        <v>413</v>
      </c>
      <c r="G13" s="2254">
        <f t="shared" si="2"/>
        <v>2.1302934956414092</v>
      </c>
      <c r="H13" s="2289">
        <v>380</v>
      </c>
      <c r="I13" s="2254">
        <f t="shared" si="3"/>
        <v>1.9916142557651992</v>
      </c>
      <c r="J13" s="2289">
        <v>433</v>
      </c>
      <c r="K13" s="2290">
        <f t="shared" si="4"/>
        <v>2.2797872900542302</v>
      </c>
    </row>
    <row r="14" spans="1:11" s="2280" customFormat="1" ht="20.100000000000001" customHeight="1">
      <c r="A14" s="2291" t="s">
        <v>3488</v>
      </c>
      <c r="B14" s="2289">
        <v>197</v>
      </c>
      <c r="C14" s="2254">
        <f t="shared" si="0"/>
        <v>1.0616512179348998</v>
      </c>
      <c r="D14" s="2289">
        <v>200</v>
      </c>
      <c r="E14" s="2254">
        <f t="shared" si="1"/>
        <v>1.11185234600845</v>
      </c>
      <c r="F14" s="2289">
        <v>221</v>
      </c>
      <c r="G14" s="2254">
        <f t="shared" si="2"/>
        <v>1.139939134471553</v>
      </c>
      <c r="H14" s="2289">
        <v>225</v>
      </c>
      <c r="I14" s="2254">
        <f t="shared" si="3"/>
        <v>1.179245283018868</v>
      </c>
      <c r="J14" s="2289">
        <v>239</v>
      </c>
      <c r="K14" s="2290">
        <f t="shared" si="4"/>
        <v>1.2583583425472544</v>
      </c>
    </row>
    <row r="15" spans="1:11" s="2280" customFormat="1" ht="20.100000000000001" customHeight="1">
      <c r="A15" s="2294" t="s">
        <v>3489</v>
      </c>
      <c r="B15" s="2289">
        <v>508</v>
      </c>
      <c r="C15" s="2254">
        <f t="shared" si="0"/>
        <v>2.7376589782280663</v>
      </c>
      <c r="D15" s="2289">
        <v>398</v>
      </c>
      <c r="E15" s="2254">
        <f t="shared" si="1"/>
        <v>2.212586168556816</v>
      </c>
      <c r="F15" s="2289">
        <v>300</v>
      </c>
      <c r="G15" s="2254">
        <f t="shared" si="2"/>
        <v>1.5474286893279001</v>
      </c>
      <c r="H15" s="2289">
        <v>320</v>
      </c>
      <c r="I15" s="2254">
        <f t="shared" si="3"/>
        <v>1.6771488469601679</v>
      </c>
      <c r="J15" s="2289">
        <v>213</v>
      </c>
      <c r="K15" s="2290">
        <f t="shared" si="4"/>
        <v>1.1214658031906493</v>
      </c>
    </row>
    <row r="16" spans="1:11" s="2280" customFormat="1" ht="20.100000000000001" customHeight="1">
      <c r="A16" s="2291" t="s">
        <v>3490</v>
      </c>
      <c r="B16" s="2289">
        <v>231</v>
      </c>
      <c r="C16" s="2254">
        <f t="shared" si="0"/>
        <v>1.2448803621470144</v>
      </c>
      <c r="D16" s="2289">
        <v>114</v>
      </c>
      <c r="E16" s="2254">
        <f t="shared" si="1"/>
        <v>0.63375583722481654</v>
      </c>
      <c r="F16" s="2289">
        <v>68</v>
      </c>
      <c r="G16" s="2254">
        <f t="shared" si="2"/>
        <v>0.35075050291432402</v>
      </c>
      <c r="H16" s="2289">
        <v>25</v>
      </c>
      <c r="I16" s="2254">
        <f t="shared" si="3"/>
        <v>0.13102725366876311</v>
      </c>
      <c r="J16" s="2289">
        <v>197</v>
      </c>
      <c r="K16" s="2290">
        <f t="shared" si="4"/>
        <v>1.0372242405096614</v>
      </c>
    </row>
    <row r="17" spans="1:11" s="2280" customFormat="1" ht="20.100000000000001" customHeight="1">
      <c r="A17" s="2291" t="s">
        <v>3491</v>
      </c>
      <c r="B17" s="2289">
        <v>121</v>
      </c>
      <c r="C17" s="2254">
        <f t="shared" si="0"/>
        <v>0.65208018969605519</v>
      </c>
      <c r="D17" s="2289">
        <v>137</v>
      </c>
      <c r="E17" s="2254">
        <f t="shared" si="1"/>
        <v>0.76161885701578835</v>
      </c>
      <c r="F17" s="2289">
        <v>184</v>
      </c>
      <c r="G17" s="2254">
        <f t="shared" si="2"/>
        <v>0.94908959612111199</v>
      </c>
      <c r="H17" s="2289">
        <v>154</v>
      </c>
      <c r="I17" s="2254">
        <f t="shared" si="3"/>
        <v>0.80712788259958079</v>
      </c>
      <c r="J17" s="2289">
        <v>195</v>
      </c>
      <c r="K17" s="2290">
        <f t="shared" si="4"/>
        <v>1.0266940451745379</v>
      </c>
    </row>
    <row r="18" spans="1:11" s="2280" customFormat="1" ht="20.100000000000001" customHeight="1">
      <c r="A18" s="2291" t="s">
        <v>3492</v>
      </c>
      <c r="B18" s="2289">
        <v>151</v>
      </c>
      <c r="C18" s="2254">
        <f t="shared" si="0"/>
        <v>0.81375296400086217</v>
      </c>
      <c r="D18" s="2289">
        <v>149</v>
      </c>
      <c r="E18" s="2254">
        <f t="shared" si="1"/>
        <v>0.82832999777629535</v>
      </c>
      <c r="F18" s="2289">
        <v>171</v>
      </c>
      <c r="G18" s="2254">
        <f t="shared" si="2"/>
        <v>0.88203435291690313</v>
      </c>
      <c r="H18" s="2289">
        <v>190</v>
      </c>
      <c r="I18" s="2254">
        <f t="shared" si="3"/>
        <v>0.99580712788259962</v>
      </c>
      <c r="J18" s="2289">
        <v>179</v>
      </c>
      <c r="K18" s="2290">
        <f t="shared" si="4"/>
        <v>0.94245248249355018</v>
      </c>
    </row>
    <row r="19" spans="1:11" s="2280" customFormat="1" ht="20.100000000000001" customHeight="1">
      <c r="A19" s="2291" t="s">
        <v>3493</v>
      </c>
      <c r="B19" s="2289">
        <v>169</v>
      </c>
      <c r="C19" s="2254">
        <f t="shared" si="0"/>
        <v>0.91075662858374662</v>
      </c>
      <c r="D19" s="2289">
        <v>182</v>
      </c>
      <c r="E19" s="2254">
        <f t="shared" si="1"/>
        <v>1.0117856348676897</v>
      </c>
      <c r="F19" s="2289">
        <v>187</v>
      </c>
      <c r="G19" s="2254">
        <f t="shared" si="2"/>
        <v>0.96456388301439122</v>
      </c>
      <c r="H19" s="2289">
        <v>171</v>
      </c>
      <c r="I19" s="2254">
        <f t="shared" si="3"/>
        <v>0.89622641509433965</v>
      </c>
      <c r="J19" s="2289">
        <v>170</v>
      </c>
      <c r="K19" s="2290">
        <f t="shared" si="4"/>
        <v>0.89506660348549461</v>
      </c>
    </row>
    <row r="20" spans="1:11" s="2280" customFormat="1" ht="20.100000000000001" customHeight="1">
      <c r="A20" s="2291" t="s">
        <v>3494</v>
      </c>
      <c r="B20" s="2289">
        <v>98</v>
      </c>
      <c r="C20" s="2254">
        <f t="shared" si="0"/>
        <v>0.52813106272903643</v>
      </c>
      <c r="D20" s="2289">
        <v>100</v>
      </c>
      <c r="E20" s="2254">
        <f t="shared" si="1"/>
        <v>0.55592617300422498</v>
      </c>
      <c r="F20" s="2289">
        <v>97</v>
      </c>
      <c r="G20" s="2254">
        <f t="shared" si="2"/>
        <v>0.50033527621602103</v>
      </c>
      <c r="H20" s="2289">
        <v>85</v>
      </c>
      <c r="I20" s="2254">
        <f t="shared" si="3"/>
        <v>0.44549266247379449</v>
      </c>
      <c r="J20" s="2289">
        <v>106</v>
      </c>
      <c r="K20" s="2290">
        <f t="shared" si="4"/>
        <v>0.55810035276154379</v>
      </c>
    </row>
    <row r="21" spans="1:11" s="2280" customFormat="1" ht="20.100000000000001" customHeight="1">
      <c r="A21" s="2291" t="s">
        <v>3495</v>
      </c>
      <c r="B21" s="2289">
        <v>107</v>
      </c>
      <c r="C21" s="2254">
        <f t="shared" si="0"/>
        <v>0.57663289502047854</v>
      </c>
      <c r="D21" s="2289">
        <v>112</v>
      </c>
      <c r="E21" s="2254">
        <f t="shared" si="1"/>
        <v>0.62263731376473197</v>
      </c>
      <c r="F21" s="2289">
        <v>99</v>
      </c>
      <c r="G21" s="2254">
        <f t="shared" si="2"/>
        <v>0.51065146747820711</v>
      </c>
      <c r="H21" s="2289">
        <v>110</v>
      </c>
      <c r="I21" s="2254">
        <f t="shared" si="3"/>
        <v>0.5765199161425576</v>
      </c>
      <c r="J21" s="2289">
        <v>94</v>
      </c>
      <c r="K21" s="2290">
        <f t="shared" si="4"/>
        <v>0.49491918075080293</v>
      </c>
    </row>
    <row r="22" spans="1:11" s="2280" customFormat="1" ht="20.100000000000001" customHeight="1">
      <c r="A22" s="2294" t="s">
        <v>3496</v>
      </c>
      <c r="B22" s="2289">
        <v>61</v>
      </c>
      <c r="C22" s="2254">
        <f t="shared" si="0"/>
        <v>0.32873464108644102</v>
      </c>
      <c r="D22" s="2289">
        <v>48</v>
      </c>
      <c r="E22" s="2254">
        <f t="shared" si="1"/>
        <v>0.26684456304202797</v>
      </c>
      <c r="F22" s="2289">
        <v>48</v>
      </c>
      <c r="G22" s="2254">
        <f t="shared" si="2"/>
        <v>0.24758859029246402</v>
      </c>
      <c r="H22" s="2289">
        <v>65</v>
      </c>
      <c r="I22" s="2254">
        <f t="shared" si="3"/>
        <v>0.34067085953878407</v>
      </c>
      <c r="J22" s="2289">
        <v>64</v>
      </c>
      <c r="K22" s="2290">
        <f t="shared" si="4"/>
        <v>0.33696625072395092</v>
      </c>
    </row>
    <row r="23" spans="1:11" s="2280" customFormat="1" ht="20.100000000000001" customHeight="1">
      <c r="A23" s="2291" t="s">
        <v>3497</v>
      </c>
      <c r="B23" s="2289">
        <v>62</v>
      </c>
      <c r="C23" s="2254">
        <f t="shared" si="0"/>
        <v>0.33412373356326797</v>
      </c>
      <c r="D23" s="2289">
        <v>50</v>
      </c>
      <c r="E23" s="2254">
        <f t="shared" si="1"/>
        <v>0.27796308650211249</v>
      </c>
      <c r="F23" s="2289">
        <v>71</v>
      </c>
      <c r="G23" s="2254">
        <f t="shared" si="2"/>
        <v>0.36622478980760304</v>
      </c>
      <c r="H23" s="2289">
        <v>58</v>
      </c>
      <c r="I23" s="2254">
        <f t="shared" si="3"/>
        <v>0.30398322851153037</v>
      </c>
      <c r="J23" s="2289">
        <v>63</v>
      </c>
      <c r="K23" s="2290">
        <f t="shared" si="4"/>
        <v>0.3317011530563892</v>
      </c>
    </row>
    <row r="24" spans="1:11" s="2280" customFormat="1" ht="20.100000000000001" customHeight="1">
      <c r="A24" s="2291" t="s">
        <v>3498</v>
      </c>
      <c r="B24" s="2289">
        <v>38</v>
      </c>
      <c r="C24" s="2254">
        <f t="shared" si="0"/>
        <v>0.20478551411942228</v>
      </c>
      <c r="D24" s="2289">
        <v>43</v>
      </c>
      <c r="E24" s="2254">
        <f t="shared" si="1"/>
        <v>0.23904825439181676</v>
      </c>
      <c r="F24" s="2289">
        <v>60</v>
      </c>
      <c r="G24" s="2254">
        <f t="shared" si="2"/>
        <v>0.30948573786558004</v>
      </c>
      <c r="H24" s="2289">
        <v>59</v>
      </c>
      <c r="I24" s="2254">
        <f t="shared" si="3"/>
        <v>0.30922431865828093</v>
      </c>
      <c r="J24" s="2289">
        <v>54</v>
      </c>
      <c r="K24" s="2290">
        <f t="shared" si="4"/>
        <v>0.28431527404833357</v>
      </c>
    </row>
    <row r="25" spans="1:11" ht="20.100000000000001" customHeight="1">
      <c r="A25" s="2288" t="s">
        <v>3499</v>
      </c>
      <c r="B25" s="2289">
        <v>58</v>
      </c>
      <c r="C25" s="2254">
        <f t="shared" si="0"/>
        <v>0.31256736365596033</v>
      </c>
      <c r="D25" s="2289">
        <v>31</v>
      </c>
      <c r="E25" s="2254">
        <f t="shared" si="1"/>
        <v>0.17233711363130977</v>
      </c>
      <c r="F25" s="2289">
        <v>32</v>
      </c>
      <c r="G25" s="2254">
        <f t="shared" si="2"/>
        <v>0.16505906019497602</v>
      </c>
      <c r="H25" s="2289">
        <v>39</v>
      </c>
      <c r="I25" s="2254">
        <f t="shared" si="3"/>
        <v>0.20440251572327045</v>
      </c>
      <c r="J25" s="2289">
        <v>41</v>
      </c>
      <c r="K25" s="2290">
        <f t="shared" si="4"/>
        <v>0.21586900437003106</v>
      </c>
    </row>
    <row r="26" spans="1:11" ht="20.100000000000001" customHeight="1">
      <c r="A26" s="2291" t="s">
        <v>3500</v>
      </c>
      <c r="B26" s="2289">
        <v>82</v>
      </c>
      <c r="C26" s="2254">
        <f t="shared" si="0"/>
        <v>0.44190558309980599</v>
      </c>
      <c r="D26" s="2289">
        <v>49</v>
      </c>
      <c r="E26" s="2254">
        <f t="shared" si="1"/>
        <v>0.27240382477207026</v>
      </c>
      <c r="F26" s="2289">
        <v>56</v>
      </c>
      <c r="G26" s="2254">
        <f t="shared" si="2"/>
        <v>0.28885335534120804</v>
      </c>
      <c r="H26" s="2289">
        <v>53</v>
      </c>
      <c r="I26" s="2254">
        <f t="shared" si="3"/>
        <v>0.27777777777777779</v>
      </c>
      <c r="J26" s="2289">
        <v>25</v>
      </c>
      <c r="K26" s="2290">
        <f t="shared" si="4"/>
        <v>0.13162744168904333</v>
      </c>
    </row>
    <row r="27" spans="1:11" ht="20.100000000000001" customHeight="1">
      <c r="A27" s="2294" t="s">
        <v>3501</v>
      </c>
      <c r="B27" s="2289">
        <v>69</v>
      </c>
      <c r="C27" s="2254">
        <f t="shared" si="0"/>
        <v>0.37184738090105623</v>
      </c>
      <c r="D27" s="2289">
        <v>41</v>
      </c>
      <c r="E27" s="2254">
        <f t="shared" si="1"/>
        <v>0.22792973093173227</v>
      </c>
      <c r="F27" s="2289">
        <v>43</v>
      </c>
      <c r="G27" s="2254">
        <f t="shared" si="2"/>
        <v>0.22179811213699904</v>
      </c>
      <c r="H27" s="2289">
        <v>33</v>
      </c>
      <c r="I27" s="2254">
        <f t="shared" si="3"/>
        <v>0.17295597484276731</v>
      </c>
      <c r="J27" s="2289">
        <v>21</v>
      </c>
      <c r="K27" s="2290">
        <f t="shared" si="4"/>
        <v>0.11056705101879639</v>
      </c>
    </row>
    <row r="28" spans="1:11" ht="20.100000000000001" customHeight="1">
      <c r="A28" s="2291" t="s">
        <v>3502</v>
      </c>
      <c r="B28" s="2289">
        <v>13</v>
      </c>
      <c r="C28" s="2254">
        <f t="shared" si="0"/>
        <v>7.0058202198749725E-2</v>
      </c>
      <c r="D28" s="2289">
        <v>8</v>
      </c>
      <c r="E28" s="2254">
        <f t="shared" si="1"/>
        <v>4.4474093840338E-2</v>
      </c>
      <c r="F28" s="2289">
        <v>10</v>
      </c>
      <c r="G28" s="2254">
        <f t="shared" si="2"/>
        <v>5.1580956310930008E-2</v>
      </c>
      <c r="H28" s="2289">
        <v>13</v>
      </c>
      <c r="I28" s="2254">
        <f t="shared" si="3"/>
        <v>6.8134171907756808E-2</v>
      </c>
      <c r="J28" s="2289">
        <v>15</v>
      </c>
      <c r="K28" s="2290">
        <f t="shared" si="4"/>
        <v>7.8976465013426006E-2</v>
      </c>
    </row>
    <row r="29" spans="1:11" ht="20.100000000000001" customHeight="1">
      <c r="A29" s="2291" t="s">
        <v>3503</v>
      </c>
      <c r="B29" s="2289">
        <v>9</v>
      </c>
      <c r="C29" s="2254">
        <f t="shared" si="0"/>
        <v>4.8501832291442122E-2</v>
      </c>
      <c r="D29" s="2289">
        <v>12</v>
      </c>
      <c r="E29" s="2254">
        <f t="shared" si="1"/>
        <v>6.6711140760506993E-2</v>
      </c>
      <c r="F29" s="2289">
        <v>10</v>
      </c>
      <c r="G29" s="2254">
        <f t="shared" si="2"/>
        <v>5.1580956310930008E-2</v>
      </c>
      <c r="H29" s="2289">
        <v>13</v>
      </c>
      <c r="I29" s="2254">
        <f t="shared" si="3"/>
        <v>6.8134171907756808E-2</v>
      </c>
      <c r="J29" s="2289">
        <v>14</v>
      </c>
      <c r="K29" s="2290">
        <f t="shared" si="4"/>
        <v>7.3711367345864268E-2</v>
      </c>
    </row>
    <row r="30" spans="1:11" ht="20.100000000000001" customHeight="1">
      <c r="A30" s="2291" t="s">
        <v>3504</v>
      </c>
      <c r="B30" s="2289">
        <v>11</v>
      </c>
      <c r="C30" s="2254">
        <f t="shared" si="0"/>
        <v>5.928001724509592E-2</v>
      </c>
      <c r="D30" s="2289">
        <v>10</v>
      </c>
      <c r="E30" s="2254">
        <f t="shared" si="1"/>
        <v>5.559261730042251E-2</v>
      </c>
      <c r="F30" s="2289">
        <v>11</v>
      </c>
      <c r="G30" s="2254">
        <f t="shared" si="2"/>
        <v>5.6739051942023E-2</v>
      </c>
      <c r="H30" s="2289">
        <v>12</v>
      </c>
      <c r="I30" s="2254">
        <f t="shared" si="3"/>
        <v>6.2893081761006289E-2</v>
      </c>
      <c r="J30" s="2289">
        <v>10</v>
      </c>
      <c r="K30" s="2290">
        <f t="shared" si="4"/>
        <v>5.2650976675617328E-2</v>
      </c>
    </row>
    <row r="31" spans="1:11" ht="20.100000000000001" customHeight="1">
      <c r="A31" s="2291" t="s">
        <v>3505</v>
      </c>
      <c r="B31" s="2289">
        <v>21</v>
      </c>
      <c r="C31" s="2254">
        <f t="shared" si="0"/>
        <v>0.11317094201336494</v>
      </c>
      <c r="D31" s="2289">
        <v>6</v>
      </c>
      <c r="E31" s="2254">
        <f t="shared" si="1"/>
        <v>3.3355570380253496E-2</v>
      </c>
      <c r="F31" s="2289">
        <v>10</v>
      </c>
      <c r="G31" s="2254">
        <f t="shared" si="2"/>
        <v>5.1580956310930008E-2</v>
      </c>
      <c r="H31" s="2289">
        <v>8</v>
      </c>
      <c r="I31" s="2254">
        <f t="shared" si="3"/>
        <v>4.1928721174004188E-2</v>
      </c>
      <c r="J31" s="2289">
        <v>9</v>
      </c>
      <c r="K31" s="2290">
        <f t="shared" si="4"/>
        <v>4.7385879008055604E-2</v>
      </c>
    </row>
    <row r="32" spans="1:11" ht="20.100000000000001" customHeight="1">
      <c r="A32" s="2288" t="s">
        <v>3506</v>
      </c>
      <c r="B32" s="2289">
        <v>4</v>
      </c>
      <c r="C32" s="2254">
        <f t="shared" si="0"/>
        <v>2.155636990730761E-2</v>
      </c>
      <c r="D32" s="2289">
        <v>6</v>
      </c>
      <c r="E32" s="2254">
        <f t="shared" si="1"/>
        <v>3.3355570380253496E-2</v>
      </c>
      <c r="F32" s="2289">
        <v>9</v>
      </c>
      <c r="G32" s="2254">
        <f t="shared" si="2"/>
        <v>4.6422860679837002E-2</v>
      </c>
      <c r="H32" s="2289">
        <v>8</v>
      </c>
      <c r="I32" s="2254">
        <f t="shared" si="3"/>
        <v>4.1928721174004188E-2</v>
      </c>
      <c r="J32" s="2289">
        <v>8</v>
      </c>
      <c r="K32" s="2290">
        <f t="shared" si="4"/>
        <v>4.2120781340493865E-2</v>
      </c>
    </row>
    <row r="33" spans="1:13" ht="20.100000000000001" customHeight="1">
      <c r="A33" s="2291" t="s">
        <v>3507</v>
      </c>
      <c r="B33" s="2289">
        <v>17</v>
      </c>
      <c r="C33" s="2254">
        <f t="shared" si="0"/>
        <v>9.1614572106057335E-2</v>
      </c>
      <c r="D33" s="2289">
        <v>20</v>
      </c>
      <c r="E33" s="2254">
        <f t="shared" si="1"/>
        <v>0.11118523460084502</v>
      </c>
      <c r="F33" s="2289">
        <v>10</v>
      </c>
      <c r="G33" s="2254">
        <f t="shared" si="2"/>
        <v>5.1580956310930008E-2</v>
      </c>
      <c r="H33" s="2289">
        <v>17</v>
      </c>
      <c r="I33" s="2254">
        <f t="shared" si="3"/>
        <v>8.9098532494758909E-2</v>
      </c>
      <c r="J33" s="2289">
        <v>6</v>
      </c>
      <c r="K33" s="2290">
        <f t="shared" si="4"/>
        <v>3.1590586005370395E-2</v>
      </c>
    </row>
    <row r="34" spans="1:13" ht="20.100000000000001" customHeight="1">
      <c r="A34" s="2291" t="s">
        <v>1816</v>
      </c>
      <c r="B34" s="2289">
        <v>18</v>
      </c>
      <c r="C34" s="2254">
        <f t="shared" si="0"/>
        <v>9.7003664582884244E-2</v>
      </c>
      <c r="D34" s="2289">
        <v>17</v>
      </c>
      <c r="E34" s="2254">
        <f t="shared" si="1"/>
        <v>9.4507449410718258E-2</v>
      </c>
      <c r="F34" s="2289">
        <v>11</v>
      </c>
      <c r="G34" s="2254">
        <f t="shared" si="2"/>
        <v>5.6739051942023E-2</v>
      </c>
      <c r="H34" s="2289">
        <v>9</v>
      </c>
      <c r="I34" s="2254">
        <f t="shared" si="3"/>
        <v>4.716981132075472E-2</v>
      </c>
      <c r="J34" s="2289">
        <v>6</v>
      </c>
      <c r="K34" s="2290">
        <f t="shared" si="4"/>
        <v>3.1590586005370395E-2</v>
      </c>
    </row>
    <row r="35" spans="1:13" ht="20.100000000000001" customHeight="1">
      <c r="A35" s="2291" t="s">
        <v>3508</v>
      </c>
      <c r="B35" s="2289">
        <v>3</v>
      </c>
      <c r="C35" s="2254">
        <f t="shared" si="0"/>
        <v>1.6167277430480707E-2</v>
      </c>
      <c r="D35" s="2289">
        <v>5</v>
      </c>
      <c r="E35" s="2254">
        <f t="shared" si="1"/>
        <v>2.7796308650211255E-2</v>
      </c>
      <c r="F35" s="2289">
        <v>3</v>
      </c>
      <c r="G35" s="2254">
        <f t="shared" si="2"/>
        <v>1.5474286893279001E-2</v>
      </c>
      <c r="H35" s="2289">
        <v>3</v>
      </c>
      <c r="I35" s="2254">
        <f t="shared" si="3"/>
        <v>1.5723270440251572E-2</v>
      </c>
      <c r="J35" s="2289">
        <v>5</v>
      </c>
      <c r="K35" s="2290">
        <f t="shared" si="4"/>
        <v>2.6325488337808664E-2</v>
      </c>
    </row>
    <row r="36" spans="1:13" ht="20.100000000000001" customHeight="1">
      <c r="A36" s="2291" t="s">
        <v>3509</v>
      </c>
      <c r="B36" s="2289">
        <v>8</v>
      </c>
      <c r="C36" s="2254">
        <f t="shared" si="0"/>
        <v>4.311273981461522E-2</v>
      </c>
      <c r="D36" s="2289">
        <v>7</v>
      </c>
      <c r="E36" s="2254">
        <f t="shared" si="1"/>
        <v>3.8914832110295748E-2</v>
      </c>
      <c r="F36" s="2289">
        <v>1</v>
      </c>
      <c r="G36" s="2254">
        <f t="shared" si="2"/>
        <v>5.1580956310930005E-3</v>
      </c>
      <c r="H36" s="2289">
        <v>8</v>
      </c>
      <c r="I36" s="2254">
        <f t="shared" si="3"/>
        <v>4.1928721174004188E-2</v>
      </c>
      <c r="J36" s="2289">
        <v>5</v>
      </c>
      <c r="K36" s="2290">
        <f t="shared" si="4"/>
        <v>2.6325488337808664E-2</v>
      </c>
    </row>
    <row r="37" spans="1:13" ht="20.100000000000001" customHeight="1">
      <c r="A37" s="2291" t="s">
        <v>3510</v>
      </c>
      <c r="B37" s="2296">
        <v>1</v>
      </c>
      <c r="C37" s="2254">
        <f t="shared" si="0"/>
        <v>5.3890924768269025E-3</v>
      </c>
      <c r="D37" s="2289">
        <v>1</v>
      </c>
      <c r="E37" s="2254">
        <f t="shared" si="1"/>
        <v>5.55926173004225E-3</v>
      </c>
      <c r="F37" s="2289">
        <v>2</v>
      </c>
      <c r="G37" s="2254">
        <f t="shared" si="2"/>
        <v>1.0316191262186001E-2</v>
      </c>
      <c r="H37" s="2289">
        <v>3</v>
      </c>
      <c r="I37" s="2254">
        <f t="shared" si="3"/>
        <v>1.5723270440251572E-2</v>
      </c>
      <c r="J37" s="2289">
        <v>4</v>
      </c>
      <c r="K37" s="2290">
        <f t="shared" si="4"/>
        <v>2.1060390670246933E-2</v>
      </c>
    </row>
    <row r="38" spans="1:13" ht="20.100000000000001" customHeight="1">
      <c r="A38" s="2291" t="s">
        <v>3511</v>
      </c>
      <c r="B38" s="2296">
        <v>2</v>
      </c>
      <c r="C38" s="2254">
        <f t="shared" si="0"/>
        <v>1.0778184953653805E-2</v>
      </c>
      <c r="D38" s="2289">
        <v>3</v>
      </c>
      <c r="E38" s="2254">
        <f t="shared" si="1"/>
        <v>1.6677785190126748E-2</v>
      </c>
      <c r="F38" s="2289">
        <v>2</v>
      </c>
      <c r="G38" s="2254">
        <f t="shared" si="2"/>
        <v>1.0316191262186001E-2</v>
      </c>
      <c r="H38" s="2289">
        <v>5</v>
      </c>
      <c r="I38" s="2254">
        <f t="shared" si="3"/>
        <v>2.6205450733752623E-2</v>
      </c>
      <c r="J38" s="2289">
        <v>2</v>
      </c>
      <c r="K38" s="2290">
        <f t="shared" si="4"/>
        <v>1.0530195335123466E-2</v>
      </c>
    </row>
    <row r="39" spans="1:13" ht="20.100000000000001" customHeight="1">
      <c r="A39" s="2291" t="s">
        <v>3512</v>
      </c>
      <c r="B39" s="2296">
        <v>4</v>
      </c>
      <c r="C39" s="2254">
        <f t="shared" si="0"/>
        <v>2.155636990730761E-2</v>
      </c>
      <c r="D39" s="2289">
        <v>1</v>
      </c>
      <c r="E39" s="2254">
        <f t="shared" si="1"/>
        <v>5.55926173004225E-3</v>
      </c>
      <c r="F39" s="2289">
        <v>0</v>
      </c>
      <c r="G39" s="2289">
        <f t="shared" si="2"/>
        <v>0</v>
      </c>
      <c r="H39" s="2289">
        <v>0</v>
      </c>
      <c r="I39" s="2289">
        <f t="shared" si="3"/>
        <v>0</v>
      </c>
      <c r="J39" s="2289">
        <v>2</v>
      </c>
      <c r="K39" s="2290">
        <f t="shared" si="4"/>
        <v>1.0530195335123466E-2</v>
      </c>
    </row>
    <row r="40" spans="1:13" ht="20.100000000000001" customHeight="1">
      <c r="A40" s="2291" t="s">
        <v>3513</v>
      </c>
      <c r="B40" s="2296">
        <v>0</v>
      </c>
      <c r="C40" s="2289">
        <f t="shared" si="0"/>
        <v>0</v>
      </c>
      <c r="D40" s="2289">
        <v>0</v>
      </c>
      <c r="E40" s="2289">
        <f t="shared" si="1"/>
        <v>0</v>
      </c>
      <c r="F40" s="2289">
        <v>0</v>
      </c>
      <c r="G40" s="2289">
        <f t="shared" si="2"/>
        <v>0</v>
      </c>
      <c r="H40" s="2289">
        <v>0</v>
      </c>
      <c r="I40" s="2289">
        <f t="shared" si="3"/>
        <v>0</v>
      </c>
      <c r="J40" s="2289">
        <v>2</v>
      </c>
      <c r="K40" s="2290">
        <f t="shared" si="4"/>
        <v>1.0530195335123466E-2</v>
      </c>
    </row>
    <row r="41" spans="1:13" ht="20.100000000000001" customHeight="1">
      <c r="A41" s="2297" t="s">
        <v>3514</v>
      </c>
      <c r="B41" s="2298">
        <v>1</v>
      </c>
      <c r="C41" s="2299">
        <f t="shared" si="0"/>
        <v>5.3890924768269025E-3</v>
      </c>
      <c r="D41" s="2300">
        <v>3</v>
      </c>
      <c r="E41" s="2299">
        <f t="shared" si="0"/>
        <v>1.6677785190126748E-2</v>
      </c>
      <c r="F41" s="2300">
        <v>4</v>
      </c>
      <c r="G41" s="2299">
        <f t="shared" si="0"/>
        <v>2.0632382524372002E-2</v>
      </c>
      <c r="H41" s="2300">
        <v>2</v>
      </c>
      <c r="I41" s="2299">
        <f t="shared" si="0"/>
        <v>1.0482180293501047E-2</v>
      </c>
      <c r="J41" s="2300">
        <v>0</v>
      </c>
      <c r="K41" s="2301">
        <f t="shared" si="4"/>
        <v>0</v>
      </c>
      <c r="L41" s="2302"/>
    </row>
    <row r="42" spans="1:13" ht="20.100000000000001" customHeight="1">
      <c r="A42" s="2303" t="s">
        <v>3515</v>
      </c>
      <c r="L42" s="2302"/>
      <c r="M42" s="2302"/>
    </row>
  </sheetData>
  <mergeCells count="7">
    <mergeCell ref="A1:K1"/>
    <mergeCell ref="A2:A3"/>
    <mergeCell ref="B2:C2"/>
    <mergeCell ref="D2:E2"/>
    <mergeCell ref="F2:G2"/>
    <mergeCell ref="H2:I2"/>
    <mergeCell ref="J2:K2"/>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56" firstPageNumber="262" orientation="portrait" r:id="rId1"/>
  <headerFooter differentOddEven="1" scaleWithDoc="0">
    <oddHeader>&amp;L&amp;"Times New Roman,標準"&amp;8 107&amp;"標楷體,標準"年犯罪狀況及其分析</oddHeader>
    <evenHeader>&amp;R&amp;"標楷體,標準"&amp;8第四篇　特定類型犯罪者之犯罪趨勢與處遇</evenHead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L60"/>
  <sheetViews>
    <sheetView showGridLines="0" zoomScale="80" workbookViewId="0">
      <selection activeCell="A18" sqref="A18:H18"/>
    </sheetView>
  </sheetViews>
  <sheetFormatPr defaultColWidth="8.875" defaultRowHeight="15.75"/>
  <cols>
    <col min="1" max="1" width="33.875" style="2304" bestFit="1" customWidth="1"/>
    <col min="2" max="2" width="12.625" style="2304" customWidth="1"/>
    <col min="3" max="3" width="12.625" style="2332" customWidth="1"/>
    <col min="4" max="4" width="12.625" style="2304" customWidth="1"/>
    <col min="5" max="5" width="12.625" style="2332" customWidth="1"/>
    <col min="6" max="6" width="12.625" style="2304" customWidth="1"/>
    <col min="7" max="7" width="12.625" style="2332" customWidth="1"/>
    <col min="8" max="8" width="12.625" style="2304" customWidth="1"/>
    <col min="9" max="9" width="12.625" style="2332" customWidth="1"/>
    <col min="10" max="10" width="12.625" style="2304" customWidth="1"/>
    <col min="11" max="11" width="12.625" style="2332" customWidth="1"/>
    <col min="12" max="16384" width="8.875" style="2304"/>
  </cols>
  <sheetData>
    <row r="1" spans="1:12" ht="34.5" customHeight="1">
      <c r="A1" s="3961" t="s">
        <v>3516</v>
      </c>
      <c r="B1" s="3961"/>
      <c r="C1" s="3961"/>
      <c r="D1" s="3961"/>
      <c r="E1" s="3961"/>
      <c r="F1" s="3961"/>
      <c r="G1" s="3961"/>
      <c r="H1" s="3961"/>
      <c r="I1" s="3961"/>
      <c r="J1" s="3961"/>
      <c r="K1" s="3961"/>
    </row>
    <row r="2" spans="1:12" ht="20.100000000000001" customHeight="1">
      <c r="A2" s="3962" t="s">
        <v>3517</v>
      </c>
      <c r="B2" s="3964" t="s">
        <v>3466</v>
      </c>
      <c r="C2" s="3965"/>
      <c r="D2" s="3966" t="s">
        <v>3518</v>
      </c>
      <c r="E2" s="3965"/>
      <c r="F2" s="3966" t="s">
        <v>3519</v>
      </c>
      <c r="G2" s="3965"/>
      <c r="H2" s="3966" t="s">
        <v>3520</v>
      </c>
      <c r="I2" s="3965"/>
      <c r="J2" s="3966" t="s">
        <v>3521</v>
      </c>
      <c r="K2" s="3964"/>
    </row>
    <row r="3" spans="1:12" ht="20.100000000000001" customHeight="1">
      <c r="A3" s="3963"/>
      <c r="B3" s="2305" t="s">
        <v>1189</v>
      </c>
      <c r="C3" s="2306" t="s">
        <v>0</v>
      </c>
      <c r="D3" s="2307" t="s">
        <v>1189</v>
      </c>
      <c r="E3" s="2306" t="s">
        <v>0</v>
      </c>
      <c r="F3" s="2307" t="s">
        <v>1189</v>
      </c>
      <c r="G3" s="2306" t="s">
        <v>0</v>
      </c>
      <c r="H3" s="2307" t="s">
        <v>1189</v>
      </c>
      <c r="I3" s="2306" t="s">
        <v>0</v>
      </c>
      <c r="J3" s="2307" t="s">
        <v>1189</v>
      </c>
      <c r="K3" s="2308" t="s">
        <v>0</v>
      </c>
    </row>
    <row r="4" spans="1:12" ht="20.100000000000001" customHeight="1">
      <c r="A4" s="2309" t="s">
        <v>3522</v>
      </c>
      <c r="B4" s="2310">
        <v>6555</v>
      </c>
      <c r="C4" s="2311">
        <f t="shared" ref="C4:C32" si="0">B4/B$4*100</f>
        <v>100</v>
      </c>
      <c r="D4" s="2312">
        <v>6637</v>
      </c>
      <c r="E4" s="2311">
        <f t="shared" ref="E4:E32" si="1">D4/D$4*100</f>
        <v>100</v>
      </c>
      <c r="F4" s="2312">
        <v>7167</v>
      </c>
      <c r="G4" s="2311">
        <f t="shared" ref="G4:G32" si="2">F4/F$4*100</f>
        <v>100</v>
      </c>
      <c r="H4" s="2312">
        <v>7633</v>
      </c>
      <c r="I4" s="2311">
        <f t="shared" ref="I4:I58" si="3">H4/H$4*100</f>
        <v>100</v>
      </c>
      <c r="J4" s="2312">
        <v>7526</v>
      </c>
      <c r="K4" s="2313">
        <f t="shared" ref="K4:K58" si="4">J4/J$4*100</f>
        <v>100</v>
      </c>
    </row>
    <row r="5" spans="1:12" ht="20.100000000000001" customHeight="1">
      <c r="A5" s="2314" t="s">
        <v>812</v>
      </c>
      <c r="B5" s="2315">
        <v>4458</v>
      </c>
      <c r="C5" s="2316">
        <f t="shared" si="0"/>
        <v>68.009153318077807</v>
      </c>
      <c r="D5" s="2317">
        <v>4960</v>
      </c>
      <c r="E5" s="2316">
        <f t="shared" si="1"/>
        <v>74.732559891517241</v>
      </c>
      <c r="F5" s="2317">
        <v>5454</v>
      </c>
      <c r="G5" s="2316">
        <f t="shared" si="2"/>
        <v>76.098786102971957</v>
      </c>
      <c r="H5" s="2317">
        <v>5800</v>
      </c>
      <c r="I5" s="2316">
        <f t="shared" si="3"/>
        <v>75.985850910520114</v>
      </c>
      <c r="J5" s="2317">
        <v>5507</v>
      </c>
      <c r="K5" s="2318">
        <f t="shared" si="4"/>
        <v>73.173000265745415</v>
      </c>
    </row>
    <row r="6" spans="1:12" ht="20.100000000000001" customHeight="1">
      <c r="A6" s="2314" t="s">
        <v>990</v>
      </c>
      <c r="B6" s="2315">
        <v>482</v>
      </c>
      <c r="C6" s="2316">
        <f t="shared" si="0"/>
        <v>7.3531655225019072</v>
      </c>
      <c r="D6" s="2317">
        <v>376</v>
      </c>
      <c r="E6" s="2316">
        <f t="shared" si="1"/>
        <v>5.6652101853246952</v>
      </c>
      <c r="F6" s="2317">
        <v>386</v>
      </c>
      <c r="G6" s="2316">
        <f t="shared" si="2"/>
        <v>5.3857960094879314</v>
      </c>
      <c r="H6" s="2317">
        <v>294</v>
      </c>
      <c r="I6" s="2316">
        <f t="shared" si="3"/>
        <v>3.8516965806367089</v>
      </c>
      <c r="J6" s="2317">
        <v>284</v>
      </c>
      <c r="K6" s="2318">
        <f t="shared" si="4"/>
        <v>3.7735849056603774</v>
      </c>
    </row>
    <row r="7" spans="1:12" ht="20.100000000000001" customHeight="1">
      <c r="A7" s="2314" t="s">
        <v>987</v>
      </c>
      <c r="B7" s="2315">
        <v>214</v>
      </c>
      <c r="C7" s="2316">
        <f t="shared" si="0"/>
        <v>3.2646834477498095</v>
      </c>
      <c r="D7" s="2317">
        <v>62</v>
      </c>
      <c r="E7" s="2316">
        <f t="shared" si="1"/>
        <v>0.93415699864396562</v>
      </c>
      <c r="F7" s="2317">
        <v>50</v>
      </c>
      <c r="G7" s="2316">
        <f t="shared" si="2"/>
        <v>0.69764197014092366</v>
      </c>
      <c r="H7" s="2317">
        <v>10</v>
      </c>
      <c r="I7" s="2316">
        <f t="shared" si="3"/>
        <v>0.13101008777675879</v>
      </c>
      <c r="J7" s="2317">
        <v>169</v>
      </c>
      <c r="K7" s="2318">
        <f t="shared" si="4"/>
        <v>2.2455487642838161</v>
      </c>
    </row>
    <row r="8" spans="1:12" ht="20.100000000000001" customHeight="1">
      <c r="A8" s="2314" t="s">
        <v>985</v>
      </c>
      <c r="B8" s="2315">
        <v>143</v>
      </c>
      <c r="C8" s="2316">
        <f t="shared" si="0"/>
        <v>2.181540808543097</v>
      </c>
      <c r="D8" s="2317">
        <v>147</v>
      </c>
      <c r="E8" s="2316">
        <f t="shared" si="1"/>
        <v>2.2148561096881121</v>
      </c>
      <c r="F8" s="2317">
        <v>156</v>
      </c>
      <c r="G8" s="2316">
        <f t="shared" si="2"/>
        <v>2.176642946839682</v>
      </c>
      <c r="H8" s="2317">
        <v>174</v>
      </c>
      <c r="I8" s="2316">
        <f t="shared" si="3"/>
        <v>2.2795755273156035</v>
      </c>
      <c r="J8" s="2317">
        <v>164</v>
      </c>
      <c r="K8" s="2318">
        <f t="shared" si="4"/>
        <v>2.1791124103109221</v>
      </c>
    </row>
    <row r="9" spans="1:12" ht="20.100000000000001" customHeight="1">
      <c r="A9" s="2314" t="s">
        <v>982</v>
      </c>
      <c r="B9" s="2315">
        <v>102</v>
      </c>
      <c r="C9" s="2316">
        <f t="shared" si="0"/>
        <v>1.5560640732265447</v>
      </c>
      <c r="D9" s="2317">
        <v>76</v>
      </c>
      <c r="E9" s="2316">
        <f t="shared" si="1"/>
        <v>1.1450956757571191</v>
      </c>
      <c r="F9" s="2317">
        <v>83</v>
      </c>
      <c r="G9" s="2316">
        <f t="shared" si="2"/>
        <v>1.1580856704339333</v>
      </c>
      <c r="H9" s="2317">
        <v>102</v>
      </c>
      <c r="I9" s="2316">
        <f t="shared" si="3"/>
        <v>1.3363028953229399</v>
      </c>
      <c r="J9" s="2317">
        <v>137</v>
      </c>
      <c r="K9" s="2318">
        <f t="shared" si="4"/>
        <v>1.8203560988572947</v>
      </c>
    </row>
    <row r="10" spans="1:12" ht="20.100000000000001" customHeight="1">
      <c r="A10" s="2314" t="s">
        <v>3523</v>
      </c>
      <c r="B10" s="2315">
        <v>5</v>
      </c>
      <c r="C10" s="2316">
        <f t="shared" si="0"/>
        <v>7.6277650648360035E-2</v>
      </c>
      <c r="D10" s="2317">
        <v>3</v>
      </c>
      <c r="E10" s="2316">
        <f t="shared" si="1"/>
        <v>4.5201145095675757E-2</v>
      </c>
      <c r="F10" s="2317">
        <v>1</v>
      </c>
      <c r="G10" s="2316">
        <f t="shared" si="2"/>
        <v>1.3952839402818475E-2</v>
      </c>
      <c r="H10" s="2317">
        <v>55</v>
      </c>
      <c r="I10" s="2316">
        <f t="shared" si="3"/>
        <v>0.72055548277217341</v>
      </c>
      <c r="J10" s="2317">
        <v>105</v>
      </c>
      <c r="K10" s="2318">
        <f t="shared" si="4"/>
        <v>1.3951634334307734</v>
      </c>
    </row>
    <row r="11" spans="1:12" ht="20.100000000000001" customHeight="1">
      <c r="A11" s="2314" t="s">
        <v>3524</v>
      </c>
      <c r="B11" s="2315">
        <v>42</v>
      </c>
      <c r="C11" s="2316">
        <f t="shared" si="0"/>
        <v>0.64073226544622419</v>
      </c>
      <c r="D11" s="2317">
        <v>67</v>
      </c>
      <c r="E11" s="2316">
        <f t="shared" si="1"/>
        <v>1.0094922404700919</v>
      </c>
      <c r="F11" s="2317">
        <v>82</v>
      </c>
      <c r="G11" s="2316">
        <f t="shared" si="2"/>
        <v>1.144132831031115</v>
      </c>
      <c r="H11" s="2317">
        <v>84</v>
      </c>
      <c r="I11" s="2316">
        <f t="shared" si="3"/>
        <v>1.1004847373247739</v>
      </c>
      <c r="J11" s="2317">
        <v>99</v>
      </c>
      <c r="K11" s="2318">
        <f t="shared" si="4"/>
        <v>1.3154398086633006</v>
      </c>
    </row>
    <row r="12" spans="1:12" ht="20.100000000000001" customHeight="1">
      <c r="A12" s="2314" t="s">
        <v>3525</v>
      </c>
      <c r="B12" s="2315">
        <v>5</v>
      </c>
      <c r="C12" s="2316">
        <f t="shared" si="0"/>
        <v>7.6277650648360035E-2</v>
      </c>
      <c r="D12" s="2317">
        <v>46</v>
      </c>
      <c r="E12" s="2316">
        <f t="shared" si="1"/>
        <v>0.69308422480036158</v>
      </c>
      <c r="F12" s="2317">
        <v>58</v>
      </c>
      <c r="G12" s="2316">
        <f t="shared" si="2"/>
        <v>0.80926468536347151</v>
      </c>
      <c r="H12" s="2317">
        <v>63</v>
      </c>
      <c r="I12" s="2316">
        <f t="shared" si="3"/>
        <v>0.82536355299358055</v>
      </c>
      <c r="J12" s="2317">
        <v>75</v>
      </c>
      <c r="K12" s="2318">
        <f t="shared" si="4"/>
        <v>0.99654530959340948</v>
      </c>
    </row>
    <row r="13" spans="1:12" ht="20.100000000000001" customHeight="1">
      <c r="A13" s="2314" t="s">
        <v>3526</v>
      </c>
      <c r="B13" s="2315">
        <v>96</v>
      </c>
      <c r="C13" s="2316">
        <f t="shared" si="0"/>
        <v>1.4645308924485128</v>
      </c>
      <c r="D13" s="2317">
        <v>82</v>
      </c>
      <c r="E13" s="2316">
        <f t="shared" si="1"/>
        <v>1.2354979659484706</v>
      </c>
      <c r="F13" s="2317">
        <v>68</v>
      </c>
      <c r="G13" s="2316">
        <f t="shared" si="2"/>
        <v>0.94879307939165614</v>
      </c>
      <c r="H13" s="2317">
        <v>61</v>
      </c>
      <c r="I13" s="2316">
        <f t="shared" si="3"/>
        <v>0.79916153543822877</v>
      </c>
      <c r="J13" s="2317">
        <v>74</v>
      </c>
      <c r="K13" s="2318">
        <f t="shared" si="4"/>
        <v>0.98325803879883067</v>
      </c>
    </row>
    <row r="14" spans="1:12" ht="20.100000000000001" customHeight="1">
      <c r="A14" s="2314" t="s">
        <v>828</v>
      </c>
      <c r="B14" s="2315">
        <v>53</v>
      </c>
      <c r="C14" s="2316">
        <f t="shared" si="0"/>
        <v>0.80854309687261627</v>
      </c>
      <c r="D14" s="2317">
        <v>56</v>
      </c>
      <c r="E14" s="2316">
        <f t="shared" si="1"/>
        <v>0.84375470845261413</v>
      </c>
      <c r="F14" s="2317">
        <v>36</v>
      </c>
      <c r="G14" s="2316">
        <f t="shared" si="2"/>
        <v>0.50230221850146506</v>
      </c>
      <c r="H14" s="2317">
        <v>43</v>
      </c>
      <c r="I14" s="2316">
        <f t="shared" si="3"/>
        <v>0.56334337744006291</v>
      </c>
      <c r="J14" s="2317">
        <v>60</v>
      </c>
      <c r="K14" s="2318">
        <f t="shared" si="4"/>
        <v>0.79723624767472756</v>
      </c>
      <c r="L14" s="2319"/>
    </row>
    <row r="15" spans="1:12" ht="20.100000000000001" customHeight="1">
      <c r="A15" s="2314" t="s">
        <v>995</v>
      </c>
      <c r="B15" s="2315">
        <v>19</v>
      </c>
      <c r="C15" s="2316">
        <f t="shared" si="0"/>
        <v>0.28985507246376813</v>
      </c>
      <c r="D15" s="2317">
        <v>22</v>
      </c>
      <c r="E15" s="2316">
        <f t="shared" si="1"/>
        <v>0.33147506403495552</v>
      </c>
      <c r="F15" s="2317">
        <v>12</v>
      </c>
      <c r="G15" s="2316">
        <f t="shared" si="2"/>
        <v>0.1674340728338217</v>
      </c>
      <c r="H15" s="2317">
        <v>40</v>
      </c>
      <c r="I15" s="2316">
        <f t="shared" si="3"/>
        <v>0.52404035110703517</v>
      </c>
      <c r="J15" s="2317">
        <v>50</v>
      </c>
      <c r="K15" s="2318">
        <f t="shared" si="4"/>
        <v>0.66436353972893969</v>
      </c>
    </row>
    <row r="16" spans="1:12" ht="20.100000000000001" customHeight="1">
      <c r="A16" s="2314" t="s">
        <v>986</v>
      </c>
      <c r="B16" s="2315">
        <v>63</v>
      </c>
      <c r="C16" s="2316">
        <f t="shared" si="0"/>
        <v>0.9610983981693364</v>
      </c>
      <c r="D16" s="2317">
        <v>51</v>
      </c>
      <c r="E16" s="2316">
        <f t="shared" si="1"/>
        <v>0.76841946662648786</v>
      </c>
      <c r="F16" s="2317">
        <v>70</v>
      </c>
      <c r="G16" s="2316">
        <f t="shared" si="2"/>
        <v>0.97669875819729313</v>
      </c>
      <c r="H16" s="2317">
        <v>95</v>
      </c>
      <c r="I16" s="2316">
        <f t="shared" si="3"/>
        <v>1.2445958338792087</v>
      </c>
      <c r="J16" s="2317">
        <v>45</v>
      </c>
      <c r="K16" s="2318">
        <f t="shared" si="4"/>
        <v>0.59792718575604575</v>
      </c>
    </row>
    <row r="17" spans="1:11" ht="20.100000000000001" customHeight="1">
      <c r="A17" s="2314" t="s">
        <v>3527</v>
      </c>
      <c r="B17" s="2315">
        <v>35</v>
      </c>
      <c r="C17" s="2316">
        <f t="shared" si="0"/>
        <v>0.53394355453852027</v>
      </c>
      <c r="D17" s="2317">
        <v>16</v>
      </c>
      <c r="E17" s="2316">
        <f t="shared" si="1"/>
        <v>0.24107277384360404</v>
      </c>
      <c r="F17" s="2317">
        <v>31</v>
      </c>
      <c r="G17" s="2316">
        <f t="shared" si="2"/>
        <v>0.43253802148737264</v>
      </c>
      <c r="H17" s="2317">
        <v>31</v>
      </c>
      <c r="I17" s="2316">
        <f t="shared" si="3"/>
        <v>0.40613127210795236</v>
      </c>
      <c r="J17" s="2317">
        <v>42</v>
      </c>
      <c r="K17" s="2318">
        <f t="shared" si="4"/>
        <v>0.55806537337230933</v>
      </c>
    </row>
    <row r="18" spans="1:11" ht="20.100000000000001" customHeight="1">
      <c r="A18" s="2314" t="s">
        <v>3528</v>
      </c>
      <c r="B18" s="2315">
        <v>21</v>
      </c>
      <c r="C18" s="2316">
        <f t="shared" si="0"/>
        <v>0.3203661327231121</v>
      </c>
      <c r="D18" s="2317">
        <v>19</v>
      </c>
      <c r="E18" s="2316">
        <f t="shared" si="1"/>
        <v>0.28627391893927978</v>
      </c>
      <c r="F18" s="2317">
        <v>20</v>
      </c>
      <c r="G18" s="2316">
        <f t="shared" si="2"/>
        <v>0.27905678805636946</v>
      </c>
      <c r="H18" s="2317">
        <v>21</v>
      </c>
      <c r="I18" s="2316">
        <f t="shared" si="3"/>
        <v>0.27512118433119348</v>
      </c>
      <c r="J18" s="2317">
        <v>39</v>
      </c>
      <c r="K18" s="2318">
        <f t="shared" si="4"/>
        <v>0.5182035609885729</v>
      </c>
    </row>
    <row r="19" spans="1:11" ht="20.100000000000001" customHeight="1">
      <c r="A19" s="2314" t="s">
        <v>3529</v>
      </c>
      <c r="B19" s="2315">
        <v>56</v>
      </c>
      <c r="C19" s="2316">
        <f t="shared" si="0"/>
        <v>0.85430968726163226</v>
      </c>
      <c r="D19" s="2317">
        <v>56</v>
      </c>
      <c r="E19" s="2316">
        <f t="shared" si="1"/>
        <v>0.84375470845261413</v>
      </c>
      <c r="F19" s="2317">
        <v>33</v>
      </c>
      <c r="G19" s="2316">
        <f t="shared" si="2"/>
        <v>0.46044370029300963</v>
      </c>
      <c r="H19" s="2317">
        <v>61</v>
      </c>
      <c r="I19" s="2316">
        <f t="shared" si="3"/>
        <v>0.79916153543822877</v>
      </c>
      <c r="J19" s="2317">
        <v>38</v>
      </c>
      <c r="K19" s="2318">
        <f t="shared" si="4"/>
        <v>0.50491629019399409</v>
      </c>
    </row>
    <row r="20" spans="1:11" ht="20.100000000000001" customHeight="1">
      <c r="A20" s="2314" t="s">
        <v>3530</v>
      </c>
      <c r="B20" s="2315">
        <v>101</v>
      </c>
      <c r="C20" s="2316">
        <f t="shared" si="0"/>
        <v>1.5408085430968725</v>
      </c>
      <c r="D20" s="2317">
        <v>53</v>
      </c>
      <c r="E20" s="2316">
        <f t="shared" si="1"/>
        <v>0.79855356335693828</v>
      </c>
      <c r="F20" s="2317">
        <v>67</v>
      </c>
      <c r="G20" s="2316">
        <f t="shared" si="2"/>
        <v>0.93484023998883781</v>
      </c>
      <c r="H20" s="2317">
        <v>72</v>
      </c>
      <c r="I20" s="2316">
        <f t="shared" si="3"/>
        <v>0.94327263199266342</v>
      </c>
      <c r="J20" s="2317">
        <v>37</v>
      </c>
      <c r="K20" s="2318">
        <f t="shared" si="4"/>
        <v>0.49162901939941533</v>
      </c>
    </row>
    <row r="21" spans="1:11" ht="20.100000000000001" customHeight="1">
      <c r="A21" s="2314" t="s">
        <v>983</v>
      </c>
      <c r="B21" s="2315">
        <v>33</v>
      </c>
      <c r="C21" s="2316">
        <f t="shared" si="0"/>
        <v>0.50343249427917625</v>
      </c>
      <c r="D21" s="2317">
        <v>44</v>
      </c>
      <c r="E21" s="2316">
        <f t="shared" si="1"/>
        <v>0.66295012806991105</v>
      </c>
      <c r="F21" s="2317">
        <v>39</v>
      </c>
      <c r="G21" s="2316">
        <f t="shared" si="2"/>
        <v>0.54416073670992049</v>
      </c>
      <c r="H21" s="2317">
        <v>39</v>
      </c>
      <c r="I21" s="2316">
        <f t="shared" si="3"/>
        <v>0.51093934232935945</v>
      </c>
      <c r="J21" s="2317">
        <v>34</v>
      </c>
      <c r="K21" s="2318">
        <f t="shared" si="4"/>
        <v>0.45176720701567896</v>
      </c>
    </row>
    <row r="22" spans="1:11" ht="20.100000000000001" customHeight="1">
      <c r="A22" s="2314" t="s">
        <v>3531</v>
      </c>
      <c r="B22" s="2315">
        <v>59</v>
      </c>
      <c r="C22" s="2316">
        <f t="shared" si="0"/>
        <v>0.90007627765064835</v>
      </c>
      <c r="D22" s="2317">
        <v>22</v>
      </c>
      <c r="E22" s="2316">
        <f t="shared" si="1"/>
        <v>0.33147506403495552</v>
      </c>
      <c r="F22" s="2317">
        <v>36</v>
      </c>
      <c r="G22" s="2316">
        <f t="shared" si="2"/>
        <v>0.50230221850146506</v>
      </c>
      <c r="H22" s="2317">
        <v>42</v>
      </c>
      <c r="I22" s="2316">
        <f t="shared" si="3"/>
        <v>0.55024236866238696</v>
      </c>
      <c r="J22" s="2317">
        <v>34</v>
      </c>
      <c r="K22" s="2318">
        <f t="shared" si="4"/>
        <v>0.45176720701567896</v>
      </c>
    </row>
    <row r="23" spans="1:11" ht="20.100000000000001" customHeight="1">
      <c r="A23" s="2314" t="s">
        <v>989</v>
      </c>
      <c r="B23" s="2315">
        <v>46</v>
      </c>
      <c r="C23" s="2316">
        <f t="shared" si="0"/>
        <v>0.70175438596491224</v>
      </c>
      <c r="D23" s="2317">
        <v>56</v>
      </c>
      <c r="E23" s="2316">
        <f t="shared" si="1"/>
        <v>0.84375470845261413</v>
      </c>
      <c r="F23" s="2317">
        <v>70</v>
      </c>
      <c r="G23" s="2316">
        <f t="shared" si="2"/>
        <v>0.97669875819729313</v>
      </c>
      <c r="H23" s="2317">
        <v>39</v>
      </c>
      <c r="I23" s="2316">
        <f t="shared" si="3"/>
        <v>0.51093934232935945</v>
      </c>
      <c r="J23" s="2317">
        <v>33</v>
      </c>
      <c r="K23" s="2318">
        <f t="shared" si="4"/>
        <v>0.43847993622110015</v>
      </c>
    </row>
    <row r="24" spans="1:11" ht="20.100000000000001" customHeight="1">
      <c r="A24" s="2314" t="s">
        <v>3532</v>
      </c>
      <c r="B24" s="2315">
        <v>18</v>
      </c>
      <c r="C24" s="2316">
        <f t="shared" si="0"/>
        <v>0.27459954233409611</v>
      </c>
      <c r="D24" s="2317">
        <v>19</v>
      </c>
      <c r="E24" s="2316">
        <f t="shared" si="1"/>
        <v>0.28627391893927978</v>
      </c>
      <c r="F24" s="2317">
        <v>12</v>
      </c>
      <c r="G24" s="2316">
        <f t="shared" si="2"/>
        <v>0.1674340728338217</v>
      </c>
      <c r="H24" s="2317">
        <v>19</v>
      </c>
      <c r="I24" s="2316">
        <f t="shared" si="3"/>
        <v>0.24891916677584175</v>
      </c>
      <c r="J24" s="2317">
        <v>31</v>
      </c>
      <c r="K24" s="2318">
        <f t="shared" si="4"/>
        <v>0.41190539463194259</v>
      </c>
    </row>
    <row r="25" spans="1:11" ht="20.100000000000001" customHeight="1">
      <c r="A25" s="2314" t="s">
        <v>984</v>
      </c>
      <c r="B25" s="2315">
        <v>18</v>
      </c>
      <c r="C25" s="2316">
        <f t="shared" si="0"/>
        <v>0.27459954233409611</v>
      </c>
      <c r="D25" s="2317">
        <v>24</v>
      </c>
      <c r="E25" s="2316">
        <f t="shared" si="1"/>
        <v>0.36160916076540606</v>
      </c>
      <c r="F25" s="2317">
        <v>24</v>
      </c>
      <c r="G25" s="2316">
        <f t="shared" si="2"/>
        <v>0.33486814566764339</v>
      </c>
      <c r="H25" s="2317">
        <v>19</v>
      </c>
      <c r="I25" s="2316">
        <f t="shared" si="3"/>
        <v>0.24891916677584175</v>
      </c>
      <c r="J25" s="2317">
        <v>29</v>
      </c>
      <c r="K25" s="2318">
        <f t="shared" si="4"/>
        <v>0.38533085304278503</v>
      </c>
    </row>
    <row r="26" spans="1:11" ht="20.100000000000001" customHeight="1">
      <c r="A26" s="2314" t="s">
        <v>827</v>
      </c>
      <c r="B26" s="2315">
        <v>16</v>
      </c>
      <c r="C26" s="2316">
        <f t="shared" si="0"/>
        <v>0.24408848207475212</v>
      </c>
      <c r="D26" s="2317">
        <v>14</v>
      </c>
      <c r="E26" s="2316">
        <f t="shared" si="1"/>
        <v>0.21093867711315353</v>
      </c>
      <c r="F26" s="2317">
        <v>16</v>
      </c>
      <c r="G26" s="2316">
        <f t="shared" si="2"/>
        <v>0.22324543044509559</v>
      </c>
      <c r="H26" s="2317">
        <v>21</v>
      </c>
      <c r="I26" s="2316">
        <f t="shared" si="3"/>
        <v>0.27512118433119348</v>
      </c>
      <c r="J26" s="2317">
        <v>19</v>
      </c>
      <c r="K26" s="2318">
        <f t="shared" si="4"/>
        <v>0.25245814509699704</v>
      </c>
    </row>
    <row r="27" spans="1:11" ht="20.100000000000001" customHeight="1">
      <c r="A27" s="2314" t="s">
        <v>824</v>
      </c>
      <c r="B27" s="2315">
        <v>65</v>
      </c>
      <c r="C27" s="2316">
        <f t="shared" si="0"/>
        <v>0.99160945842868031</v>
      </c>
      <c r="D27" s="2317">
        <v>22</v>
      </c>
      <c r="E27" s="2316">
        <f t="shared" si="1"/>
        <v>0.33147506403495552</v>
      </c>
      <c r="F27" s="2317">
        <v>14</v>
      </c>
      <c r="G27" s="2316">
        <f t="shared" si="2"/>
        <v>0.19533975163945863</v>
      </c>
      <c r="H27" s="2317">
        <v>32</v>
      </c>
      <c r="I27" s="2316">
        <f t="shared" si="3"/>
        <v>0.41923228088562825</v>
      </c>
      <c r="J27" s="2317">
        <v>19</v>
      </c>
      <c r="K27" s="2318">
        <f t="shared" si="4"/>
        <v>0.25245814509699704</v>
      </c>
    </row>
    <row r="28" spans="1:11" ht="20.100000000000001" customHeight="1">
      <c r="A28" s="2314" t="s">
        <v>3533</v>
      </c>
      <c r="B28" s="2315">
        <v>15</v>
      </c>
      <c r="C28" s="2316">
        <f t="shared" si="0"/>
        <v>0.2288329519450801</v>
      </c>
      <c r="D28" s="2317">
        <v>23</v>
      </c>
      <c r="E28" s="2316">
        <f t="shared" si="1"/>
        <v>0.34654211240018079</v>
      </c>
      <c r="F28" s="2317">
        <v>11</v>
      </c>
      <c r="G28" s="2316">
        <f t="shared" si="2"/>
        <v>0.1534812334310032</v>
      </c>
      <c r="H28" s="2317">
        <v>13</v>
      </c>
      <c r="I28" s="2316">
        <f t="shared" si="3"/>
        <v>0.17031311410978647</v>
      </c>
      <c r="J28" s="2317">
        <v>19</v>
      </c>
      <c r="K28" s="2318">
        <f t="shared" si="4"/>
        <v>0.25245814509699704</v>
      </c>
    </row>
    <row r="29" spans="1:11" ht="20.100000000000001" customHeight="1">
      <c r="A29" s="2314" t="s">
        <v>981</v>
      </c>
      <c r="B29" s="2315">
        <v>19</v>
      </c>
      <c r="C29" s="2316">
        <f t="shared" si="0"/>
        <v>0.28985507246376813</v>
      </c>
      <c r="D29" s="2317">
        <v>15</v>
      </c>
      <c r="E29" s="2316">
        <f t="shared" si="1"/>
        <v>0.2260057254783788</v>
      </c>
      <c r="F29" s="2317">
        <v>17</v>
      </c>
      <c r="G29" s="2316">
        <f t="shared" si="2"/>
        <v>0.23719826984791403</v>
      </c>
      <c r="H29" s="2317">
        <v>18</v>
      </c>
      <c r="I29" s="2316">
        <f t="shared" si="3"/>
        <v>0.23581815799816586</v>
      </c>
      <c r="J29" s="2317">
        <v>17</v>
      </c>
      <c r="K29" s="2318">
        <f t="shared" si="4"/>
        <v>0.22588360350783948</v>
      </c>
    </row>
    <row r="30" spans="1:11" ht="20.100000000000001" customHeight="1">
      <c r="A30" s="2314" t="s">
        <v>3534</v>
      </c>
      <c r="B30" s="2315">
        <v>22</v>
      </c>
      <c r="C30" s="2316">
        <f t="shared" si="0"/>
        <v>0.33562166285278411</v>
      </c>
      <c r="D30" s="2317">
        <v>23</v>
      </c>
      <c r="E30" s="2316">
        <f t="shared" si="1"/>
        <v>0.34654211240018079</v>
      </c>
      <c r="F30" s="2317">
        <v>21</v>
      </c>
      <c r="G30" s="2316">
        <f t="shared" si="2"/>
        <v>0.2930096274591879</v>
      </c>
      <c r="H30" s="2317">
        <v>10</v>
      </c>
      <c r="I30" s="2316">
        <f t="shared" si="3"/>
        <v>0.13101008777675879</v>
      </c>
      <c r="J30" s="2317">
        <v>13</v>
      </c>
      <c r="K30" s="2318">
        <f t="shared" si="4"/>
        <v>0.17273452032952433</v>
      </c>
    </row>
    <row r="31" spans="1:11" ht="20.100000000000001" customHeight="1">
      <c r="A31" s="2314" t="s">
        <v>3535</v>
      </c>
      <c r="B31" s="2315">
        <v>11</v>
      </c>
      <c r="C31" s="2320">
        <f t="shared" si="0"/>
        <v>0.16781083142639205</v>
      </c>
      <c r="D31" s="2317">
        <v>0</v>
      </c>
      <c r="E31" s="2317">
        <f t="shared" si="1"/>
        <v>0</v>
      </c>
      <c r="F31" s="2317">
        <v>0</v>
      </c>
      <c r="G31" s="2317">
        <f t="shared" si="2"/>
        <v>0</v>
      </c>
      <c r="H31" s="2317">
        <v>0</v>
      </c>
      <c r="I31" s="2317">
        <f t="shared" si="3"/>
        <v>0</v>
      </c>
      <c r="J31" s="2317">
        <v>6</v>
      </c>
      <c r="K31" s="2318">
        <f t="shared" si="4"/>
        <v>7.9723624767472759E-2</v>
      </c>
    </row>
    <row r="32" spans="1:11" ht="20.100000000000001" customHeight="1">
      <c r="A32" s="2314" t="s">
        <v>979</v>
      </c>
      <c r="B32" s="2315">
        <v>0</v>
      </c>
      <c r="C32" s="2317">
        <f t="shared" si="0"/>
        <v>0</v>
      </c>
      <c r="D32" s="2317">
        <v>0</v>
      </c>
      <c r="E32" s="2317">
        <f t="shared" si="1"/>
        <v>0</v>
      </c>
      <c r="F32" s="2317">
        <v>0</v>
      </c>
      <c r="G32" s="2317">
        <f t="shared" si="2"/>
        <v>0</v>
      </c>
      <c r="H32" s="2317">
        <v>5</v>
      </c>
      <c r="I32" s="2316">
        <f t="shared" si="3"/>
        <v>6.5505043888379397E-2</v>
      </c>
      <c r="J32" s="2317">
        <v>5</v>
      </c>
      <c r="K32" s="2318">
        <f t="shared" si="4"/>
        <v>6.6436353972893963E-2</v>
      </c>
    </row>
    <row r="33" spans="1:11" ht="20.100000000000001" customHeight="1">
      <c r="A33" s="2314" t="s">
        <v>3536</v>
      </c>
      <c r="B33" s="2321">
        <v>5</v>
      </c>
      <c r="C33" s="2289" t="s">
        <v>3537</v>
      </c>
      <c r="D33" s="2317">
        <v>0</v>
      </c>
      <c r="E33" s="2322" t="s">
        <v>3538</v>
      </c>
      <c r="F33" s="2317">
        <v>6</v>
      </c>
      <c r="G33" s="2322" t="s">
        <v>3249</v>
      </c>
      <c r="H33" s="2317">
        <v>1</v>
      </c>
      <c r="I33" s="2316">
        <f t="shared" si="3"/>
        <v>1.3101008777675883E-2</v>
      </c>
      <c r="J33" s="2317">
        <v>5</v>
      </c>
      <c r="K33" s="2318">
        <f t="shared" si="4"/>
        <v>6.6436353972893963E-2</v>
      </c>
    </row>
    <row r="34" spans="1:11" ht="20.100000000000001" customHeight="1">
      <c r="A34" s="2314" t="s">
        <v>3539</v>
      </c>
      <c r="B34" s="2315">
        <v>4</v>
      </c>
      <c r="C34" s="2316">
        <f t="shared" ref="C34:C58" si="5">B34/B$4*100</f>
        <v>6.1022120518688029E-2</v>
      </c>
      <c r="D34" s="2317">
        <v>6</v>
      </c>
      <c r="E34" s="2320">
        <f t="shared" ref="E34:E58" si="6">D34/D$4*100</f>
        <v>9.0402290191351514E-2</v>
      </c>
      <c r="F34" s="2317">
        <v>4</v>
      </c>
      <c r="G34" s="2320">
        <f t="shared" ref="G34:G58" si="7">F34/F$4*100</f>
        <v>5.5811357611273898E-2</v>
      </c>
      <c r="H34" s="2317">
        <v>6</v>
      </c>
      <c r="I34" s="2320">
        <f t="shared" si="3"/>
        <v>7.860605266605529E-2</v>
      </c>
      <c r="J34" s="2317">
        <v>4</v>
      </c>
      <c r="K34" s="2318">
        <f t="shared" si="4"/>
        <v>5.3149083178315168E-2</v>
      </c>
    </row>
    <row r="35" spans="1:11" ht="20.100000000000001" customHeight="1">
      <c r="A35" s="2314" t="s">
        <v>3540</v>
      </c>
      <c r="B35" s="2315">
        <v>8</v>
      </c>
      <c r="C35" s="2316">
        <f t="shared" si="5"/>
        <v>0.12204424103737606</v>
      </c>
      <c r="D35" s="2317">
        <v>1</v>
      </c>
      <c r="E35" s="2316">
        <f t="shared" si="6"/>
        <v>1.5067048365225252E-2</v>
      </c>
      <c r="F35" s="2317">
        <v>0</v>
      </c>
      <c r="G35" s="2317">
        <f t="shared" si="7"/>
        <v>0</v>
      </c>
      <c r="H35" s="2317">
        <v>12</v>
      </c>
      <c r="I35" s="2316">
        <f t="shared" si="3"/>
        <v>0.15721210533211058</v>
      </c>
      <c r="J35" s="2317">
        <v>4</v>
      </c>
      <c r="K35" s="2318">
        <f t="shared" si="4"/>
        <v>5.3149083178315168E-2</v>
      </c>
    </row>
    <row r="36" spans="1:11" ht="20.100000000000001" customHeight="1">
      <c r="A36" s="2314" t="s">
        <v>3541</v>
      </c>
      <c r="B36" s="2315">
        <v>8</v>
      </c>
      <c r="C36" s="2316">
        <f t="shared" si="5"/>
        <v>0.12204424103737606</v>
      </c>
      <c r="D36" s="2317">
        <v>2</v>
      </c>
      <c r="E36" s="2316">
        <f t="shared" si="6"/>
        <v>3.0134096730450505E-2</v>
      </c>
      <c r="F36" s="2317">
        <v>1</v>
      </c>
      <c r="G36" s="2316">
        <f t="shared" si="7"/>
        <v>1.3952839402818475E-2</v>
      </c>
      <c r="H36" s="2317">
        <v>4</v>
      </c>
      <c r="I36" s="2316">
        <f t="shared" si="3"/>
        <v>5.2404035110703531E-2</v>
      </c>
      <c r="J36" s="2317">
        <v>4</v>
      </c>
      <c r="K36" s="2318">
        <f t="shared" si="4"/>
        <v>5.3149083178315168E-2</v>
      </c>
    </row>
    <row r="37" spans="1:11" ht="20.100000000000001" customHeight="1">
      <c r="A37" s="2314" t="s">
        <v>3542</v>
      </c>
      <c r="B37" s="2315">
        <v>0</v>
      </c>
      <c r="C37" s="2320">
        <f t="shared" si="5"/>
        <v>0</v>
      </c>
      <c r="D37" s="2317">
        <v>6</v>
      </c>
      <c r="E37" s="2316">
        <f t="shared" si="6"/>
        <v>9.0402290191351514E-2</v>
      </c>
      <c r="F37" s="2317">
        <v>6</v>
      </c>
      <c r="G37" s="2316">
        <f t="shared" si="7"/>
        <v>8.3717036416910848E-2</v>
      </c>
      <c r="H37" s="2317">
        <v>8</v>
      </c>
      <c r="I37" s="2316">
        <f t="shared" si="3"/>
        <v>0.10480807022140706</v>
      </c>
      <c r="J37" s="2317">
        <v>4</v>
      </c>
      <c r="K37" s="2318">
        <f t="shared" si="4"/>
        <v>5.3149083178315168E-2</v>
      </c>
    </row>
    <row r="38" spans="1:11" ht="20.100000000000001" customHeight="1">
      <c r="A38" s="2314" t="s">
        <v>988</v>
      </c>
      <c r="B38" s="2315">
        <v>5</v>
      </c>
      <c r="C38" s="2316">
        <f t="shared" si="5"/>
        <v>7.6277650648360035E-2</v>
      </c>
      <c r="D38" s="2317">
        <v>4</v>
      </c>
      <c r="E38" s="2316">
        <f t="shared" si="6"/>
        <v>6.0268193460901009E-2</v>
      </c>
      <c r="F38" s="2317">
        <v>14</v>
      </c>
      <c r="G38" s="2320">
        <f t="shared" si="7"/>
        <v>0.19533975163945863</v>
      </c>
      <c r="H38" s="2317">
        <v>4</v>
      </c>
      <c r="I38" s="2316">
        <f t="shared" si="3"/>
        <v>5.2404035110703531E-2</v>
      </c>
      <c r="J38" s="2317">
        <v>3</v>
      </c>
      <c r="K38" s="2318">
        <f t="shared" si="4"/>
        <v>3.9861812383736379E-2</v>
      </c>
    </row>
    <row r="39" spans="1:11" ht="20.100000000000001" customHeight="1">
      <c r="A39" s="2314" t="s">
        <v>3543</v>
      </c>
      <c r="B39" s="2315">
        <v>5</v>
      </c>
      <c r="C39" s="2316">
        <f t="shared" si="5"/>
        <v>7.6277650648360035E-2</v>
      </c>
      <c r="D39" s="2317">
        <v>11</v>
      </c>
      <c r="E39" s="2316">
        <f t="shared" si="6"/>
        <v>0.16573753201747776</v>
      </c>
      <c r="F39" s="2317">
        <v>5</v>
      </c>
      <c r="G39" s="2316">
        <f t="shared" si="7"/>
        <v>6.9764197014092366E-2</v>
      </c>
      <c r="H39" s="2317">
        <v>6</v>
      </c>
      <c r="I39" s="2316">
        <f t="shared" si="3"/>
        <v>7.860605266605529E-2</v>
      </c>
      <c r="J39" s="2317">
        <v>3</v>
      </c>
      <c r="K39" s="2318">
        <f t="shared" si="4"/>
        <v>3.9861812383736379E-2</v>
      </c>
    </row>
    <row r="40" spans="1:11" ht="20.100000000000001" customHeight="1">
      <c r="A40" s="2314" t="s">
        <v>3544</v>
      </c>
      <c r="B40" s="2315">
        <v>1</v>
      </c>
      <c r="C40" s="2320">
        <f t="shared" si="5"/>
        <v>1.5255530129672007E-2</v>
      </c>
      <c r="D40" s="2317">
        <v>3</v>
      </c>
      <c r="E40" s="2316">
        <f t="shared" si="6"/>
        <v>4.5201145095675757E-2</v>
      </c>
      <c r="F40" s="2317">
        <v>2</v>
      </c>
      <c r="G40" s="2316">
        <f t="shared" si="7"/>
        <v>2.7905678805636949E-2</v>
      </c>
      <c r="H40" s="2317">
        <v>2</v>
      </c>
      <c r="I40" s="2316">
        <f t="shared" si="3"/>
        <v>2.6202017555351766E-2</v>
      </c>
      <c r="J40" s="2317">
        <v>3</v>
      </c>
      <c r="K40" s="2318">
        <f t="shared" si="4"/>
        <v>3.9861812383736379E-2</v>
      </c>
    </row>
    <row r="41" spans="1:11" ht="20.100000000000001" customHeight="1">
      <c r="A41" s="2314" t="s">
        <v>3545</v>
      </c>
      <c r="B41" s="2296" t="s">
        <v>3249</v>
      </c>
      <c r="C41" s="2289" t="s">
        <v>3537</v>
      </c>
      <c r="D41" s="2289" t="s">
        <v>3249</v>
      </c>
      <c r="E41" s="2289" t="s">
        <v>3249</v>
      </c>
      <c r="F41" s="2289" t="s">
        <v>3242</v>
      </c>
      <c r="G41" s="2289" t="s">
        <v>3249</v>
      </c>
      <c r="H41" s="2289" t="s">
        <v>3249</v>
      </c>
      <c r="I41" s="2289" t="s">
        <v>3538</v>
      </c>
      <c r="J41" s="2317">
        <v>3</v>
      </c>
      <c r="K41" s="2318">
        <f t="shared" si="4"/>
        <v>3.9861812383736379E-2</v>
      </c>
    </row>
    <row r="42" spans="1:11" ht="20.100000000000001" customHeight="1">
      <c r="A42" s="2314" t="s">
        <v>3546</v>
      </c>
      <c r="B42" s="2315">
        <v>2</v>
      </c>
      <c r="C42" s="2316">
        <f t="shared" si="5"/>
        <v>3.0511060259344015E-2</v>
      </c>
      <c r="D42" s="2317">
        <v>2</v>
      </c>
      <c r="E42" s="2316">
        <f t="shared" si="6"/>
        <v>3.0134096730450505E-2</v>
      </c>
      <c r="F42" s="2317">
        <v>1</v>
      </c>
      <c r="G42" s="2316">
        <f t="shared" si="7"/>
        <v>1.3952839402818475E-2</v>
      </c>
      <c r="H42" s="2317">
        <v>2</v>
      </c>
      <c r="I42" s="2316">
        <f t="shared" si="3"/>
        <v>2.6202017555351766E-2</v>
      </c>
      <c r="J42" s="2317">
        <v>2</v>
      </c>
      <c r="K42" s="2318">
        <f t="shared" si="4"/>
        <v>2.6574541589157584E-2</v>
      </c>
    </row>
    <row r="43" spans="1:11" ht="20.100000000000001" customHeight="1">
      <c r="A43" s="2314" t="s">
        <v>3547</v>
      </c>
      <c r="B43" s="2315">
        <v>3</v>
      </c>
      <c r="C43" s="2316">
        <f t="shared" si="5"/>
        <v>4.5766590389016024E-2</v>
      </c>
      <c r="D43" s="2317">
        <v>1</v>
      </c>
      <c r="E43" s="2316">
        <f t="shared" si="6"/>
        <v>1.5067048365225252E-2</v>
      </c>
      <c r="F43" s="2317">
        <v>1</v>
      </c>
      <c r="G43" s="2316">
        <f t="shared" si="7"/>
        <v>1.3952839402818475E-2</v>
      </c>
      <c r="H43" s="2317">
        <v>0</v>
      </c>
      <c r="I43" s="2323" t="s">
        <v>3537</v>
      </c>
      <c r="J43" s="2317">
        <v>2</v>
      </c>
      <c r="K43" s="2318">
        <f t="shared" si="4"/>
        <v>2.6574541589157584E-2</v>
      </c>
    </row>
    <row r="44" spans="1:11" ht="20.100000000000001" customHeight="1">
      <c r="A44" s="2314" t="s">
        <v>3548</v>
      </c>
      <c r="B44" s="2315">
        <v>0</v>
      </c>
      <c r="C44" s="2317">
        <f t="shared" si="5"/>
        <v>0</v>
      </c>
      <c r="D44" s="2317">
        <v>1</v>
      </c>
      <c r="E44" s="2316">
        <f t="shared" si="6"/>
        <v>1.5067048365225252E-2</v>
      </c>
      <c r="F44" s="2317">
        <v>1</v>
      </c>
      <c r="G44" s="2316">
        <f t="shared" si="7"/>
        <v>1.3952839402818475E-2</v>
      </c>
      <c r="H44" s="2317">
        <v>7</v>
      </c>
      <c r="I44" s="2316">
        <f t="shared" si="3"/>
        <v>9.1707061443731169E-2</v>
      </c>
      <c r="J44" s="2317">
        <v>2</v>
      </c>
      <c r="K44" s="2318">
        <f t="shared" si="4"/>
        <v>2.6574541589157584E-2</v>
      </c>
    </row>
    <row r="45" spans="1:11" ht="20.100000000000001" customHeight="1">
      <c r="A45" s="2314" t="s">
        <v>3549</v>
      </c>
      <c r="B45" s="2315">
        <v>1</v>
      </c>
      <c r="C45" s="2320">
        <f t="shared" si="5"/>
        <v>1.5255530129672007E-2</v>
      </c>
      <c r="D45" s="2317">
        <v>1</v>
      </c>
      <c r="E45" s="2316">
        <f t="shared" si="6"/>
        <v>1.5067048365225252E-2</v>
      </c>
      <c r="F45" s="2317">
        <v>1</v>
      </c>
      <c r="G45" s="2316">
        <f t="shared" si="7"/>
        <v>1.3952839402818475E-2</v>
      </c>
      <c r="H45" s="2317">
        <v>2</v>
      </c>
      <c r="I45" s="2316">
        <f t="shared" si="3"/>
        <v>2.6202017555351766E-2</v>
      </c>
      <c r="J45" s="2317">
        <v>2</v>
      </c>
      <c r="K45" s="2318">
        <f t="shared" si="4"/>
        <v>2.6574541589157584E-2</v>
      </c>
    </row>
    <row r="46" spans="1:11" ht="20.100000000000001" customHeight="1">
      <c r="A46" s="2314" t="s">
        <v>3550</v>
      </c>
      <c r="B46" s="2315">
        <v>6</v>
      </c>
      <c r="C46" s="2316">
        <f t="shared" si="5"/>
        <v>9.1533180778032047E-2</v>
      </c>
      <c r="D46" s="2317">
        <v>2</v>
      </c>
      <c r="E46" s="2316">
        <f t="shared" si="6"/>
        <v>3.0134096730450505E-2</v>
      </c>
      <c r="F46" s="2317">
        <v>3</v>
      </c>
      <c r="G46" s="2316">
        <f t="shared" si="7"/>
        <v>4.1858518208455424E-2</v>
      </c>
      <c r="H46" s="2317">
        <v>6</v>
      </c>
      <c r="I46" s="2316">
        <f t="shared" si="3"/>
        <v>7.860605266605529E-2</v>
      </c>
      <c r="J46" s="2317">
        <v>2</v>
      </c>
      <c r="K46" s="2318">
        <f t="shared" si="4"/>
        <v>2.6574541589157584E-2</v>
      </c>
    </row>
    <row r="47" spans="1:11" ht="20.100000000000001" customHeight="1">
      <c r="A47" s="2314" t="s">
        <v>3551</v>
      </c>
      <c r="B47" s="2315">
        <v>0</v>
      </c>
      <c r="C47" s="2317">
        <f t="shared" si="5"/>
        <v>0</v>
      </c>
      <c r="D47" s="2317">
        <v>0</v>
      </c>
      <c r="E47" s="2317">
        <f t="shared" si="6"/>
        <v>0</v>
      </c>
      <c r="F47" s="2317">
        <v>2</v>
      </c>
      <c r="G47" s="2320">
        <f t="shared" si="7"/>
        <v>2.7905678805636949E-2</v>
      </c>
      <c r="H47" s="2317">
        <v>0</v>
      </c>
      <c r="I47" s="2317">
        <f t="shared" si="3"/>
        <v>0</v>
      </c>
      <c r="J47" s="2317">
        <v>1</v>
      </c>
      <c r="K47" s="2318">
        <f t="shared" si="4"/>
        <v>1.3287270794578792E-2</v>
      </c>
    </row>
    <row r="48" spans="1:11" ht="20.100000000000001" customHeight="1">
      <c r="A48" s="2314" t="s">
        <v>3552</v>
      </c>
      <c r="B48" s="2315">
        <v>0</v>
      </c>
      <c r="C48" s="2317">
        <f t="shared" si="5"/>
        <v>0</v>
      </c>
      <c r="D48" s="2317">
        <v>1</v>
      </c>
      <c r="E48" s="2320">
        <f t="shared" si="6"/>
        <v>1.5067048365225252E-2</v>
      </c>
      <c r="F48" s="2317">
        <v>0</v>
      </c>
      <c r="G48" s="2323" t="s">
        <v>3249</v>
      </c>
      <c r="H48" s="2317">
        <v>0</v>
      </c>
      <c r="I48" s="2317">
        <f t="shared" si="3"/>
        <v>0</v>
      </c>
      <c r="J48" s="2317">
        <v>1</v>
      </c>
      <c r="K48" s="2318">
        <f t="shared" si="4"/>
        <v>1.3287270794578792E-2</v>
      </c>
    </row>
    <row r="49" spans="1:11" ht="20.100000000000001" customHeight="1">
      <c r="A49" s="2314" t="s">
        <v>3553</v>
      </c>
      <c r="B49" s="2315">
        <v>0</v>
      </c>
      <c r="C49" s="2317">
        <f t="shared" si="5"/>
        <v>0</v>
      </c>
      <c r="D49" s="2317">
        <v>0</v>
      </c>
      <c r="E49" s="2317">
        <f t="shared" si="6"/>
        <v>0</v>
      </c>
      <c r="F49" s="2317">
        <v>0</v>
      </c>
      <c r="G49" s="2317">
        <f t="shared" si="7"/>
        <v>0</v>
      </c>
      <c r="H49" s="2317">
        <v>1</v>
      </c>
      <c r="I49" s="2320">
        <f t="shared" si="3"/>
        <v>1.3101008777675883E-2</v>
      </c>
      <c r="J49" s="2317">
        <v>1</v>
      </c>
      <c r="K49" s="2318">
        <f t="shared" si="4"/>
        <v>1.3287270794578792E-2</v>
      </c>
    </row>
    <row r="50" spans="1:11" ht="20.100000000000001" customHeight="1">
      <c r="A50" s="2314" t="s">
        <v>3554</v>
      </c>
      <c r="B50" s="2315">
        <v>0</v>
      </c>
      <c r="C50" s="2317">
        <f t="shared" si="5"/>
        <v>0</v>
      </c>
      <c r="D50" s="2317">
        <v>1</v>
      </c>
      <c r="E50" s="2320">
        <f t="shared" si="6"/>
        <v>1.5067048365225252E-2</v>
      </c>
      <c r="F50" s="2317">
        <v>0</v>
      </c>
      <c r="G50" s="2317">
        <f t="shared" si="7"/>
        <v>0</v>
      </c>
      <c r="H50" s="2317">
        <v>9</v>
      </c>
      <c r="I50" s="2316">
        <f t="shared" si="3"/>
        <v>0.11790907899908293</v>
      </c>
      <c r="J50" s="2317">
        <v>1</v>
      </c>
      <c r="K50" s="2318">
        <f t="shared" si="4"/>
        <v>1.3287270794578792E-2</v>
      </c>
    </row>
    <row r="51" spans="1:11" ht="20.100000000000001" customHeight="1">
      <c r="A51" s="2314" t="s">
        <v>3555</v>
      </c>
      <c r="B51" s="2315">
        <v>2</v>
      </c>
      <c r="C51" s="2320">
        <f t="shared" si="5"/>
        <v>3.0511060259344015E-2</v>
      </c>
      <c r="D51" s="2317">
        <v>4</v>
      </c>
      <c r="E51" s="2316">
        <f t="shared" si="6"/>
        <v>6.0268193460901009E-2</v>
      </c>
      <c r="F51" s="2317">
        <v>0</v>
      </c>
      <c r="G51" s="2317">
        <f t="shared" si="7"/>
        <v>0</v>
      </c>
      <c r="H51" s="2317">
        <v>2</v>
      </c>
      <c r="I51" s="2316">
        <f t="shared" si="3"/>
        <v>2.6202017555351766E-2</v>
      </c>
      <c r="J51" s="2317">
        <v>1</v>
      </c>
      <c r="K51" s="2318">
        <f t="shared" si="4"/>
        <v>1.3287270794578792E-2</v>
      </c>
    </row>
    <row r="52" spans="1:11" ht="20.100000000000001" customHeight="1">
      <c r="A52" s="2314" t="s">
        <v>3556</v>
      </c>
      <c r="B52" s="2315">
        <v>5</v>
      </c>
      <c r="C52" s="2316">
        <f t="shared" si="5"/>
        <v>7.6277650648360035E-2</v>
      </c>
      <c r="D52" s="2317">
        <v>1</v>
      </c>
      <c r="E52" s="2316">
        <f t="shared" si="6"/>
        <v>1.5067048365225252E-2</v>
      </c>
      <c r="F52" s="2317">
        <v>1</v>
      </c>
      <c r="G52" s="2316">
        <f t="shared" si="7"/>
        <v>1.3952839402818475E-2</v>
      </c>
      <c r="H52" s="2317">
        <v>2</v>
      </c>
      <c r="I52" s="2316">
        <f t="shared" si="3"/>
        <v>2.6202017555351766E-2</v>
      </c>
      <c r="J52" s="2317">
        <v>1</v>
      </c>
      <c r="K52" s="2318">
        <f t="shared" si="4"/>
        <v>1.3287270794578792E-2</v>
      </c>
    </row>
    <row r="53" spans="1:11" ht="20.100000000000001" customHeight="1">
      <c r="A53" s="2314" t="s">
        <v>3557</v>
      </c>
      <c r="B53" s="2315">
        <v>2</v>
      </c>
      <c r="C53" s="2316">
        <f t="shared" si="5"/>
        <v>3.0511060259344015E-2</v>
      </c>
      <c r="D53" s="2317">
        <v>0</v>
      </c>
      <c r="E53" s="2317">
        <f t="shared" si="6"/>
        <v>0</v>
      </c>
      <c r="F53" s="2317">
        <v>1</v>
      </c>
      <c r="G53" s="2316">
        <f t="shared" si="7"/>
        <v>1.3952839402818475E-2</v>
      </c>
      <c r="H53" s="2317">
        <v>0</v>
      </c>
      <c r="I53" s="2316">
        <f t="shared" si="3"/>
        <v>0</v>
      </c>
      <c r="J53" s="2317">
        <v>0</v>
      </c>
      <c r="K53" s="2324">
        <f t="shared" si="4"/>
        <v>0</v>
      </c>
    </row>
    <row r="54" spans="1:11" ht="20.100000000000001" customHeight="1">
      <c r="A54" s="2314" t="s">
        <v>3558</v>
      </c>
      <c r="B54" s="2315">
        <v>4</v>
      </c>
      <c r="C54" s="2316">
        <f t="shared" si="5"/>
        <v>6.1022120518688029E-2</v>
      </c>
      <c r="D54" s="2317">
        <v>3</v>
      </c>
      <c r="E54" s="2316">
        <f t="shared" si="6"/>
        <v>4.5201145095675757E-2</v>
      </c>
      <c r="F54" s="2317">
        <v>1</v>
      </c>
      <c r="G54" s="2316">
        <f t="shared" si="7"/>
        <v>1.3952839402818475E-2</v>
      </c>
      <c r="H54" s="2317">
        <v>0</v>
      </c>
      <c r="I54" s="2316">
        <f t="shared" si="3"/>
        <v>0</v>
      </c>
      <c r="J54" s="2317">
        <v>0</v>
      </c>
      <c r="K54" s="2324">
        <f t="shared" si="4"/>
        <v>0</v>
      </c>
    </row>
    <row r="55" spans="1:11" ht="20.100000000000001" customHeight="1">
      <c r="A55" s="2314" t="s">
        <v>3559</v>
      </c>
      <c r="B55" s="2315">
        <v>2</v>
      </c>
      <c r="C55" s="2316">
        <f t="shared" si="5"/>
        <v>3.0511060259344015E-2</v>
      </c>
      <c r="D55" s="2317">
        <v>0</v>
      </c>
      <c r="E55" s="2317">
        <f t="shared" si="6"/>
        <v>0</v>
      </c>
      <c r="F55" s="2317">
        <v>2</v>
      </c>
      <c r="G55" s="2316">
        <f t="shared" si="7"/>
        <v>2.7905678805636949E-2</v>
      </c>
      <c r="H55" s="2317">
        <v>1</v>
      </c>
      <c r="I55" s="2316">
        <f t="shared" si="3"/>
        <v>1.3101008777675883E-2</v>
      </c>
      <c r="J55" s="2317">
        <v>0</v>
      </c>
      <c r="K55" s="2324">
        <f t="shared" si="4"/>
        <v>0</v>
      </c>
    </row>
    <row r="56" spans="1:11" ht="20.100000000000001" customHeight="1">
      <c r="A56" s="2314" t="s">
        <v>3560</v>
      </c>
      <c r="B56" s="2315">
        <v>1</v>
      </c>
      <c r="C56" s="2320">
        <f t="shared" si="5"/>
        <v>1.5255530129672007E-2</v>
      </c>
      <c r="D56" s="2317">
        <v>0</v>
      </c>
      <c r="E56" s="2317">
        <f t="shared" si="6"/>
        <v>0</v>
      </c>
      <c r="F56" s="2317">
        <v>1</v>
      </c>
      <c r="G56" s="2320">
        <f t="shared" si="7"/>
        <v>1.3952839402818475E-2</v>
      </c>
      <c r="H56" s="2317">
        <v>3</v>
      </c>
      <c r="I56" s="2316">
        <f t="shared" si="3"/>
        <v>3.9303026333027645E-2</v>
      </c>
      <c r="J56" s="2317">
        <v>0</v>
      </c>
      <c r="K56" s="2324">
        <f t="shared" si="4"/>
        <v>0</v>
      </c>
    </row>
    <row r="57" spans="1:11" ht="20.100000000000001" customHeight="1">
      <c r="A57" s="2314" t="s">
        <v>3561</v>
      </c>
      <c r="B57" s="2315">
        <v>2</v>
      </c>
      <c r="C57" s="2316">
        <f t="shared" si="5"/>
        <v>3.0511060259344015E-2</v>
      </c>
      <c r="D57" s="2317">
        <v>0</v>
      </c>
      <c r="E57" s="2317">
        <f t="shared" si="6"/>
        <v>0</v>
      </c>
      <c r="F57" s="2317">
        <v>0</v>
      </c>
      <c r="G57" s="2317">
        <f t="shared" si="7"/>
        <v>0</v>
      </c>
      <c r="H57" s="2317">
        <v>3</v>
      </c>
      <c r="I57" s="2316">
        <f t="shared" si="3"/>
        <v>3.9303026333027645E-2</v>
      </c>
      <c r="J57" s="2317">
        <v>0</v>
      </c>
      <c r="K57" s="2324">
        <f t="shared" si="4"/>
        <v>0</v>
      </c>
    </row>
    <row r="58" spans="1:11" ht="20.100000000000001" customHeight="1">
      <c r="A58" s="2325" t="s">
        <v>3562</v>
      </c>
      <c r="B58" s="2326">
        <v>3</v>
      </c>
      <c r="C58" s="2327">
        <f t="shared" si="5"/>
        <v>4.5766590389016024E-2</v>
      </c>
      <c r="D58" s="2328">
        <v>2</v>
      </c>
      <c r="E58" s="2327">
        <f t="shared" si="6"/>
        <v>3.0134096730450505E-2</v>
      </c>
      <c r="F58" s="2328">
        <v>0</v>
      </c>
      <c r="G58" s="2328">
        <f t="shared" si="7"/>
        <v>0</v>
      </c>
      <c r="H58" s="2328">
        <v>5</v>
      </c>
      <c r="I58" s="2327">
        <f t="shared" si="3"/>
        <v>6.5505043888379397E-2</v>
      </c>
      <c r="J58" s="2328">
        <v>0</v>
      </c>
      <c r="K58" s="2329">
        <f t="shared" si="4"/>
        <v>0</v>
      </c>
    </row>
    <row r="59" spans="1:11" ht="20.100000000000001" customHeight="1">
      <c r="A59" s="2303" t="s">
        <v>925</v>
      </c>
      <c r="B59" s="2330"/>
      <c r="C59" s="2331"/>
      <c r="D59" s="2330"/>
      <c r="E59" s="2331"/>
      <c r="F59" s="2330"/>
      <c r="G59" s="2331"/>
    </row>
    <row r="60" spans="1:11" ht="20.100000000000001" customHeight="1"/>
  </sheetData>
  <mergeCells count="7">
    <mergeCell ref="A1:K1"/>
    <mergeCell ref="A2:A3"/>
    <mergeCell ref="B2:C2"/>
    <mergeCell ref="D2:E2"/>
    <mergeCell ref="F2:G2"/>
    <mergeCell ref="H2:I2"/>
    <mergeCell ref="J2:K2"/>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8" firstPageNumber="262" orientation="landscape" r:id="rId1"/>
  <headerFooter differentOddEven="1" scaleWithDoc="0">
    <oddHeader>&amp;L&amp;"Times New Roman,標準"&amp;8 107&amp;"標楷體,標準"年犯罪狀況及其分析</oddHeader>
    <evenHeader>&amp;R&amp;"標楷體,標準"&amp;8第四篇　特定類型犯罪者之犯罪趨勢與處遇</evenHead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C89"/>
  <sheetViews>
    <sheetView showGridLines="0" topLeftCell="A13" zoomScale="81" zoomScaleNormal="73" workbookViewId="0">
      <selection activeCell="A18" sqref="A18:H18"/>
    </sheetView>
  </sheetViews>
  <sheetFormatPr defaultRowHeight="15.75"/>
  <cols>
    <col min="1" max="1" width="25.375" style="2334" customWidth="1"/>
    <col min="2" max="3" width="12.625" style="2334" customWidth="1"/>
    <col min="4" max="4" width="10.625" style="2334" customWidth="1"/>
    <col min="5" max="6" width="12.625" style="2334" customWidth="1"/>
    <col min="7" max="7" width="10.625" style="2334" customWidth="1"/>
    <col min="8" max="8" width="12.625" style="2372" customWidth="1"/>
    <col min="9" max="9" width="12.625" style="2334" customWidth="1"/>
    <col min="10" max="10" width="10.625" style="2334" customWidth="1"/>
    <col min="11" max="11" width="12.625" style="2372" customWidth="1"/>
    <col min="12" max="12" width="12.625" style="2334" customWidth="1"/>
    <col min="13" max="13" width="10.625" style="2334" customWidth="1"/>
    <col min="14" max="14" width="12.625" style="2372" customWidth="1"/>
    <col min="15" max="15" width="12.625" style="2334" customWidth="1"/>
    <col min="16" max="16" width="10.625" style="2334" customWidth="1"/>
    <col min="17" max="17" width="9" style="2334"/>
    <col min="18" max="18" width="19.5" style="2334" customWidth="1"/>
    <col min="19" max="256" width="9" style="2334"/>
    <col min="257" max="257" width="25.375" style="2334" customWidth="1"/>
    <col min="258" max="258" width="8.875" style="2334" customWidth="1"/>
    <col min="259" max="259" width="6.875" style="2334" customWidth="1"/>
    <col min="260" max="260" width="6.375" style="2334" customWidth="1"/>
    <col min="261" max="261" width="8.25" style="2334" customWidth="1"/>
    <col min="262" max="262" width="6.875" style="2334" customWidth="1"/>
    <col min="263" max="263" width="6.375" style="2334" customWidth="1"/>
    <col min="264" max="264" width="8.125" style="2334" customWidth="1"/>
    <col min="265" max="265" width="6.875" style="2334" customWidth="1"/>
    <col min="266" max="266" width="6.125" style="2334" customWidth="1"/>
    <col min="267" max="267" width="8.125" style="2334" customWidth="1"/>
    <col min="268" max="268" width="6.875" style="2334" customWidth="1"/>
    <col min="269" max="269" width="6.125" style="2334" customWidth="1"/>
    <col min="270" max="270" width="8.125" style="2334" customWidth="1"/>
    <col min="271" max="271" width="6.875" style="2334" customWidth="1"/>
    <col min="272" max="272" width="6.125" style="2334" customWidth="1"/>
    <col min="273" max="512" width="9" style="2334"/>
    <col min="513" max="513" width="25.375" style="2334" customWidth="1"/>
    <col min="514" max="514" width="8.875" style="2334" customWidth="1"/>
    <col min="515" max="515" width="6.875" style="2334" customWidth="1"/>
    <col min="516" max="516" width="6.375" style="2334" customWidth="1"/>
    <col min="517" max="517" width="8.25" style="2334" customWidth="1"/>
    <col min="518" max="518" width="6.875" style="2334" customWidth="1"/>
    <col min="519" max="519" width="6.375" style="2334" customWidth="1"/>
    <col min="520" max="520" width="8.125" style="2334" customWidth="1"/>
    <col min="521" max="521" width="6.875" style="2334" customWidth="1"/>
    <col min="522" max="522" width="6.125" style="2334" customWidth="1"/>
    <col min="523" max="523" width="8.125" style="2334" customWidth="1"/>
    <col min="524" max="524" width="6.875" style="2334" customWidth="1"/>
    <col min="525" max="525" width="6.125" style="2334" customWidth="1"/>
    <col min="526" max="526" width="8.125" style="2334" customWidth="1"/>
    <col min="527" max="527" width="6.875" style="2334" customWidth="1"/>
    <col min="528" max="528" width="6.125" style="2334" customWidth="1"/>
    <col min="529" max="768" width="9" style="2334"/>
    <col min="769" max="769" width="25.375" style="2334" customWidth="1"/>
    <col min="770" max="770" width="8.875" style="2334" customWidth="1"/>
    <col min="771" max="771" width="6.875" style="2334" customWidth="1"/>
    <col min="772" max="772" width="6.375" style="2334" customWidth="1"/>
    <col min="773" max="773" width="8.25" style="2334" customWidth="1"/>
    <col min="774" max="774" width="6.875" style="2334" customWidth="1"/>
    <col min="775" max="775" width="6.375" style="2334" customWidth="1"/>
    <col min="776" max="776" width="8.125" style="2334" customWidth="1"/>
    <col min="777" max="777" width="6.875" style="2334" customWidth="1"/>
    <col min="778" max="778" width="6.125" style="2334" customWidth="1"/>
    <col min="779" max="779" width="8.125" style="2334" customWidth="1"/>
    <col min="780" max="780" width="6.875" style="2334" customWidth="1"/>
    <col min="781" max="781" width="6.125" style="2334" customWidth="1"/>
    <col min="782" max="782" width="8.125" style="2334" customWidth="1"/>
    <col min="783" max="783" width="6.875" style="2334" customWidth="1"/>
    <col min="784" max="784" width="6.125" style="2334" customWidth="1"/>
    <col min="785" max="1024" width="9" style="2334"/>
    <col min="1025" max="1025" width="25.375" style="2334" customWidth="1"/>
    <col min="1026" max="1026" width="8.875" style="2334" customWidth="1"/>
    <col min="1027" max="1027" width="6.875" style="2334" customWidth="1"/>
    <col min="1028" max="1028" width="6.375" style="2334" customWidth="1"/>
    <col min="1029" max="1029" width="8.25" style="2334" customWidth="1"/>
    <col min="1030" max="1030" width="6.875" style="2334" customWidth="1"/>
    <col min="1031" max="1031" width="6.375" style="2334" customWidth="1"/>
    <col min="1032" max="1032" width="8.125" style="2334" customWidth="1"/>
    <col min="1033" max="1033" width="6.875" style="2334" customWidth="1"/>
    <col min="1034" max="1034" width="6.125" style="2334" customWidth="1"/>
    <col min="1035" max="1035" width="8.125" style="2334" customWidth="1"/>
    <col min="1036" max="1036" width="6.875" style="2334" customWidth="1"/>
    <col min="1037" max="1037" width="6.125" style="2334" customWidth="1"/>
    <col min="1038" max="1038" width="8.125" style="2334" customWidth="1"/>
    <col min="1039" max="1039" width="6.875" style="2334" customWidth="1"/>
    <col min="1040" max="1040" width="6.125" style="2334" customWidth="1"/>
    <col min="1041" max="1280" width="9" style="2334"/>
    <col min="1281" max="1281" width="25.375" style="2334" customWidth="1"/>
    <col min="1282" max="1282" width="8.875" style="2334" customWidth="1"/>
    <col min="1283" max="1283" width="6.875" style="2334" customWidth="1"/>
    <col min="1284" max="1284" width="6.375" style="2334" customWidth="1"/>
    <col min="1285" max="1285" width="8.25" style="2334" customWidth="1"/>
    <col min="1286" max="1286" width="6.875" style="2334" customWidth="1"/>
    <col min="1287" max="1287" width="6.375" style="2334" customWidth="1"/>
    <col min="1288" max="1288" width="8.125" style="2334" customWidth="1"/>
    <col min="1289" max="1289" width="6.875" style="2334" customWidth="1"/>
    <col min="1290" max="1290" width="6.125" style="2334" customWidth="1"/>
    <col min="1291" max="1291" width="8.125" style="2334" customWidth="1"/>
    <col min="1292" max="1292" width="6.875" style="2334" customWidth="1"/>
    <col min="1293" max="1293" width="6.125" style="2334" customWidth="1"/>
    <col min="1294" max="1294" width="8.125" style="2334" customWidth="1"/>
    <col min="1295" max="1295" width="6.875" style="2334" customWidth="1"/>
    <col min="1296" max="1296" width="6.125" style="2334" customWidth="1"/>
    <col min="1297" max="1536" width="9" style="2334"/>
    <col min="1537" max="1537" width="25.375" style="2334" customWidth="1"/>
    <col min="1538" max="1538" width="8.875" style="2334" customWidth="1"/>
    <col min="1539" max="1539" width="6.875" style="2334" customWidth="1"/>
    <col min="1540" max="1540" width="6.375" style="2334" customWidth="1"/>
    <col min="1541" max="1541" width="8.25" style="2334" customWidth="1"/>
    <col min="1542" max="1542" width="6.875" style="2334" customWidth="1"/>
    <col min="1543" max="1543" width="6.375" style="2334" customWidth="1"/>
    <col min="1544" max="1544" width="8.125" style="2334" customWidth="1"/>
    <col min="1545" max="1545" width="6.875" style="2334" customWidth="1"/>
    <col min="1546" max="1546" width="6.125" style="2334" customWidth="1"/>
    <col min="1547" max="1547" width="8.125" style="2334" customWidth="1"/>
    <col min="1548" max="1548" width="6.875" style="2334" customWidth="1"/>
    <col min="1549" max="1549" width="6.125" style="2334" customWidth="1"/>
    <col min="1550" max="1550" width="8.125" style="2334" customWidth="1"/>
    <col min="1551" max="1551" width="6.875" style="2334" customWidth="1"/>
    <col min="1552" max="1552" width="6.125" style="2334" customWidth="1"/>
    <col min="1553" max="1792" width="9" style="2334"/>
    <col min="1793" max="1793" width="25.375" style="2334" customWidth="1"/>
    <col min="1794" max="1794" width="8.875" style="2334" customWidth="1"/>
    <col min="1795" max="1795" width="6.875" style="2334" customWidth="1"/>
    <col min="1796" max="1796" width="6.375" style="2334" customWidth="1"/>
    <col min="1797" max="1797" width="8.25" style="2334" customWidth="1"/>
    <col min="1798" max="1798" width="6.875" style="2334" customWidth="1"/>
    <col min="1799" max="1799" width="6.375" style="2334" customWidth="1"/>
    <col min="1800" max="1800" width="8.125" style="2334" customWidth="1"/>
    <col min="1801" max="1801" width="6.875" style="2334" customWidth="1"/>
    <col min="1802" max="1802" width="6.125" style="2334" customWidth="1"/>
    <col min="1803" max="1803" width="8.125" style="2334" customWidth="1"/>
    <col min="1804" max="1804" width="6.875" style="2334" customWidth="1"/>
    <col min="1805" max="1805" width="6.125" style="2334" customWidth="1"/>
    <col min="1806" max="1806" width="8.125" style="2334" customWidth="1"/>
    <col min="1807" max="1807" width="6.875" style="2334" customWidth="1"/>
    <col min="1808" max="1808" width="6.125" style="2334" customWidth="1"/>
    <col min="1809" max="2048" width="9" style="2334"/>
    <col min="2049" max="2049" width="25.375" style="2334" customWidth="1"/>
    <col min="2050" max="2050" width="8.875" style="2334" customWidth="1"/>
    <col min="2051" max="2051" width="6.875" style="2334" customWidth="1"/>
    <col min="2052" max="2052" width="6.375" style="2334" customWidth="1"/>
    <col min="2053" max="2053" width="8.25" style="2334" customWidth="1"/>
    <col min="2054" max="2054" width="6.875" style="2334" customWidth="1"/>
    <col min="2055" max="2055" width="6.375" style="2334" customWidth="1"/>
    <col min="2056" max="2056" width="8.125" style="2334" customWidth="1"/>
    <col min="2057" max="2057" width="6.875" style="2334" customWidth="1"/>
    <col min="2058" max="2058" width="6.125" style="2334" customWidth="1"/>
    <col min="2059" max="2059" width="8.125" style="2334" customWidth="1"/>
    <col min="2060" max="2060" width="6.875" style="2334" customWidth="1"/>
    <col min="2061" max="2061" width="6.125" style="2334" customWidth="1"/>
    <col min="2062" max="2062" width="8.125" style="2334" customWidth="1"/>
    <col min="2063" max="2063" width="6.875" style="2334" customWidth="1"/>
    <col min="2064" max="2064" width="6.125" style="2334" customWidth="1"/>
    <col min="2065" max="2304" width="9" style="2334"/>
    <col min="2305" max="2305" width="25.375" style="2334" customWidth="1"/>
    <col min="2306" max="2306" width="8.875" style="2334" customWidth="1"/>
    <col min="2307" max="2307" width="6.875" style="2334" customWidth="1"/>
    <col min="2308" max="2308" width="6.375" style="2334" customWidth="1"/>
    <col min="2309" max="2309" width="8.25" style="2334" customWidth="1"/>
    <col min="2310" max="2310" width="6.875" style="2334" customWidth="1"/>
    <col min="2311" max="2311" width="6.375" style="2334" customWidth="1"/>
    <col min="2312" max="2312" width="8.125" style="2334" customWidth="1"/>
    <col min="2313" max="2313" width="6.875" style="2334" customWidth="1"/>
    <col min="2314" max="2314" width="6.125" style="2334" customWidth="1"/>
    <col min="2315" max="2315" width="8.125" style="2334" customWidth="1"/>
    <col min="2316" max="2316" width="6.875" style="2334" customWidth="1"/>
    <col min="2317" max="2317" width="6.125" style="2334" customWidth="1"/>
    <col min="2318" max="2318" width="8.125" style="2334" customWidth="1"/>
    <col min="2319" max="2319" width="6.875" style="2334" customWidth="1"/>
    <col min="2320" max="2320" width="6.125" style="2334" customWidth="1"/>
    <col min="2321" max="2560" width="9" style="2334"/>
    <col min="2561" max="2561" width="25.375" style="2334" customWidth="1"/>
    <col min="2562" max="2562" width="8.875" style="2334" customWidth="1"/>
    <col min="2563" max="2563" width="6.875" style="2334" customWidth="1"/>
    <col min="2564" max="2564" width="6.375" style="2334" customWidth="1"/>
    <col min="2565" max="2565" width="8.25" style="2334" customWidth="1"/>
    <col min="2566" max="2566" width="6.875" style="2334" customWidth="1"/>
    <col min="2567" max="2567" width="6.375" style="2334" customWidth="1"/>
    <col min="2568" max="2568" width="8.125" style="2334" customWidth="1"/>
    <col min="2569" max="2569" width="6.875" style="2334" customWidth="1"/>
    <col min="2570" max="2570" width="6.125" style="2334" customWidth="1"/>
    <col min="2571" max="2571" width="8.125" style="2334" customWidth="1"/>
    <col min="2572" max="2572" width="6.875" style="2334" customWidth="1"/>
    <col min="2573" max="2573" width="6.125" style="2334" customWidth="1"/>
    <col min="2574" max="2574" width="8.125" style="2334" customWidth="1"/>
    <col min="2575" max="2575" width="6.875" style="2334" customWidth="1"/>
    <col min="2576" max="2576" width="6.125" style="2334" customWidth="1"/>
    <col min="2577" max="2816" width="9" style="2334"/>
    <col min="2817" max="2817" width="25.375" style="2334" customWidth="1"/>
    <col min="2818" max="2818" width="8.875" style="2334" customWidth="1"/>
    <col min="2819" max="2819" width="6.875" style="2334" customWidth="1"/>
    <col min="2820" max="2820" width="6.375" style="2334" customWidth="1"/>
    <col min="2821" max="2821" width="8.25" style="2334" customWidth="1"/>
    <col min="2822" max="2822" width="6.875" style="2334" customWidth="1"/>
    <col min="2823" max="2823" width="6.375" style="2334" customWidth="1"/>
    <col min="2824" max="2824" width="8.125" style="2334" customWidth="1"/>
    <col min="2825" max="2825" width="6.875" style="2334" customWidth="1"/>
    <col min="2826" max="2826" width="6.125" style="2334" customWidth="1"/>
    <col min="2827" max="2827" width="8.125" style="2334" customWidth="1"/>
    <col min="2828" max="2828" width="6.875" style="2334" customWidth="1"/>
    <col min="2829" max="2829" width="6.125" style="2334" customWidth="1"/>
    <col min="2830" max="2830" width="8.125" style="2334" customWidth="1"/>
    <col min="2831" max="2831" width="6.875" style="2334" customWidth="1"/>
    <col min="2832" max="2832" width="6.125" style="2334" customWidth="1"/>
    <col min="2833" max="3072" width="9" style="2334"/>
    <col min="3073" max="3073" width="25.375" style="2334" customWidth="1"/>
    <col min="3074" max="3074" width="8.875" style="2334" customWidth="1"/>
    <col min="3075" max="3075" width="6.875" style="2334" customWidth="1"/>
    <col min="3076" max="3076" width="6.375" style="2334" customWidth="1"/>
    <col min="3077" max="3077" width="8.25" style="2334" customWidth="1"/>
    <col min="3078" max="3078" width="6.875" style="2334" customWidth="1"/>
    <col min="3079" max="3079" width="6.375" style="2334" customWidth="1"/>
    <col min="3080" max="3080" width="8.125" style="2334" customWidth="1"/>
    <col min="3081" max="3081" width="6.875" style="2334" customWidth="1"/>
    <col min="3082" max="3082" width="6.125" style="2334" customWidth="1"/>
    <col min="3083" max="3083" width="8.125" style="2334" customWidth="1"/>
    <col min="3084" max="3084" width="6.875" style="2334" customWidth="1"/>
    <col min="3085" max="3085" width="6.125" style="2334" customWidth="1"/>
    <col min="3086" max="3086" width="8.125" style="2334" customWidth="1"/>
    <col min="3087" max="3087" width="6.875" style="2334" customWidth="1"/>
    <col min="3088" max="3088" width="6.125" style="2334" customWidth="1"/>
    <col min="3089" max="3328" width="9" style="2334"/>
    <col min="3329" max="3329" width="25.375" style="2334" customWidth="1"/>
    <col min="3330" max="3330" width="8.875" style="2334" customWidth="1"/>
    <col min="3331" max="3331" width="6.875" style="2334" customWidth="1"/>
    <col min="3332" max="3332" width="6.375" style="2334" customWidth="1"/>
    <col min="3333" max="3333" width="8.25" style="2334" customWidth="1"/>
    <col min="3334" max="3334" width="6.875" style="2334" customWidth="1"/>
    <col min="3335" max="3335" width="6.375" style="2334" customWidth="1"/>
    <col min="3336" max="3336" width="8.125" style="2334" customWidth="1"/>
    <col min="3337" max="3337" width="6.875" style="2334" customWidth="1"/>
    <col min="3338" max="3338" width="6.125" style="2334" customWidth="1"/>
    <col min="3339" max="3339" width="8.125" style="2334" customWidth="1"/>
    <col min="3340" max="3340" width="6.875" style="2334" customWidth="1"/>
    <col min="3341" max="3341" width="6.125" style="2334" customWidth="1"/>
    <col min="3342" max="3342" width="8.125" style="2334" customWidth="1"/>
    <col min="3343" max="3343" width="6.875" style="2334" customWidth="1"/>
    <col min="3344" max="3344" width="6.125" style="2334" customWidth="1"/>
    <col min="3345" max="3584" width="9" style="2334"/>
    <col min="3585" max="3585" width="25.375" style="2334" customWidth="1"/>
    <col min="3586" max="3586" width="8.875" style="2334" customWidth="1"/>
    <col min="3587" max="3587" width="6.875" style="2334" customWidth="1"/>
    <col min="3588" max="3588" width="6.375" style="2334" customWidth="1"/>
    <col min="3589" max="3589" width="8.25" style="2334" customWidth="1"/>
    <col min="3590" max="3590" width="6.875" style="2334" customWidth="1"/>
    <col min="3591" max="3591" width="6.375" style="2334" customWidth="1"/>
    <col min="3592" max="3592" width="8.125" style="2334" customWidth="1"/>
    <col min="3593" max="3593" width="6.875" style="2334" customWidth="1"/>
    <col min="3594" max="3594" width="6.125" style="2334" customWidth="1"/>
    <col min="3595" max="3595" width="8.125" style="2334" customWidth="1"/>
    <col min="3596" max="3596" width="6.875" style="2334" customWidth="1"/>
    <col min="3597" max="3597" width="6.125" style="2334" customWidth="1"/>
    <col min="3598" max="3598" width="8.125" style="2334" customWidth="1"/>
    <col min="3599" max="3599" width="6.875" style="2334" customWidth="1"/>
    <col min="3600" max="3600" width="6.125" style="2334" customWidth="1"/>
    <col min="3601" max="3840" width="9" style="2334"/>
    <col min="3841" max="3841" width="25.375" style="2334" customWidth="1"/>
    <col min="3842" max="3842" width="8.875" style="2334" customWidth="1"/>
    <col min="3843" max="3843" width="6.875" style="2334" customWidth="1"/>
    <col min="3844" max="3844" width="6.375" style="2334" customWidth="1"/>
    <col min="3845" max="3845" width="8.25" style="2334" customWidth="1"/>
    <col min="3846" max="3846" width="6.875" style="2334" customWidth="1"/>
    <col min="3847" max="3847" width="6.375" style="2334" customWidth="1"/>
    <col min="3848" max="3848" width="8.125" style="2334" customWidth="1"/>
    <col min="3849" max="3849" width="6.875" style="2334" customWidth="1"/>
    <col min="3850" max="3850" width="6.125" style="2334" customWidth="1"/>
    <col min="3851" max="3851" width="8.125" style="2334" customWidth="1"/>
    <col min="3852" max="3852" width="6.875" style="2334" customWidth="1"/>
    <col min="3853" max="3853" width="6.125" style="2334" customWidth="1"/>
    <col min="3854" max="3854" width="8.125" style="2334" customWidth="1"/>
    <col min="3855" max="3855" width="6.875" style="2334" customWidth="1"/>
    <col min="3856" max="3856" width="6.125" style="2334" customWidth="1"/>
    <col min="3857" max="4096" width="9" style="2334"/>
    <col min="4097" max="4097" width="25.375" style="2334" customWidth="1"/>
    <col min="4098" max="4098" width="8.875" style="2334" customWidth="1"/>
    <col min="4099" max="4099" width="6.875" style="2334" customWidth="1"/>
    <col min="4100" max="4100" width="6.375" style="2334" customWidth="1"/>
    <col min="4101" max="4101" width="8.25" style="2334" customWidth="1"/>
    <col min="4102" max="4102" width="6.875" style="2334" customWidth="1"/>
    <col min="4103" max="4103" width="6.375" style="2334" customWidth="1"/>
    <col min="4104" max="4104" width="8.125" style="2334" customWidth="1"/>
    <col min="4105" max="4105" width="6.875" style="2334" customWidth="1"/>
    <col min="4106" max="4106" width="6.125" style="2334" customWidth="1"/>
    <col min="4107" max="4107" width="8.125" style="2334" customWidth="1"/>
    <col min="4108" max="4108" width="6.875" style="2334" customWidth="1"/>
    <col min="4109" max="4109" width="6.125" style="2334" customWidth="1"/>
    <col min="4110" max="4110" width="8.125" style="2334" customWidth="1"/>
    <col min="4111" max="4111" width="6.875" style="2334" customWidth="1"/>
    <col min="4112" max="4112" width="6.125" style="2334" customWidth="1"/>
    <col min="4113" max="4352" width="9" style="2334"/>
    <col min="4353" max="4353" width="25.375" style="2334" customWidth="1"/>
    <col min="4354" max="4354" width="8.875" style="2334" customWidth="1"/>
    <col min="4355" max="4355" width="6.875" style="2334" customWidth="1"/>
    <col min="4356" max="4356" width="6.375" style="2334" customWidth="1"/>
    <col min="4357" max="4357" width="8.25" style="2334" customWidth="1"/>
    <col min="4358" max="4358" width="6.875" style="2334" customWidth="1"/>
    <col min="4359" max="4359" width="6.375" style="2334" customWidth="1"/>
    <col min="4360" max="4360" width="8.125" style="2334" customWidth="1"/>
    <col min="4361" max="4361" width="6.875" style="2334" customWidth="1"/>
    <col min="4362" max="4362" width="6.125" style="2334" customWidth="1"/>
    <col min="4363" max="4363" width="8.125" style="2334" customWidth="1"/>
    <col min="4364" max="4364" width="6.875" style="2334" customWidth="1"/>
    <col min="4365" max="4365" width="6.125" style="2334" customWidth="1"/>
    <col min="4366" max="4366" width="8.125" style="2334" customWidth="1"/>
    <col min="4367" max="4367" width="6.875" style="2334" customWidth="1"/>
    <col min="4368" max="4368" width="6.125" style="2334" customWidth="1"/>
    <col min="4369" max="4608" width="9" style="2334"/>
    <col min="4609" max="4609" width="25.375" style="2334" customWidth="1"/>
    <col min="4610" max="4610" width="8.875" style="2334" customWidth="1"/>
    <col min="4611" max="4611" width="6.875" style="2334" customWidth="1"/>
    <col min="4612" max="4612" width="6.375" style="2334" customWidth="1"/>
    <col min="4613" max="4613" width="8.25" style="2334" customWidth="1"/>
    <col min="4614" max="4614" width="6.875" style="2334" customWidth="1"/>
    <col min="4615" max="4615" width="6.375" style="2334" customWidth="1"/>
    <col min="4616" max="4616" width="8.125" style="2334" customWidth="1"/>
    <col min="4617" max="4617" width="6.875" style="2334" customWidth="1"/>
    <col min="4618" max="4618" width="6.125" style="2334" customWidth="1"/>
    <col min="4619" max="4619" width="8.125" style="2334" customWidth="1"/>
    <col min="4620" max="4620" width="6.875" style="2334" customWidth="1"/>
    <col min="4621" max="4621" width="6.125" style="2334" customWidth="1"/>
    <col min="4622" max="4622" width="8.125" style="2334" customWidth="1"/>
    <col min="4623" max="4623" width="6.875" style="2334" customWidth="1"/>
    <col min="4624" max="4624" width="6.125" style="2334" customWidth="1"/>
    <col min="4625" max="4864" width="9" style="2334"/>
    <col min="4865" max="4865" width="25.375" style="2334" customWidth="1"/>
    <col min="4866" max="4866" width="8.875" style="2334" customWidth="1"/>
    <col min="4867" max="4867" width="6.875" style="2334" customWidth="1"/>
    <col min="4868" max="4868" width="6.375" style="2334" customWidth="1"/>
    <col min="4869" max="4869" width="8.25" style="2334" customWidth="1"/>
    <col min="4870" max="4870" width="6.875" style="2334" customWidth="1"/>
    <col min="4871" max="4871" width="6.375" style="2334" customWidth="1"/>
    <col min="4872" max="4872" width="8.125" style="2334" customWidth="1"/>
    <col min="4873" max="4873" width="6.875" style="2334" customWidth="1"/>
    <col min="4874" max="4874" width="6.125" style="2334" customWidth="1"/>
    <col min="4875" max="4875" width="8.125" style="2334" customWidth="1"/>
    <col min="4876" max="4876" width="6.875" style="2334" customWidth="1"/>
    <col min="4877" max="4877" width="6.125" style="2334" customWidth="1"/>
    <col min="4878" max="4878" width="8.125" style="2334" customWidth="1"/>
    <col min="4879" max="4879" width="6.875" style="2334" customWidth="1"/>
    <col min="4880" max="4880" width="6.125" style="2334" customWidth="1"/>
    <col min="4881" max="5120" width="9" style="2334"/>
    <col min="5121" max="5121" width="25.375" style="2334" customWidth="1"/>
    <col min="5122" max="5122" width="8.875" style="2334" customWidth="1"/>
    <col min="5123" max="5123" width="6.875" style="2334" customWidth="1"/>
    <col min="5124" max="5124" width="6.375" style="2334" customWidth="1"/>
    <col min="5125" max="5125" width="8.25" style="2334" customWidth="1"/>
    <col min="5126" max="5126" width="6.875" style="2334" customWidth="1"/>
    <col min="5127" max="5127" width="6.375" style="2334" customWidth="1"/>
    <col min="5128" max="5128" width="8.125" style="2334" customWidth="1"/>
    <col min="5129" max="5129" width="6.875" style="2334" customWidth="1"/>
    <col min="5130" max="5130" width="6.125" style="2334" customWidth="1"/>
    <col min="5131" max="5131" width="8.125" style="2334" customWidth="1"/>
    <col min="5132" max="5132" width="6.875" style="2334" customWidth="1"/>
    <col min="5133" max="5133" width="6.125" style="2334" customWidth="1"/>
    <col min="5134" max="5134" width="8.125" style="2334" customWidth="1"/>
    <col min="5135" max="5135" width="6.875" style="2334" customWidth="1"/>
    <col min="5136" max="5136" width="6.125" style="2334" customWidth="1"/>
    <col min="5137" max="5376" width="9" style="2334"/>
    <col min="5377" max="5377" width="25.375" style="2334" customWidth="1"/>
    <col min="5378" max="5378" width="8.875" style="2334" customWidth="1"/>
    <col min="5379" max="5379" width="6.875" style="2334" customWidth="1"/>
    <col min="5380" max="5380" width="6.375" style="2334" customWidth="1"/>
    <col min="5381" max="5381" width="8.25" style="2334" customWidth="1"/>
    <col min="5382" max="5382" width="6.875" style="2334" customWidth="1"/>
    <col min="5383" max="5383" width="6.375" style="2334" customWidth="1"/>
    <col min="5384" max="5384" width="8.125" style="2334" customWidth="1"/>
    <col min="5385" max="5385" width="6.875" style="2334" customWidth="1"/>
    <col min="5386" max="5386" width="6.125" style="2334" customWidth="1"/>
    <col min="5387" max="5387" width="8.125" style="2334" customWidth="1"/>
    <col min="5388" max="5388" width="6.875" style="2334" customWidth="1"/>
    <col min="5389" max="5389" width="6.125" style="2334" customWidth="1"/>
    <col min="5390" max="5390" width="8.125" style="2334" customWidth="1"/>
    <col min="5391" max="5391" width="6.875" style="2334" customWidth="1"/>
    <col min="5392" max="5392" width="6.125" style="2334" customWidth="1"/>
    <col min="5393" max="5632" width="9" style="2334"/>
    <col min="5633" max="5633" width="25.375" style="2334" customWidth="1"/>
    <col min="5634" max="5634" width="8.875" style="2334" customWidth="1"/>
    <col min="5635" max="5635" width="6.875" style="2334" customWidth="1"/>
    <col min="5636" max="5636" width="6.375" style="2334" customWidth="1"/>
    <col min="5637" max="5637" width="8.25" style="2334" customWidth="1"/>
    <col min="5638" max="5638" width="6.875" style="2334" customWidth="1"/>
    <col min="5639" max="5639" width="6.375" style="2334" customWidth="1"/>
    <col min="5640" max="5640" width="8.125" style="2334" customWidth="1"/>
    <col min="5641" max="5641" width="6.875" style="2334" customWidth="1"/>
    <col min="5642" max="5642" width="6.125" style="2334" customWidth="1"/>
    <col min="5643" max="5643" width="8.125" style="2334" customWidth="1"/>
    <col min="5644" max="5644" width="6.875" style="2334" customWidth="1"/>
    <col min="5645" max="5645" width="6.125" style="2334" customWidth="1"/>
    <col min="5646" max="5646" width="8.125" style="2334" customWidth="1"/>
    <col min="5647" max="5647" width="6.875" style="2334" customWidth="1"/>
    <col min="5648" max="5648" width="6.125" style="2334" customWidth="1"/>
    <col min="5649" max="5888" width="9" style="2334"/>
    <col min="5889" max="5889" width="25.375" style="2334" customWidth="1"/>
    <col min="5890" max="5890" width="8.875" style="2334" customWidth="1"/>
    <col min="5891" max="5891" width="6.875" style="2334" customWidth="1"/>
    <col min="5892" max="5892" width="6.375" style="2334" customWidth="1"/>
    <col min="5893" max="5893" width="8.25" style="2334" customWidth="1"/>
    <col min="5894" max="5894" width="6.875" style="2334" customWidth="1"/>
    <col min="5895" max="5895" width="6.375" style="2334" customWidth="1"/>
    <col min="5896" max="5896" width="8.125" style="2334" customWidth="1"/>
    <col min="5897" max="5897" width="6.875" style="2334" customWidth="1"/>
    <col min="5898" max="5898" width="6.125" style="2334" customWidth="1"/>
    <col min="5899" max="5899" width="8.125" style="2334" customWidth="1"/>
    <col min="5900" max="5900" width="6.875" style="2334" customWidth="1"/>
    <col min="5901" max="5901" width="6.125" style="2334" customWidth="1"/>
    <col min="5902" max="5902" width="8.125" style="2334" customWidth="1"/>
    <col min="5903" max="5903" width="6.875" style="2334" customWidth="1"/>
    <col min="5904" max="5904" width="6.125" style="2334" customWidth="1"/>
    <col min="5905" max="6144" width="9" style="2334"/>
    <col min="6145" max="6145" width="25.375" style="2334" customWidth="1"/>
    <col min="6146" max="6146" width="8.875" style="2334" customWidth="1"/>
    <col min="6147" max="6147" width="6.875" style="2334" customWidth="1"/>
    <col min="6148" max="6148" width="6.375" style="2334" customWidth="1"/>
    <col min="6149" max="6149" width="8.25" style="2334" customWidth="1"/>
    <col min="6150" max="6150" width="6.875" style="2334" customWidth="1"/>
    <col min="6151" max="6151" width="6.375" style="2334" customWidth="1"/>
    <col min="6152" max="6152" width="8.125" style="2334" customWidth="1"/>
    <col min="6153" max="6153" width="6.875" style="2334" customWidth="1"/>
    <col min="6154" max="6154" width="6.125" style="2334" customWidth="1"/>
    <col min="6155" max="6155" width="8.125" style="2334" customWidth="1"/>
    <col min="6156" max="6156" width="6.875" style="2334" customWidth="1"/>
    <col min="6157" max="6157" width="6.125" style="2334" customWidth="1"/>
    <col min="6158" max="6158" width="8.125" style="2334" customWidth="1"/>
    <col min="6159" max="6159" width="6.875" style="2334" customWidth="1"/>
    <col min="6160" max="6160" width="6.125" style="2334" customWidth="1"/>
    <col min="6161" max="6400" width="9" style="2334"/>
    <col min="6401" max="6401" width="25.375" style="2334" customWidth="1"/>
    <col min="6402" max="6402" width="8.875" style="2334" customWidth="1"/>
    <col min="6403" max="6403" width="6.875" style="2334" customWidth="1"/>
    <col min="6404" max="6404" width="6.375" style="2334" customWidth="1"/>
    <col min="6405" max="6405" width="8.25" style="2334" customWidth="1"/>
    <col min="6406" max="6406" width="6.875" style="2334" customWidth="1"/>
    <col min="6407" max="6407" width="6.375" style="2334" customWidth="1"/>
    <col min="6408" max="6408" width="8.125" style="2334" customWidth="1"/>
    <col min="6409" max="6409" width="6.875" style="2334" customWidth="1"/>
    <col min="6410" max="6410" width="6.125" style="2334" customWidth="1"/>
    <col min="6411" max="6411" width="8.125" style="2334" customWidth="1"/>
    <col min="6412" max="6412" width="6.875" style="2334" customWidth="1"/>
    <col min="6413" max="6413" width="6.125" style="2334" customWidth="1"/>
    <col min="6414" max="6414" width="8.125" style="2334" customWidth="1"/>
    <col min="6415" max="6415" width="6.875" style="2334" customWidth="1"/>
    <col min="6416" max="6416" width="6.125" style="2334" customWidth="1"/>
    <col min="6417" max="6656" width="9" style="2334"/>
    <col min="6657" max="6657" width="25.375" style="2334" customWidth="1"/>
    <col min="6658" max="6658" width="8.875" style="2334" customWidth="1"/>
    <col min="6659" max="6659" width="6.875" style="2334" customWidth="1"/>
    <col min="6660" max="6660" width="6.375" style="2334" customWidth="1"/>
    <col min="6661" max="6661" width="8.25" style="2334" customWidth="1"/>
    <col min="6662" max="6662" width="6.875" style="2334" customWidth="1"/>
    <col min="6663" max="6663" width="6.375" style="2334" customWidth="1"/>
    <col min="6664" max="6664" width="8.125" style="2334" customWidth="1"/>
    <col min="6665" max="6665" width="6.875" style="2334" customWidth="1"/>
    <col min="6666" max="6666" width="6.125" style="2334" customWidth="1"/>
    <col min="6667" max="6667" width="8.125" style="2334" customWidth="1"/>
    <col min="6668" max="6668" width="6.875" style="2334" customWidth="1"/>
    <col min="6669" max="6669" width="6.125" style="2334" customWidth="1"/>
    <col min="6670" max="6670" width="8.125" style="2334" customWidth="1"/>
    <col min="6671" max="6671" width="6.875" style="2334" customWidth="1"/>
    <col min="6672" max="6672" width="6.125" style="2334" customWidth="1"/>
    <col min="6673" max="6912" width="9" style="2334"/>
    <col min="6913" max="6913" width="25.375" style="2334" customWidth="1"/>
    <col min="6914" max="6914" width="8.875" style="2334" customWidth="1"/>
    <col min="6915" max="6915" width="6.875" style="2334" customWidth="1"/>
    <col min="6916" max="6916" width="6.375" style="2334" customWidth="1"/>
    <col min="6917" max="6917" width="8.25" style="2334" customWidth="1"/>
    <col min="6918" max="6918" width="6.875" style="2334" customWidth="1"/>
    <col min="6919" max="6919" width="6.375" style="2334" customWidth="1"/>
    <col min="6920" max="6920" width="8.125" style="2334" customWidth="1"/>
    <col min="6921" max="6921" width="6.875" style="2334" customWidth="1"/>
    <col min="6922" max="6922" width="6.125" style="2334" customWidth="1"/>
    <col min="6923" max="6923" width="8.125" style="2334" customWidth="1"/>
    <col min="6924" max="6924" width="6.875" style="2334" customWidth="1"/>
    <col min="6925" max="6925" width="6.125" style="2334" customWidth="1"/>
    <col min="6926" max="6926" width="8.125" style="2334" customWidth="1"/>
    <col min="6927" max="6927" width="6.875" style="2334" customWidth="1"/>
    <col min="6928" max="6928" width="6.125" style="2334" customWidth="1"/>
    <col min="6929" max="7168" width="9" style="2334"/>
    <col min="7169" max="7169" width="25.375" style="2334" customWidth="1"/>
    <col min="7170" max="7170" width="8.875" style="2334" customWidth="1"/>
    <col min="7171" max="7171" width="6.875" style="2334" customWidth="1"/>
    <col min="7172" max="7172" width="6.375" style="2334" customWidth="1"/>
    <col min="7173" max="7173" width="8.25" style="2334" customWidth="1"/>
    <col min="7174" max="7174" width="6.875" style="2334" customWidth="1"/>
    <col min="7175" max="7175" width="6.375" style="2334" customWidth="1"/>
    <col min="7176" max="7176" width="8.125" style="2334" customWidth="1"/>
    <col min="7177" max="7177" width="6.875" style="2334" customWidth="1"/>
    <col min="7178" max="7178" width="6.125" style="2334" customWidth="1"/>
    <col min="7179" max="7179" width="8.125" style="2334" customWidth="1"/>
    <col min="7180" max="7180" width="6.875" style="2334" customWidth="1"/>
    <col min="7181" max="7181" width="6.125" style="2334" customWidth="1"/>
    <col min="7182" max="7182" width="8.125" style="2334" customWidth="1"/>
    <col min="7183" max="7183" width="6.875" style="2334" customWidth="1"/>
    <col min="7184" max="7184" width="6.125" style="2334" customWidth="1"/>
    <col min="7185" max="7424" width="9" style="2334"/>
    <col min="7425" max="7425" width="25.375" style="2334" customWidth="1"/>
    <col min="7426" max="7426" width="8.875" style="2334" customWidth="1"/>
    <col min="7427" max="7427" width="6.875" style="2334" customWidth="1"/>
    <col min="7428" max="7428" width="6.375" style="2334" customWidth="1"/>
    <col min="7429" max="7429" width="8.25" style="2334" customWidth="1"/>
    <col min="7430" max="7430" width="6.875" style="2334" customWidth="1"/>
    <col min="7431" max="7431" width="6.375" style="2334" customWidth="1"/>
    <col min="7432" max="7432" width="8.125" style="2334" customWidth="1"/>
    <col min="7433" max="7433" width="6.875" style="2334" customWidth="1"/>
    <col min="7434" max="7434" width="6.125" style="2334" customWidth="1"/>
    <col min="7435" max="7435" width="8.125" style="2334" customWidth="1"/>
    <col min="7436" max="7436" width="6.875" style="2334" customWidth="1"/>
    <col min="7437" max="7437" width="6.125" style="2334" customWidth="1"/>
    <col min="7438" max="7438" width="8.125" style="2334" customWidth="1"/>
    <col min="7439" max="7439" width="6.875" style="2334" customWidth="1"/>
    <col min="7440" max="7440" width="6.125" style="2334" customWidth="1"/>
    <col min="7441" max="7680" width="9" style="2334"/>
    <col min="7681" max="7681" width="25.375" style="2334" customWidth="1"/>
    <col min="7682" max="7682" width="8.875" style="2334" customWidth="1"/>
    <col min="7683" max="7683" width="6.875" style="2334" customWidth="1"/>
    <col min="7684" max="7684" width="6.375" style="2334" customWidth="1"/>
    <col min="7685" max="7685" width="8.25" style="2334" customWidth="1"/>
    <col min="7686" max="7686" width="6.875" style="2334" customWidth="1"/>
    <col min="7687" max="7687" width="6.375" style="2334" customWidth="1"/>
    <col min="7688" max="7688" width="8.125" style="2334" customWidth="1"/>
    <col min="7689" max="7689" width="6.875" style="2334" customWidth="1"/>
    <col min="7690" max="7690" width="6.125" style="2334" customWidth="1"/>
    <col min="7691" max="7691" width="8.125" style="2334" customWidth="1"/>
    <col min="7692" max="7692" width="6.875" style="2334" customWidth="1"/>
    <col min="7693" max="7693" width="6.125" style="2334" customWidth="1"/>
    <col min="7694" max="7694" width="8.125" style="2334" customWidth="1"/>
    <col min="7695" max="7695" width="6.875" style="2334" customWidth="1"/>
    <col min="7696" max="7696" width="6.125" style="2334" customWidth="1"/>
    <col min="7697" max="7936" width="9" style="2334"/>
    <col min="7937" max="7937" width="25.375" style="2334" customWidth="1"/>
    <col min="7938" max="7938" width="8.875" style="2334" customWidth="1"/>
    <col min="7939" max="7939" width="6.875" style="2334" customWidth="1"/>
    <col min="7940" max="7940" width="6.375" style="2334" customWidth="1"/>
    <col min="7941" max="7941" width="8.25" style="2334" customWidth="1"/>
    <col min="7942" max="7942" width="6.875" style="2334" customWidth="1"/>
    <col min="7943" max="7943" width="6.375" style="2334" customWidth="1"/>
    <col min="7944" max="7944" width="8.125" style="2334" customWidth="1"/>
    <col min="7945" max="7945" width="6.875" style="2334" customWidth="1"/>
    <col min="7946" max="7946" width="6.125" style="2334" customWidth="1"/>
    <col min="7947" max="7947" width="8.125" style="2334" customWidth="1"/>
    <col min="7948" max="7948" width="6.875" style="2334" customWidth="1"/>
    <col min="7949" max="7949" width="6.125" style="2334" customWidth="1"/>
    <col min="7950" max="7950" width="8.125" style="2334" customWidth="1"/>
    <col min="7951" max="7951" width="6.875" style="2334" customWidth="1"/>
    <col min="7952" max="7952" width="6.125" style="2334" customWidth="1"/>
    <col min="7953" max="8192" width="9" style="2334"/>
    <col min="8193" max="8193" width="25.375" style="2334" customWidth="1"/>
    <col min="8194" max="8194" width="8.875" style="2334" customWidth="1"/>
    <col min="8195" max="8195" width="6.875" style="2334" customWidth="1"/>
    <col min="8196" max="8196" width="6.375" style="2334" customWidth="1"/>
    <col min="8197" max="8197" width="8.25" style="2334" customWidth="1"/>
    <col min="8198" max="8198" width="6.875" style="2334" customWidth="1"/>
    <col min="8199" max="8199" width="6.375" style="2334" customWidth="1"/>
    <col min="8200" max="8200" width="8.125" style="2334" customWidth="1"/>
    <col min="8201" max="8201" width="6.875" style="2334" customWidth="1"/>
    <col min="8202" max="8202" width="6.125" style="2334" customWidth="1"/>
    <col min="8203" max="8203" width="8.125" style="2334" customWidth="1"/>
    <col min="8204" max="8204" width="6.875" style="2334" customWidth="1"/>
    <col min="8205" max="8205" width="6.125" style="2334" customWidth="1"/>
    <col min="8206" max="8206" width="8.125" style="2334" customWidth="1"/>
    <col min="8207" max="8207" width="6.875" style="2334" customWidth="1"/>
    <col min="8208" max="8208" width="6.125" style="2334" customWidth="1"/>
    <col min="8209" max="8448" width="9" style="2334"/>
    <col min="8449" max="8449" width="25.375" style="2334" customWidth="1"/>
    <col min="8450" max="8450" width="8.875" style="2334" customWidth="1"/>
    <col min="8451" max="8451" width="6.875" style="2334" customWidth="1"/>
    <col min="8452" max="8452" width="6.375" style="2334" customWidth="1"/>
    <col min="8453" max="8453" width="8.25" style="2334" customWidth="1"/>
    <col min="8454" max="8454" width="6.875" style="2334" customWidth="1"/>
    <col min="8455" max="8455" width="6.375" style="2334" customWidth="1"/>
    <col min="8456" max="8456" width="8.125" style="2334" customWidth="1"/>
    <col min="8457" max="8457" width="6.875" style="2334" customWidth="1"/>
    <col min="8458" max="8458" width="6.125" style="2334" customWidth="1"/>
    <col min="8459" max="8459" width="8.125" style="2334" customWidth="1"/>
    <col min="8460" max="8460" width="6.875" style="2334" customWidth="1"/>
    <col min="8461" max="8461" width="6.125" style="2334" customWidth="1"/>
    <col min="8462" max="8462" width="8.125" style="2334" customWidth="1"/>
    <col min="8463" max="8463" width="6.875" style="2334" customWidth="1"/>
    <col min="8464" max="8464" width="6.125" style="2334" customWidth="1"/>
    <col min="8465" max="8704" width="9" style="2334"/>
    <col min="8705" max="8705" width="25.375" style="2334" customWidth="1"/>
    <col min="8706" max="8706" width="8.875" style="2334" customWidth="1"/>
    <col min="8707" max="8707" width="6.875" style="2334" customWidth="1"/>
    <col min="8708" max="8708" width="6.375" style="2334" customWidth="1"/>
    <col min="8709" max="8709" width="8.25" style="2334" customWidth="1"/>
    <col min="8710" max="8710" width="6.875" style="2334" customWidth="1"/>
    <col min="8711" max="8711" width="6.375" style="2334" customWidth="1"/>
    <col min="8712" max="8712" width="8.125" style="2334" customWidth="1"/>
    <col min="8713" max="8713" width="6.875" style="2334" customWidth="1"/>
    <col min="8714" max="8714" width="6.125" style="2334" customWidth="1"/>
    <col min="8715" max="8715" width="8.125" style="2334" customWidth="1"/>
    <col min="8716" max="8716" width="6.875" style="2334" customWidth="1"/>
    <col min="8717" max="8717" width="6.125" style="2334" customWidth="1"/>
    <col min="8718" max="8718" width="8.125" style="2334" customWidth="1"/>
    <col min="8719" max="8719" width="6.875" style="2334" customWidth="1"/>
    <col min="8720" max="8720" width="6.125" style="2334" customWidth="1"/>
    <col min="8721" max="8960" width="9" style="2334"/>
    <col min="8961" max="8961" width="25.375" style="2334" customWidth="1"/>
    <col min="8962" max="8962" width="8.875" style="2334" customWidth="1"/>
    <col min="8963" max="8963" width="6.875" style="2334" customWidth="1"/>
    <col min="8964" max="8964" width="6.375" style="2334" customWidth="1"/>
    <col min="8965" max="8965" width="8.25" style="2334" customWidth="1"/>
    <col min="8966" max="8966" width="6.875" style="2334" customWidth="1"/>
    <col min="8967" max="8967" width="6.375" style="2334" customWidth="1"/>
    <col min="8968" max="8968" width="8.125" style="2334" customWidth="1"/>
    <col min="8969" max="8969" width="6.875" style="2334" customWidth="1"/>
    <col min="8970" max="8970" width="6.125" style="2334" customWidth="1"/>
    <col min="8971" max="8971" width="8.125" style="2334" customWidth="1"/>
    <col min="8972" max="8972" width="6.875" style="2334" customWidth="1"/>
    <col min="8973" max="8973" width="6.125" style="2334" customWidth="1"/>
    <col min="8974" max="8974" width="8.125" style="2334" customWidth="1"/>
    <col min="8975" max="8975" width="6.875" style="2334" customWidth="1"/>
    <col min="8976" max="8976" width="6.125" style="2334" customWidth="1"/>
    <col min="8977" max="9216" width="9" style="2334"/>
    <col min="9217" max="9217" width="25.375" style="2334" customWidth="1"/>
    <col min="9218" max="9218" width="8.875" style="2334" customWidth="1"/>
    <col min="9219" max="9219" width="6.875" style="2334" customWidth="1"/>
    <col min="9220" max="9220" width="6.375" style="2334" customWidth="1"/>
    <col min="9221" max="9221" width="8.25" style="2334" customWidth="1"/>
    <col min="9222" max="9222" width="6.875" style="2334" customWidth="1"/>
    <col min="9223" max="9223" width="6.375" style="2334" customWidth="1"/>
    <col min="9224" max="9224" width="8.125" style="2334" customWidth="1"/>
    <col min="9225" max="9225" width="6.875" style="2334" customWidth="1"/>
    <col min="9226" max="9226" width="6.125" style="2334" customWidth="1"/>
    <col min="9227" max="9227" width="8.125" style="2334" customWidth="1"/>
    <col min="9228" max="9228" width="6.875" style="2334" customWidth="1"/>
    <col min="9229" max="9229" width="6.125" style="2334" customWidth="1"/>
    <col min="9230" max="9230" width="8.125" style="2334" customWidth="1"/>
    <col min="9231" max="9231" width="6.875" style="2334" customWidth="1"/>
    <col min="9232" max="9232" width="6.125" style="2334" customWidth="1"/>
    <col min="9233" max="9472" width="9" style="2334"/>
    <col min="9473" max="9473" width="25.375" style="2334" customWidth="1"/>
    <col min="9474" max="9474" width="8.875" style="2334" customWidth="1"/>
    <col min="9475" max="9475" width="6.875" style="2334" customWidth="1"/>
    <col min="9476" max="9476" width="6.375" style="2334" customWidth="1"/>
    <col min="9477" max="9477" width="8.25" style="2334" customWidth="1"/>
    <col min="9478" max="9478" width="6.875" style="2334" customWidth="1"/>
    <col min="9479" max="9479" width="6.375" style="2334" customWidth="1"/>
    <col min="9480" max="9480" width="8.125" style="2334" customWidth="1"/>
    <col min="9481" max="9481" width="6.875" style="2334" customWidth="1"/>
    <col min="9482" max="9482" width="6.125" style="2334" customWidth="1"/>
    <col min="9483" max="9483" width="8.125" style="2334" customWidth="1"/>
    <col min="9484" max="9484" width="6.875" style="2334" customWidth="1"/>
    <col min="9485" max="9485" width="6.125" style="2334" customWidth="1"/>
    <col min="9486" max="9486" width="8.125" style="2334" customWidth="1"/>
    <col min="9487" max="9487" width="6.875" style="2334" customWidth="1"/>
    <col min="9488" max="9488" width="6.125" style="2334" customWidth="1"/>
    <col min="9489" max="9728" width="9" style="2334"/>
    <col min="9729" max="9729" width="25.375" style="2334" customWidth="1"/>
    <col min="9730" max="9730" width="8.875" style="2334" customWidth="1"/>
    <col min="9731" max="9731" width="6.875" style="2334" customWidth="1"/>
    <col min="9732" max="9732" width="6.375" style="2334" customWidth="1"/>
    <col min="9733" max="9733" width="8.25" style="2334" customWidth="1"/>
    <col min="9734" max="9734" width="6.875" style="2334" customWidth="1"/>
    <col min="9735" max="9735" width="6.375" style="2334" customWidth="1"/>
    <col min="9736" max="9736" width="8.125" style="2334" customWidth="1"/>
    <col min="9737" max="9737" width="6.875" style="2334" customWidth="1"/>
    <col min="9738" max="9738" width="6.125" style="2334" customWidth="1"/>
    <col min="9739" max="9739" width="8.125" style="2334" customWidth="1"/>
    <col min="9740" max="9740" width="6.875" style="2334" customWidth="1"/>
    <col min="9741" max="9741" width="6.125" style="2334" customWidth="1"/>
    <col min="9742" max="9742" width="8.125" style="2334" customWidth="1"/>
    <col min="9743" max="9743" width="6.875" style="2334" customWidth="1"/>
    <col min="9744" max="9744" width="6.125" style="2334" customWidth="1"/>
    <col min="9745" max="9984" width="9" style="2334"/>
    <col min="9985" max="9985" width="25.375" style="2334" customWidth="1"/>
    <col min="9986" max="9986" width="8.875" style="2334" customWidth="1"/>
    <col min="9987" max="9987" width="6.875" style="2334" customWidth="1"/>
    <col min="9988" max="9988" width="6.375" style="2334" customWidth="1"/>
    <col min="9989" max="9989" width="8.25" style="2334" customWidth="1"/>
    <col min="9990" max="9990" width="6.875" style="2334" customWidth="1"/>
    <col min="9991" max="9991" width="6.375" style="2334" customWidth="1"/>
    <col min="9992" max="9992" width="8.125" style="2334" customWidth="1"/>
    <col min="9993" max="9993" width="6.875" style="2334" customWidth="1"/>
    <col min="9994" max="9994" width="6.125" style="2334" customWidth="1"/>
    <col min="9995" max="9995" width="8.125" style="2334" customWidth="1"/>
    <col min="9996" max="9996" width="6.875" style="2334" customWidth="1"/>
    <col min="9997" max="9997" width="6.125" style="2334" customWidth="1"/>
    <col min="9998" max="9998" width="8.125" style="2334" customWidth="1"/>
    <col min="9999" max="9999" width="6.875" style="2334" customWidth="1"/>
    <col min="10000" max="10000" width="6.125" style="2334" customWidth="1"/>
    <col min="10001" max="10240" width="9" style="2334"/>
    <col min="10241" max="10241" width="25.375" style="2334" customWidth="1"/>
    <col min="10242" max="10242" width="8.875" style="2334" customWidth="1"/>
    <col min="10243" max="10243" width="6.875" style="2334" customWidth="1"/>
    <col min="10244" max="10244" width="6.375" style="2334" customWidth="1"/>
    <col min="10245" max="10245" width="8.25" style="2334" customWidth="1"/>
    <col min="10246" max="10246" width="6.875" style="2334" customWidth="1"/>
    <col min="10247" max="10247" width="6.375" style="2334" customWidth="1"/>
    <col min="10248" max="10248" width="8.125" style="2334" customWidth="1"/>
    <col min="10249" max="10249" width="6.875" style="2334" customWidth="1"/>
    <col min="10250" max="10250" width="6.125" style="2334" customWidth="1"/>
    <col min="10251" max="10251" width="8.125" style="2334" customWidth="1"/>
    <col min="10252" max="10252" width="6.875" style="2334" customWidth="1"/>
    <col min="10253" max="10253" width="6.125" style="2334" customWidth="1"/>
    <col min="10254" max="10254" width="8.125" style="2334" customWidth="1"/>
    <col min="10255" max="10255" width="6.875" style="2334" customWidth="1"/>
    <col min="10256" max="10256" width="6.125" style="2334" customWidth="1"/>
    <col min="10257" max="10496" width="9" style="2334"/>
    <col min="10497" max="10497" width="25.375" style="2334" customWidth="1"/>
    <col min="10498" max="10498" width="8.875" style="2334" customWidth="1"/>
    <col min="10499" max="10499" width="6.875" style="2334" customWidth="1"/>
    <col min="10500" max="10500" width="6.375" style="2334" customWidth="1"/>
    <col min="10501" max="10501" width="8.25" style="2334" customWidth="1"/>
    <col min="10502" max="10502" width="6.875" style="2334" customWidth="1"/>
    <col min="10503" max="10503" width="6.375" style="2334" customWidth="1"/>
    <col min="10504" max="10504" width="8.125" style="2334" customWidth="1"/>
    <col min="10505" max="10505" width="6.875" style="2334" customWidth="1"/>
    <col min="10506" max="10506" width="6.125" style="2334" customWidth="1"/>
    <col min="10507" max="10507" width="8.125" style="2334" customWidth="1"/>
    <col min="10508" max="10508" width="6.875" style="2334" customWidth="1"/>
    <col min="10509" max="10509" width="6.125" style="2334" customWidth="1"/>
    <col min="10510" max="10510" width="8.125" style="2334" customWidth="1"/>
    <col min="10511" max="10511" width="6.875" style="2334" customWidth="1"/>
    <col min="10512" max="10512" width="6.125" style="2334" customWidth="1"/>
    <col min="10513" max="10752" width="9" style="2334"/>
    <col min="10753" max="10753" width="25.375" style="2334" customWidth="1"/>
    <col min="10754" max="10754" width="8.875" style="2334" customWidth="1"/>
    <col min="10755" max="10755" width="6.875" style="2334" customWidth="1"/>
    <col min="10756" max="10756" width="6.375" style="2334" customWidth="1"/>
    <col min="10757" max="10757" width="8.25" style="2334" customWidth="1"/>
    <col min="10758" max="10758" width="6.875" style="2334" customWidth="1"/>
    <col min="10759" max="10759" width="6.375" style="2334" customWidth="1"/>
    <col min="10760" max="10760" width="8.125" style="2334" customWidth="1"/>
    <col min="10761" max="10761" width="6.875" style="2334" customWidth="1"/>
    <col min="10762" max="10762" width="6.125" style="2334" customWidth="1"/>
    <col min="10763" max="10763" width="8.125" style="2334" customWidth="1"/>
    <col min="10764" max="10764" width="6.875" style="2334" customWidth="1"/>
    <col min="10765" max="10765" width="6.125" style="2334" customWidth="1"/>
    <col min="10766" max="10766" width="8.125" style="2334" customWidth="1"/>
    <col min="10767" max="10767" width="6.875" style="2334" customWidth="1"/>
    <col min="10768" max="10768" width="6.125" style="2334" customWidth="1"/>
    <col min="10769" max="11008" width="9" style="2334"/>
    <col min="11009" max="11009" width="25.375" style="2334" customWidth="1"/>
    <col min="11010" max="11010" width="8.875" style="2334" customWidth="1"/>
    <col min="11011" max="11011" width="6.875" style="2334" customWidth="1"/>
    <col min="11012" max="11012" width="6.375" style="2334" customWidth="1"/>
    <col min="11013" max="11013" width="8.25" style="2334" customWidth="1"/>
    <col min="11014" max="11014" width="6.875" style="2334" customWidth="1"/>
    <col min="11015" max="11015" width="6.375" style="2334" customWidth="1"/>
    <col min="11016" max="11016" width="8.125" style="2334" customWidth="1"/>
    <col min="11017" max="11017" width="6.875" style="2334" customWidth="1"/>
    <col min="11018" max="11018" width="6.125" style="2334" customWidth="1"/>
    <col min="11019" max="11019" width="8.125" style="2334" customWidth="1"/>
    <col min="11020" max="11020" width="6.875" style="2334" customWidth="1"/>
    <col min="11021" max="11021" width="6.125" style="2334" customWidth="1"/>
    <col min="11022" max="11022" width="8.125" style="2334" customWidth="1"/>
    <col min="11023" max="11023" width="6.875" style="2334" customWidth="1"/>
    <col min="11024" max="11024" width="6.125" style="2334" customWidth="1"/>
    <col min="11025" max="11264" width="9" style="2334"/>
    <col min="11265" max="11265" width="25.375" style="2334" customWidth="1"/>
    <col min="11266" max="11266" width="8.875" style="2334" customWidth="1"/>
    <col min="11267" max="11267" width="6.875" style="2334" customWidth="1"/>
    <col min="11268" max="11268" width="6.375" style="2334" customWidth="1"/>
    <col min="11269" max="11269" width="8.25" style="2334" customWidth="1"/>
    <col min="11270" max="11270" width="6.875" style="2334" customWidth="1"/>
    <col min="11271" max="11271" width="6.375" style="2334" customWidth="1"/>
    <col min="11272" max="11272" width="8.125" style="2334" customWidth="1"/>
    <col min="11273" max="11273" width="6.875" style="2334" customWidth="1"/>
    <col min="11274" max="11274" width="6.125" style="2334" customWidth="1"/>
    <col min="11275" max="11275" width="8.125" style="2334" customWidth="1"/>
    <col min="11276" max="11276" width="6.875" style="2334" customWidth="1"/>
    <col min="11277" max="11277" width="6.125" style="2334" customWidth="1"/>
    <col min="11278" max="11278" width="8.125" style="2334" customWidth="1"/>
    <col min="11279" max="11279" width="6.875" style="2334" customWidth="1"/>
    <col min="11280" max="11280" width="6.125" style="2334" customWidth="1"/>
    <col min="11281" max="11520" width="9" style="2334"/>
    <col min="11521" max="11521" width="25.375" style="2334" customWidth="1"/>
    <col min="11522" max="11522" width="8.875" style="2334" customWidth="1"/>
    <col min="11523" max="11523" width="6.875" style="2334" customWidth="1"/>
    <col min="11524" max="11524" width="6.375" style="2334" customWidth="1"/>
    <col min="11525" max="11525" width="8.25" style="2334" customWidth="1"/>
    <col min="11526" max="11526" width="6.875" style="2334" customWidth="1"/>
    <col min="11527" max="11527" width="6.375" style="2334" customWidth="1"/>
    <col min="11528" max="11528" width="8.125" style="2334" customWidth="1"/>
    <col min="11529" max="11529" width="6.875" style="2334" customWidth="1"/>
    <col min="11530" max="11530" width="6.125" style="2334" customWidth="1"/>
    <col min="11531" max="11531" width="8.125" style="2334" customWidth="1"/>
    <col min="11532" max="11532" width="6.875" style="2334" customWidth="1"/>
    <col min="11533" max="11533" width="6.125" style="2334" customWidth="1"/>
    <col min="11534" max="11534" width="8.125" style="2334" customWidth="1"/>
    <col min="11535" max="11535" width="6.875" style="2334" customWidth="1"/>
    <col min="11536" max="11536" width="6.125" style="2334" customWidth="1"/>
    <col min="11537" max="11776" width="9" style="2334"/>
    <col min="11777" max="11777" width="25.375" style="2334" customWidth="1"/>
    <col min="11778" max="11778" width="8.875" style="2334" customWidth="1"/>
    <col min="11779" max="11779" width="6.875" style="2334" customWidth="1"/>
    <col min="11780" max="11780" width="6.375" style="2334" customWidth="1"/>
    <col min="11781" max="11781" width="8.25" style="2334" customWidth="1"/>
    <col min="11782" max="11782" width="6.875" style="2334" customWidth="1"/>
    <col min="11783" max="11783" width="6.375" style="2334" customWidth="1"/>
    <col min="11784" max="11784" width="8.125" style="2334" customWidth="1"/>
    <col min="11785" max="11785" width="6.875" style="2334" customWidth="1"/>
    <col min="11786" max="11786" width="6.125" style="2334" customWidth="1"/>
    <col min="11787" max="11787" width="8.125" style="2334" customWidth="1"/>
    <col min="11788" max="11788" width="6.875" style="2334" customWidth="1"/>
    <col min="11789" max="11789" width="6.125" style="2334" customWidth="1"/>
    <col min="11790" max="11790" width="8.125" style="2334" customWidth="1"/>
    <col min="11791" max="11791" width="6.875" style="2334" customWidth="1"/>
    <col min="11792" max="11792" width="6.125" style="2334" customWidth="1"/>
    <col min="11793" max="12032" width="9" style="2334"/>
    <col min="12033" max="12033" width="25.375" style="2334" customWidth="1"/>
    <col min="12034" max="12034" width="8.875" style="2334" customWidth="1"/>
    <col min="12035" max="12035" width="6.875" style="2334" customWidth="1"/>
    <col min="12036" max="12036" width="6.375" style="2334" customWidth="1"/>
    <col min="12037" max="12037" width="8.25" style="2334" customWidth="1"/>
    <col min="12038" max="12038" width="6.875" style="2334" customWidth="1"/>
    <col min="12039" max="12039" width="6.375" style="2334" customWidth="1"/>
    <col min="12040" max="12040" width="8.125" style="2334" customWidth="1"/>
    <col min="12041" max="12041" width="6.875" style="2334" customWidth="1"/>
    <col min="12042" max="12042" width="6.125" style="2334" customWidth="1"/>
    <col min="12043" max="12043" width="8.125" style="2334" customWidth="1"/>
    <col min="12044" max="12044" width="6.875" style="2334" customWidth="1"/>
    <col min="12045" max="12045" width="6.125" style="2334" customWidth="1"/>
    <col min="12046" max="12046" width="8.125" style="2334" customWidth="1"/>
    <col min="12047" max="12047" width="6.875" style="2334" customWidth="1"/>
    <col min="12048" max="12048" width="6.125" style="2334" customWidth="1"/>
    <col min="12049" max="12288" width="9" style="2334"/>
    <col min="12289" max="12289" width="25.375" style="2334" customWidth="1"/>
    <col min="12290" max="12290" width="8.875" style="2334" customWidth="1"/>
    <col min="12291" max="12291" width="6.875" style="2334" customWidth="1"/>
    <col min="12292" max="12292" width="6.375" style="2334" customWidth="1"/>
    <col min="12293" max="12293" width="8.25" style="2334" customWidth="1"/>
    <col min="12294" max="12294" width="6.875" style="2334" customWidth="1"/>
    <col min="12295" max="12295" width="6.375" style="2334" customWidth="1"/>
    <col min="12296" max="12296" width="8.125" style="2334" customWidth="1"/>
    <col min="12297" max="12297" width="6.875" style="2334" customWidth="1"/>
    <col min="12298" max="12298" width="6.125" style="2334" customWidth="1"/>
    <col min="12299" max="12299" width="8.125" style="2334" customWidth="1"/>
    <col min="12300" max="12300" width="6.875" style="2334" customWidth="1"/>
    <col min="12301" max="12301" width="6.125" style="2334" customWidth="1"/>
    <col min="12302" max="12302" width="8.125" style="2334" customWidth="1"/>
    <col min="12303" max="12303" width="6.875" style="2334" customWidth="1"/>
    <col min="12304" max="12304" width="6.125" style="2334" customWidth="1"/>
    <col min="12305" max="12544" width="9" style="2334"/>
    <col min="12545" max="12545" width="25.375" style="2334" customWidth="1"/>
    <col min="12546" max="12546" width="8.875" style="2334" customWidth="1"/>
    <col min="12547" max="12547" width="6.875" style="2334" customWidth="1"/>
    <col min="12548" max="12548" width="6.375" style="2334" customWidth="1"/>
    <col min="12549" max="12549" width="8.25" style="2334" customWidth="1"/>
    <col min="12550" max="12550" width="6.875" style="2334" customWidth="1"/>
    <col min="12551" max="12551" width="6.375" style="2334" customWidth="1"/>
    <col min="12552" max="12552" width="8.125" style="2334" customWidth="1"/>
    <col min="12553" max="12553" width="6.875" style="2334" customWidth="1"/>
    <col min="12554" max="12554" width="6.125" style="2334" customWidth="1"/>
    <col min="12555" max="12555" width="8.125" style="2334" customWidth="1"/>
    <col min="12556" max="12556" width="6.875" style="2334" customWidth="1"/>
    <col min="12557" max="12557" width="6.125" style="2334" customWidth="1"/>
    <col min="12558" max="12558" width="8.125" style="2334" customWidth="1"/>
    <col min="12559" max="12559" width="6.875" style="2334" customWidth="1"/>
    <col min="12560" max="12560" width="6.125" style="2334" customWidth="1"/>
    <col min="12561" max="12800" width="9" style="2334"/>
    <col min="12801" max="12801" width="25.375" style="2334" customWidth="1"/>
    <col min="12802" max="12802" width="8.875" style="2334" customWidth="1"/>
    <col min="12803" max="12803" width="6.875" style="2334" customWidth="1"/>
    <col min="12804" max="12804" width="6.375" style="2334" customWidth="1"/>
    <col min="12805" max="12805" width="8.25" style="2334" customWidth="1"/>
    <col min="12806" max="12806" width="6.875" style="2334" customWidth="1"/>
    <col min="12807" max="12807" width="6.375" style="2334" customWidth="1"/>
    <col min="12808" max="12808" width="8.125" style="2334" customWidth="1"/>
    <col min="12809" max="12809" width="6.875" style="2334" customWidth="1"/>
    <col min="12810" max="12810" width="6.125" style="2334" customWidth="1"/>
    <col min="12811" max="12811" width="8.125" style="2334" customWidth="1"/>
    <col min="12812" max="12812" width="6.875" style="2334" customWidth="1"/>
    <col min="12813" max="12813" width="6.125" style="2334" customWidth="1"/>
    <col min="12814" max="12814" width="8.125" style="2334" customWidth="1"/>
    <col min="12815" max="12815" width="6.875" style="2334" customWidth="1"/>
    <col min="12816" max="12816" width="6.125" style="2334" customWidth="1"/>
    <col min="12817" max="13056" width="9" style="2334"/>
    <col min="13057" max="13057" width="25.375" style="2334" customWidth="1"/>
    <col min="13058" max="13058" width="8.875" style="2334" customWidth="1"/>
    <col min="13059" max="13059" width="6.875" style="2334" customWidth="1"/>
    <col min="13060" max="13060" width="6.375" style="2334" customWidth="1"/>
    <col min="13061" max="13061" width="8.25" style="2334" customWidth="1"/>
    <col min="13062" max="13062" width="6.875" style="2334" customWidth="1"/>
    <col min="13063" max="13063" width="6.375" style="2334" customWidth="1"/>
    <col min="13064" max="13064" width="8.125" style="2334" customWidth="1"/>
    <col min="13065" max="13065" width="6.875" style="2334" customWidth="1"/>
    <col min="13066" max="13066" width="6.125" style="2334" customWidth="1"/>
    <col min="13067" max="13067" width="8.125" style="2334" customWidth="1"/>
    <col min="13068" max="13068" width="6.875" style="2334" customWidth="1"/>
    <col min="13069" max="13069" width="6.125" style="2334" customWidth="1"/>
    <col min="13070" max="13070" width="8.125" style="2334" customWidth="1"/>
    <col min="13071" max="13071" width="6.875" style="2334" customWidth="1"/>
    <col min="13072" max="13072" width="6.125" style="2334" customWidth="1"/>
    <col min="13073" max="13312" width="9" style="2334"/>
    <col min="13313" max="13313" width="25.375" style="2334" customWidth="1"/>
    <col min="13314" max="13314" width="8.875" style="2334" customWidth="1"/>
    <col min="13315" max="13315" width="6.875" style="2334" customWidth="1"/>
    <col min="13316" max="13316" width="6.375" style="2334" customWidth="1"/>
    <col min="13317" max="13317" width="8.25" style="2334" customWidth="1"/>
    <col min="13318" max="13318" width="6.875" style="2334" customWidth="1"/>
    <col min="13319" max="13319" width="6.375" style="2334" customWidth="1"/>
    <col min="13320" max="13320" width="8.125" style="2334" customWidth="1"/>
    <col min="13321" max="13321" width="6.875" style="2334" customWidth="1"/>
    <col min="13322" max="13322" width="6.125" style="2334" customWidth="1"/>
    <col min="13323" max="13323" width="8.125" style="2334" customWidth="1"/>
    <col min="13324" max="13324" width="6.875" style="2334" customWidth="1"/>
    <col min="13325" max="13325" width="6.125" style="2334" customWidth="1"/>
    <col min="13326" max="13326" width="8.125" style="2334" customWidth="1"/>
    <col min="13327" max="13327" width="6.875" style="2334" customWidth="1"/>
    <col min="13328" max="13328" width="6.125" style="2334" customWidth="1"/>
    <col min="13329" max="13568" width="9" style="2334"/>
    <col min="13569" max="13569" width="25.375" style="2334" customWidth="1"/>
    <col min="13570" max="13570" width="8.875" style="2334" customWidth="1"/>
    <col min="13571" max="13571" width="6.875" style="2334" customWidth="1"/>
    <col min="13572" max="13572" width="6.375" style="2334" customWidth="1"/>
    <col min="13573" max="13573" width="8.25" style="2334" customWidth="1"/>
    <col min="13574" max="13574" width="6.875" style="2334" customWidth="1"/>
    <col min="13575" max="13575" width="6.375" style="2334" customWidth="1"/>
    <col min="13576" max="13576" width="8.125" style="2334" customWidth="1"/>
    <col min="13577" max="13577" width="6.875" style="2334" customWidth="1"/>
    <col min="13578" max="13578" width="6.125" style="2334" customWidth="1"/>
    <col min="13579" max="13579" width="8.125" style="2334" customWidth="1"/>
    <col min="13580" max="13580" width="6.875" style="2334" customWidth="1"/>
    <col min="13581" max="13581" width="6.125" style="2334" customWidth="1"/>
    <col min="13582" max="13582" width="8.125" style="2334" customWidth="1"/>
    <col min="13583" max="13583" width="6.875" style="2334" customWidth="1"/>
    <col min="13584" max="13584" width="6.125" style="2334" customWidth="1"/>
    <col min="13585" max="13824" width="9" style="2334"/>
    <col min="13825" max="13825" width="25.375" style="2334" customWidth="1"/>
    <col min="13826" max="13826" width="8.875" style="2334" customWidth="1"/>
    <col min="13827" max="13827" width="6.875" style="2334" customWidth="1"/>
    <col min="13828" max="13828" width="6.375" style="2334" customWidth="1"/>
    <col min="13829" max="13829" width="8.25" style="2334" customWidth="1"/>
    <col min="13830" max="13830" width="6.875" style="2334" customWidth="1"/>
    <col min="13831" max="13831" width="6.375" style="2334" customWidth="1"/>
    <col min="13832" max="13832" width="8.125" style="2334" customWidth="1"/>
    <col min="13833" max="13833" width="6.875" style="2334" customWidth="1"/>
    <col min="13834" max="13834" width="6.125" style="2334" customWidth="1"/>
    <col min="13835" max="13835" width="8.125" style="2334" customWidth="1"/>
    <col min="13836" max="13836" width="6.875" style="2334" customWidth="1"/>
    <col min="13837" max="13837" width="6.125" style="2334" customWidth="1"/>
    <col min="13838" max="13838" width="8.125" style="2334" customWidth="1"/>
    <col min="13839" max="13839" width="6.875" style="2334" customWidth="1"/>
    <col min="13840" max="13840" width="6.125" style="2334" customWidth="1"/>
    <col min="13841" max="14080" width="9" style="2334"/>
    <col min="14081" max="14081" width="25.375" style="2334" customWidth="1"/>
    <col min="14082" max="14082" width="8.875" style="2334" customWidth="1"/>
    <col min="14083" max="14083" width="6.875" style="2334" customWidth="1"/>
    <col min="14084" max="14084" width="6.375" style="2334" customWidth="1"/>
    <col min="14085" max="14085" width="8.25" style="2334" customWidth="1"/>
    <col min="14086" max="14086" width="6.875" style="2334" customWidth="1"/>
    <col min="14087" max="14087" width="6.375" style="2334" customWidth="1"/>
    <col min="14088" max="14088" width="8.125" style="2334" customWidth="1"/>
    <col min="14089" max="14089" width="6.875" style="2334" customWidth="1"/>
    <col min="14090" max="14090" width="6.125" style="2334" customWidth="1"/>
    <col min="14091" max="14091" width="8.125" style="2334" customWidth="1"/>
    <col min="14092" max="14092" width="6.875" style="2334" customWidth="1"/>
    <col min="14093" max="14093" width="6.125" style="2334" customWidth="1"/>
    <col min="14094" max="14094" width="8.125" style="2334" customWidth="1"/>
    <col min="14095" max="14095" width="6.875" style="2334" customWidth="1"/>
    <col min="14096" max="14096" width="6.125" style="2334" customWidth="1"/>
    <col min="14097" max="14336" width="9" style="2334"/>
    <col min="14337" max="14337" width="25.375" style="2334" customWidth="1"/>
    <col min="14338" max="14338" width="8.875" style="2334" customWidth="1"/>
    <col min="14339" max="14339" width="6.875" style="2334" customWidth="1"/>
    <col min="14340" max="14340" width="6.375" style="2334" customWidth="1"/>
    <col min="14341" max="14341" width="8.25" style="2334" customWidth="1"/>
    <col min="14342" max="14342" width="6.875" style="2334" customWidth="1"/>
    <col min="14343" max="14343" width="6.375" style="2334" customWidth="1"/>
    <col min="14344" max="14344" width="8.125" style="2334" customWidth="1"/>
    <col min="14345" max="14345" width="6.875" style="2334" customWidth="1"/>
    <col min="14346" max="14346" width="6.125" style="2334" customWidth="1"/>
    <col min="14347" max="14347" width="8.125" style="2334" customWidth="1"/>
    <col min="14348" max="14348" width="6.875" style="2334" customWidth="1"/>
    <col min="14349" max="14349" width="6.125" style="2334" customWidth="1"/>
    <col min="14350" max="14350" width="8.125" style="2334" customWidth="1"/>
    <col min="14351" max="14351" width="6.875" style="2334" customWidth="1"/>
    <col min="14352" max="14352" width="6.125" style="2334" customWidth="1"/>
    <col min="14353" max="14592" width="9" style="2334"/>
    <col min="14593" max="14593" width="25.375" style="2334" customWidth="1"/>
    <col min="14594" max="14594" width="8.875" style="2334" customWidth="1"/>
    <col min="14595" max="14595" width="6.875" style="2334" customWidth="1"/>
    <col min="14596" max="14596" width="6.375" style="2334" customWidth="1"/>
    <col min="14597" max="14597" width="8.25" style="2334" customWidth="1"/>
    <col min="14598" max="14598" width="6.875" style="2334" customWidth="1"/>
    <col min="14599" max="14599" width="6.375" style="2334" customWidth="1"/>
    <col min="14600" max="14600" width="8.125" style="2334" customWidth="1"/>
    <col min="14601" max="14601" width="6.875" style="2334" customWidth="1"/>
    <col min="14602" max="14602" width="6.125" style="2334" customWidth="1"/>
    <col min="14603" max="14603" width="8.125" style="2334" customWidth="1"/>
    <col min="14604" max="14604" width="6.875" style="2334" customWidth="1"/>
    <col min="14605" max="14605" width="6.125" style="2334" customWidth="1"/>
    <col min="14606" max="14606" width="8.125" style="2334" customWidth="1"/>
    <col min="14607" max="14607" width="6.875" style="2334" customWidth="1"/>
    <col min="14608" max="14608" width="6.125" style="2334" customWidth="1"/>
    <col min="14609" max="14848" width="9" style="2334"/>
    <col min="14849" max="14849" width="25.375" style="2334" customWidth="1"/>
    <col min="14850" max="14850" width="8.875" style="2334" customWidth="1"/>
    <col min="14851" max="14851" width="6.875" style="2334" customWidth="1"/>
    <col min="14852" max="14852" width="6.375" style="2334" customWidth="1"/>
    <col min="14853" max="14853" width="8.25" style="2334" customWidth="1"/>
    <col min="14854" max="14854" width="6.875" style="2334" customWidth="1"/>
    <col min="14855" max="14855" width="6.375" style="2334" customWidth="1"/>
    <col min="14856" max="14856" width="8.125" style="2334" customWidth="1"/>
    <col min="14857" max="14857" width="6.875" style="2334" customWidth="1"/>
    <col min="14858" max="14858" width="6.125" style="2334" customWidth="1"/>
    <col min="14859" max="14859" width="8.125" style="2334" customWidth="1"/>
    <col min="14860" max="14860" width="6.875" style="2334" customWidth="1"/>
    <col min="14861" max="14861" width="6.125" style="2334" customWidth="1"/>
    <col min="14862" max="14862" width="8.125" style="2334" customWidth="1"/>
    <col min="14863" max="14863" width="6.875" style="2334" customWidth="1"/>
    <col min="14864" max="14864" width="6.125" style="2334" customWidth="1"/>
    <col min="14865" max="15104" width="9" style="2334"/>
    <col min="15105" max="15105" width="25.375" style="2334" customWidth="1"/>
    <col min="15106" max="15106" width="8.875" style="2334" customWidth="1"/>
    <col min="15107" max="15107" width="6.875" style="2334" customWidth="1"/>
    <col min="15108" max="15108" width="6.375" style="2334" customWidth="1"/>
    <col min="15109" max="15109" width="8.25" style="2334" customWidth="1"/>
    <col min="15110" max="15110" width="6.875" style="2334" customWidth="1"/>
    <col min="15111" max="15111" width="6.375" style="2334" customWidth="1"/>
    <col min="15112" max="15112" width="8.125" style="2334" customWidth="1"/>
    <col min="15113" max="15113" width="6.875" style="2334" customWidth="1"/>
    <col min="15114" max="15114" width="6.125" style="2334" customWidth="1"/>
    <col min="15115" max="15115" width="8.125" style="2334" customWidth="1"/>
    <col min="15116" max="15116" width="6.875" style="2334" customWidth="1"/>
    <col min="15117" max="15117" width="6.125" style="2334" customWidth="1"/>
    <col min="15118" max="15118" width="8.125" style="2334" customWidth="1"/>
    <col min="15119" max="15119" width="6.875" style="2334" customWidth="1"/>
    <col min="15120" max="15120" width="6.125" style="2334" customWidth="1"/>
    <col min="15121" max="15360" width="9" style="2334"/>
    <col min="15361" max="15361" width="25.375" style="2334" customWidth="1"/>
    <col min="15362" max="15362" width="8.875" style="2334" customWidth="1"/>
    <col min="15363" max="15363" width="6.875" style="2334" customWidth="1"/>
    <col min="15364" max="15364" width="6.375" style="2334" customWidth="1"/>
    <col min="15365" max="15365" width="8.25" style="2334" customWidth="1"/>
    <col min="15366" max="15366" width="6.875" style="2334" customWidth="1"/>
    <col min="15367" max="15367" width="6.375" style="2334" customWidth="1"/>
    <col min="15368" max="15368" width="8.125" style="2334" customWidth="1"/>
    <col min="15369" max="15369" width="6.875" style="2334" customWidth="1"/>
    <col min="15370" max="15370" width="6.125" style="2334" customWidth="1"/>
    <col min="15371" max="15371" width="8.125" style="2334" customWidth="1"/>
    <col min="15372" max="15372" width="6.875" style="2334" customWidth="1"/>
    <col min="15373" max="15373" width="6.125" style="2334" customWidth="1"/>
    <col min="15374" max="15374" width="8.125" style="2334" customWidth="1"/>
    <col min="15375" max="15375" width="6.875" style="2334" customWidth="1"/>
    <col min="15376" max="15376" width="6.125" style="2334" customWidth="1"/>
    <col min="15377" max="15616" width="9" style="2334"/>
    <col min="15617" max="15617" width="25.375" style="2334" customWidth="1"/>
    <col min="15618" max="15618" width="8.875" style="2334" customWidth="1"/>
    <col min="15619" max="15619" width="6.875" style="2334" customWidth="1"/>
    <col min="15620" max="15620" width="6.375" style="2334" customWidth="1"/>
    <col min="15621" max="15621" width="8.25" style="2334" customWidth="1"/>
    <col min="15622" max="15622" width="6.875" style="2334" customWidth="1"/>
    <col min="15623" max="15623" width="6.375" style="2334" customWidth="1"/>
    <col min="15624" max="15624" width="8.125" style="2334" customWidth="1"/>
    <col min="15625" max="15625" width="6.875" style="2334" customWidth="1"/>
    <col min="15626" max="15626" width="6.125" style="2334" customWidth="1"/>
    <col min="15627" max="15627" width="8.125" style="2334" customWidth="1"/>
    <col min="15628" max="15628" width="6.875" style="2334" customWidth="1"/>
    <col min="15629" max="15629" width="6.125" style="2334" customWidth="1"/>
    <col min="15630" max="15630" width="8.125" style="2334" customWidth="1"/>
    <col min="15631" max="15631" width="6.875" style="2334" customWidth="1"/>
    <col min="15632" max="15632" width="6.125" style="2334" customWidth="1"/>
    <col min="15633" max="15872" width="9" style="2334"/>
    <col min="15873" max="15873" width="25.375" style="2334" customWidth="1"/>
    <col min="15874" max="15874" width="8.875" style="2334" customWidth="1"/>
    <col min="15875" max="15875" width="6.875" style="2334" customWidth="1"/>
    <col min="15876" max="15876" width="6.375" style="2334" customWidth="1"/>
    <col min="15877" max="15877" width="8.25" style="2334" customWidth="1"/>
    <col min="15878" max="15878" width="6.875" style="2334" customWidth="1"/>
    <col min="15879" max="15879" width="6.375" style="2334" customWidth="1"/>
    <col min="15880" max="15880" width="8.125" style="2334" customWidth="1"/>
    <col min="15881" max="15881" width="6.875" style="2334" customWidth="1"/>
    <col min="15882" max="15882" width="6.125" style="2334" customWidth="1"/>
    <col min="15883" max="15883" width="8.125" style="2334" customWidth="1"/>
    <col min="15884" max="15884" width="6.875" style="2334" customWidth="1"/>
    <col min="15885" max="15885" width="6.125" style="2334" customWidth="1"/>
    <col min="15886" max="15886" width="8.125" style="2334" customWidth="1"/>
    <col min="15887" max="15887" width="6.875" style="2334" customWidth="1"/>
    <col min="15888" max="15888" width="6.125" style="2334" customWidth="1"/>
    <col min="15889" max="16128" width="9" style="2334"/>
    <col min="16129" max="16129" width="25.375" style="2334" customWidth="1"/>
    <col min="16130" max="16130" width="8.875" style="2334" customWidth="1"/>
    <col min="16131" max="16131" width="6.875" style="2334" customWidth="1"/>
    <col min="16132" max="16132" width="6.375" style="2334" customWidth="1"/>
    <col min="16133" max="16133" width="8.25" style="2334" customWidth="1"/>
    <col min="16134" max="16134" width="6.875" style="2334" customWidth="1"/>
    <col min="16135" max="16135" width="6.375" style="2334" customWidth="1"/>
    <col min="16136" max="16136" width="8.125" style="2334" customWidth="1"/>
    <col min="16137" max="16137" width="6.875" style="2334" customWidth="1"/>
    <col min="16138" max="16138" width="6.125" style="2334" customWidth="1"/>
    <col min="16139" max="16139" width="8.125" style="2334" customWidth="1"/>
    <col min="16140" max="16140" width="6.875" style="2334" customWidth="1"/>
    <col min="16141" max="16141" width="6.125" style="2334" customWidth="1"/>
    <col min="16142" max="16142" width="8.125" style="2334" customWidth="1"/>
    <col min="16143" max="16143" width="6.875" style="2334" customWidth="1"/>
    <col min="16144" max="16144" width="6.125" style="2334" customWidth="1"/>
    <col min="16145" max="16384" width="9" style="2334"/>
  </cols>
  <sheetData>
    <row r="1" spans="1:29" s="2333" customFormat="1" ht="20.100000000000001" customHeight="1">
      <c r="A1" s="3969" t="s">
        <v>3563</v>
      </c>
      <c r="B1" s="3969"/>
      <c r="C1" s="3969"/>
      <c r="D1" s="3969"/>
      <c r="E1" s="3969"/>
      <c r="F1" s="3969"/>
      <c r="G1" s="3969"/>
      <c r="H1" s="3970"/>
      <c r="I1" s="3969"/>
      <c r="J1" s="3969"/>
      <c r="K1" s="3970"/>
      <c r="L1" s="3969"/>
      <c r="M1" s="3969"/>
      <c r="N1" s="3970"/>
      <c r="O1" s="3969"/>
      <c r="P1" s="3969"/>
    </row>
    <row r="2" spans="1:29" ht="20.100000000000001" customHeight="1">
      <c r="B2" s="3971"/>
      <c r="C2" s="3971"/>
      <c r="D2" s="3971"/>
      <c r="E2" s="2335"/>
      <c r="F2" s="2335"/>
      <c r="G2" s="2335"/>
      <c r="H2" s="3972"/>
      <c r="I2" s="3973"/>
      <c r="J2" s="3973"/>
      <c r="K2" s="3972"/>
      <c r="L2" s="3973"/>
      <c r="M2" s="3973"/>
      <c r="N2" s="3974" t="s">
        <v>3564</v>
      </c>
      <c r="O2" s="3971"/>
      <c r="P2" s="3971"/>
    </row>
    <row r="3" spans="1:29" ht="26.65" customHeight="1">
      <c r="A3" s="3975" t="s">
        <v>3565</v>
      </c>
      <c r="B3" s="3978" t="s">
        <v>3566</v>
      </c>
      <c r="C3" s="2336"/>
      <c r="D3" s="2337"/>
      <c r="E3" s="3980" t="s">
        <v>3567</v>
      </c>
      <c r="F3" s="2338"/>
      <c r="G3" s="2339"/>
      <c r="H3" s="3980" t="s">
        <v>3568</v>
      </c>
      <c r="I3" s="2336"/>
      <c r="J3" s="2337"/>
      <c r="K3" s="3980" t="s">
        <v>3569</v>
      </c>
      <c r="L3" s="2336"/>
      <c r="M3" s="2337"/>
      <c r="N3" s="3980" t="s">
        <v>3570</v>
      </c>
      <c r="O3" s="2336"/>
      <c r="P3" s="2336"/>
    </row>
    <row r="4" spans="1:29" ht="22.15" customHeight="1">
      <c r="A4" s="3976"/>
      <c r="B4" s="3979"/>
      <c r="C4" s="3967" t="s">
        <v>3571</v>
      </c>
      <c r="D4" s="2340"/>
      <c r="E4" s="3981"/>
      <c r="F4" s="3967" t="s">
        <v>3572</v>
      </c>
      <c r="G4" s="2340"/>
      <c r="H4" s="3981"/>
      <c r="I4" s="3967" t="s">
        <v>3571</v>
      </c>
      <c r="J4" s="2340"/>
      <c r="K4" s="3981"/>
      <c r="L4" s="3967" t="s">
        <v>3573</v>
      </c>
      <c r="M4" s="2340"/>
      <c r="N4" s="3981"/>
      <c r="O4" s="3967" t="s">
        <v>3574</v>
      </c>
      <c r="P4" s="2341"/>
      <c r="Q4" s="2342"/>
    </row>
    <row r="5" spans="1:29" ht="33" customHeight="1">
      <c r="A5" s="3977"/>
      <c r="B5" s="2343"/>
      <c r="C5" s="3968"/>
      <c r="D5" s="2344" t="s">
        <v>3575</v>
      </c>
      <c r="E5" s="2345"/>
      <c r="F5" s="3968"/>
      <c r="G5" s="2344" t="s">
        <v>3575</v>
      </c>
      <c r="H5" s="2346"/>
      <c r="I5" s="3968"/>
      <c r="J5" s="2344" t="s">
        <v>3575</v>
      </c>
      <c r="K5" s="2346"/>
      <c r="L5" s="3968"/>
      <c r="M5" s="2344" t="s">
        <v>3576</v>
      </c>
      <c r="N5" s="2346"/>
      <c r="O5" s="3968"/>
      <c r="P5" s="2344" t="s">
        <v>3577</v>
      </c>
    </row>
    <row r="6" spans="1:29" ht="20.25" customHeight="1">
      <c r="A6" s="2347" t="s">
        <v>349</v>
      </c>
      <c r="B6" s="2348">
        <v>185053</v>
      </c>
      <c r="C6" s="2349">
        <v>25111</v>
      </c>
      <c r="D6" s="2350">
        <v>13.569625999038113</v>
      </c>
      <c r="E6" s="2348">
        <v>181132</v>
      </c>
      <c r="F6" s="2349">
        <v>24625</v>
      </c>
      <c r="G6" s="2350">
        <v>13.595057747940729</v>
      </c>
      <c r="H6" s="2348">
        <v>192539</v>
      </c>
      <c r="I6" s="2349">
        <v>26554</v>
      </c>
      <c r="J6" s="2350">
        <v>13.791491593910843</v>
      </c>
      <c r="K6" s="2348">
        <v>192555</v>
      </c>
      <c r="L6" s="2349">
        <v>26713</v>
      </c>
      <c r="M6" s="2350">
        <v>13.872919425618655</v>
      </c>
      <c r="N6" s="2348">
        <v>183159</v>
      </c>
      <c r="O6" s="2349">
        <v>26519</v>
      </c>
      <c r="P6" s="2351">
        <v>14.478676996489389</v>
      </c>
      <c r="R6" s="2352"/>
      <c r="S6" s="2330"/>
      <c r="T6" s="2353"/>
      <c r="U6" s="2330"/>
      <c r="V6" s="2353"/>
      <c r="W6" s="2330"/>
      <c r="X6" s="2353"/>
      <c r="Y6" s="2330"/>
      <c r="Z6" s="2353"/>
      <c r="AA6" s="2330"/>
      <c r="AB6" s="2353"/>
      <c r="AC6" s="2342"/>
    </row>
    <row r="7" spans="1:29" ht="20.25" customHeight="1">
      <c r="A7" s="2347" t="s">
        <v>3578</v>
      </c>
      <c r="B7" s="2354">
        <v>16</v>
      </c>
      <c r="C7" s="2355">
        <v>11</v>
      </c>
      <c r="D7" s="2356">
        <v>68.75</v>
      </c>
      <c r="E7" s="2354">
        <v>16</v>
      </c>
      <c r="F7" s="2355">
        <v>10</v>
      </c>
      <c r="G7" s="2356">
        <v>62.5</v>
      </c>
      <c r="H7" s="2354">
        <v>19</v>
      </c>
      <c r="I7" s="2355">
        <v>11</v>
      </c>
      <c r="J7" s="2356">
        <v>57.894736842105267</v>
      </c>
      <c r="K7" s="2354">
        <v>21</v>
      </c>
      <c r="L7" s="2355">
        <v>12</v>
      </c>
      <c r="M7" s="2356">
        <v>57.142857142857139</v>
      </c>
      <c r="N7" s="2354">
        <v>14</v>
      </c>
      <c r="O7" s="2355">
        <v>10</v>
      </c>
      <c r="P7" s="2357">
        <v>71.428571428571431</v>
      </c>
      <c r="R7" s="2358"/>
      <c r="S7" s="2359"/>
      <c r="T7" s="2360"/>
      <c r="U7" s="2359"/>
      <c r="V7" s="2360"/>
      <c r="W7" s="2359"/>
      <c r="X7" s="2360"/>
      <c r="Y7" s="2359"/>
      <c r="Z7" s="2360"/>
      <c r="AA7" s="2359"/>
      <c r="AB7" s="2360"/>
      <c r="AC7" s="2342"/>
    </row>
    <row r="8" spans="1:29" ht="20.25" customHeight="1">
      <c r="A8" s="2347" t="s">
        <v>826</v>
      </c>
      <c r="B8" s="2354">
        <v>319</v>
      </c>
      <c r="C8" s="2355">
        <v>169</v>
      </c>
      <c r="D8" s="2356">
        <v>52.978056426332287</v>
      </c>
      <c r="E8" s="2354">
        <v>327</v>
      </c>
      <c r="F8" s="2355">
        <v>182</v>
      </c>
      <c r="G8" s="2356">
        <v>55.657492354740057</v>
      </c>
      <c r="H8" s="2354">
        <v>347</v>
      </c>
      <c r="I8" s="2355">
        <v>187</v>
      </c>
      <c r="J8" s="2356">
        <v>53.89048991354467</v>
      </c>
      <c r="K8" s="2354">
        <v>342</v>
      </c>
      <c r="L8" s="2355">
        <v>171</v>
      </c>
      <c r="M8" s="2356">
        <v>50</v>
      </c>
      <c r="N8" s="2354">
        <v>329</v>
      </c>
      <c r="O8" s="2355">
        <v>170</v>
      </c>
      <c r="P8" s="2357">
        <v>51.671732522796354</v>
      </c>
      <c r="R8" s="2361"/>
      <c r="S8" s="2359"/>
      <c r="T8" s="2360"/>
      <c r="U8" s="2359"/>
      <c r="V8" s="2360"/>
      <c r="W8" s="2359"/>
      <c r="X8" s="2360"/>
      <c r="Y8" s="2359"/>
      <c r="Z8" s="2360"/>
      <c r="AA8" s="2359"/>
      <c r="AB8" s="2360"/>
      <c r="AC8" s="2342"/>
    </row>
    <row r="9" spans="1:29" ht="20.25" customHeight="1">
      <c r="A9" s="2347" t="s">
        <v>990</v>
      </c>
      <c r="B9" s="2354">
        <v>877</v>
      </c>
      <c r="C9" s="2355">
        <v>482</v>
      </c>
      <c r="D9" s="2356">
        <v>54.960091220068421</v>
      </c>
      <c r="E9" s="2354">
        <v>712</v>
      </c>
      <c r="F9" s="2355">
        <v>376</v>
      </c>
      <c r="G9" s="2356">
        <v>52.80898876404494</v>
      </c>
      <c r="H9" s="2354">
        <v>753</v>
      </c>
      <c r="I9" s="2355">
        <v>386</v>
      </c>
      <c r="J9" s="2356">
        <v>51.261620185922972</v>
      </c>
      <c r="K9" s="2354">
        <v>606</v>
      </c>
      <c r="L9" s="2355">
        <v>294</v>
      </c>
      <c r="M9" s="2356">
        <v>48.514851485148512</v>
      </c>
      <c r="N9" s="2354">
        <v>563</v>
      </c>
      <c r="O9" s="2355">
        <v>284</v>
      </c>
      <c r="P9" s="2357">
        <v>50.444049733570161</v>
      </c>
      <c r="R9" s="2361"/>
      <c r="S9" s="2359"/>
      <c r="T9" s="2360"/>
      <c r="U9" s="2359"/>
      <c r="V9" s="2360"/>
      <c r="W9" s="2359"/>
      <c r="X9" s="2360"/>
      <c r="Y9" s="2359"/>
      <c r="Z9" s="2360"/>
      <c r="AA9" s="2359"/>
      <c r="AB9" s="2360"/>
      <c r="AC9" s="2342"/>
    </row>
    <row r="10" spans="1:29" ht="20.25" customHeight="1">
      <c r="A10" s="2347" t="s">
        <v>3579</v>
      </c>
      <c r="B10" s="2354" t="s">
        <v>1</v>
      </c>
      <c r="C10" s="2355">
        <v>0</v>
      </c>
      <c r="D10" s="2356" t="s">
        <v>1</v>
      </c>
      <c r="E10" s="2354">
        <v>1</v>
      </c>
      <c r="F10" s="2355">
        <v>0</v>
      </c>
      <c r="G10" s="2356">
        <v>0</v>
      </c>
      <c r="H10" s="2354" t="s">
        <v>1</v>
      </c>
      <c r="I10" s="2355">
        <v>0</v>
      </c>
      <c r="J10" s="2356" t="s">
        <v>1</v>
      </c>
      <c r="K10" s="2354" t="s">
        <v>1</v>
      </c>
      <c r="L10" s="2355">
        <v>0</v>
      </c>
      <c r="M10" s="2356" t="s">
        <v>1</v>
      </c>
      <c r="N10" s="2354">
        <v>4</v>
      </c>
      <c r="O10" s="2355">
        <v>2</v>
      </c>
      <c r="P10" s="2357">
        <v>50</v>
      </c>
      <c r="R10" s="2361"/>
      <c r="S10" s="2359"/>
      <c r="T10" s="2360"/>
      <c r="U10" s="2359"/>
      <c r="V10" s="2360"/>
      <c r="W10" s="2359"/>
      <c r="X10" s="2360"/>
      <c r="Y10" s="2359"/>
      <c r="Z10" s="2360"/>
      <c r="AA10" s="2359"/>
      <c r="AB10" s="2360"/>
      <c r="AC10" s="2342"/>
    </row>
    <row r="11" spans="1:29" ht="20.25" customHeight="1">
      <c r="A11" s="2347" t="s">
        <v>3580</v>
      </c>
      <c r="B11" s="2354">
        <v>533</v>
      </c>
      <c r="C11" s="2355">
        <v>231</v>
      </c>
      <c r="D11" s="2356">
        <v>43.339587242026269</v>
      </c>
      <c r="E11" s="2354">
        <v>295</v>
      </c>
      <c r="F11" s="2355">
        <v>114</v>
      </c>
      <c r="G11" s="2356">
        <v>38.644067796610173</v>
      </c>
      <c r="H11" s="2354">
        <v>176</v>
      </c>
      <c r="I11" s="2355">
        <v>68</v>
      </c>
      <c r="J11" s="2356">
        <v>38.636363636363633</v>
      </c>
      <c r="K11" s="2354">
        <v>45</v>
      </c>
      <c r="L11" s="2355">
        <v>25</v>
      </c>
      <c r="M11" s="2356">
        <v>55.555555555555557</v>
      </c>
      <c r="N11" s="2354">
        <v>397</v>
      </c>
      <c r="O11" s="2355">
        <v>197</v>
      </c>
      <c r="P11" s="2357">
        <v>49.622166246851386</v>
      </c>
      <c r="R11" s="2361"/>
      <c r="S11" s="2359"/>
      <c r="T11" s="2360"/>
      <c r="U11" s="2359"/>
      <c r="V11" s="2360"/>
      <c r="W11" s="2359"/>
      <c r="X11" s="2360"/>
      <c r="Y11" s="2359"/>
      <c r="Z11" s="2360"/>
      <c r="AA11" s="2359"/>
      <c r="AB11" s="2360"/>
      <c r="AC11" s="2342"/>
    </row>
    <row r="12" spans="1:29" ht="20.25" customHeight="1">
      <c r="A12" s="2347" t="s">
        <v>3535</v>
      </c>
      <c r="B12" s="2354">
        <v>30</v>
      </c>
      <c r="C12" s="2355">
        <v>11</v>
      </c>
      <c r="D12" s="2356">
        <v>36.666666666666664</v>
      </c>
      <c r="E12" s="2354">
        <v>3</v>
      </c>
      <c r="F12" s="2355">
        <v>0</v>
      </c>
      <c r="G12" s="2356">
        <v>0</v>
      </c>
      <c r="H12" s="2354">
        <v>1</v>
      </c>
      <c r="I12" s="2355">
        <v>0</v>
      </c>
      <c r="J12" s="2356">
        <v>0</v>
      </c>
      <c r="K12" s="2354">
        <v>3</v>
      </c>
      <c r="L12" s="2355">
        <v>0</v>
      </c>
      <c r="M12" s="2356">
        <v>0</v>
      </c>
      <c r="N12" s="2354">
        <v>15</v>
      </c>
      <c r="O12" s="2355">
        <v>6</v>
      </c>
      <c r="P12" s="2357">
        <v>40</v>
      </c>
    </row>
    <row r="13" spans="1:29" ht="20.25" customHeight="1">
      <c r="A13" s="2347" t="s">
        <v>3534</v>
      </c>
      <c r="B13" s="2354">
        <v>42</v>
      </c>
      <c r="C13" s="2355">
        <v>22</v>
      </c>
      <c r="D13" s="2356">
        <v>52.380952380952387</v>
      </c>
      <c r="E13" s="2354">
        <v>41</v>
      </c>
      <c r="F13" s="2355">
        <v>23</v>
      </c>
      <c r="G13" s="2356">
        <v>56.09756097560976</v>
      </c>
      <c r="H13" s="2354">
        <v>48</v>
      </c>
      <c r="I13" s="2355">
        <v>21</v>
      </c>
      <c r="J13" s="2356">
        <v>43.75</v>
      </c>
      <c r="K13" s="2354">
        <v>19</v>
      </c>
      <c r="L13" s="2355">
        <v>10</v>
      </c>
      <c r="M13" s="2356">
        <v>52.631578947368418</v>
      </c>
      <c r="N13" s="2354">
        <v>33</v>
      </c>
      <c r="O13" s="2355">
        <v>13</v>
      </c>
      <c r="P13" s="2357">
        <v>39.393939393939391</v>
      </c>
    </row>
    <row r="14" spans="1:29" ht="20.25" customHeight="1">
      <c r="A14" s="2347" t="s">
        <v>3581</v>
      </c>
      <c r="B14" s="2354">
        <v>20</v>
      </c>
      <c r="C14" s="2355">
        <v>8</v>
      </c>
      <c r="D14" s="2356">
        <v>40</v>
      </c>
      <c r="E14" s="2354">
        <v>18</v>
      </c>
      <c r="F14" s="2355">
        <v>7</v>
      </c>
      <c r="G14" s="2356">
        <v>38.888888888888893</v>
      </c>
      <c r="H14" s="2354">
        <v>8</v>
      </c>
      <c r="I14" s="2355">
        <v>1</v>
      </c>
      <c r="J14" s="2356">
        <v>12.5</v>
      </c>
      <c r="K14" s="2354">
        <v>17</v>
      </c>
      <c r="L14" s="2355">
        <v>8</v>
      </c>
      <c r="M14" s="2356">
        <v>47.058823529411761</v>
      </c>
      <c r="N14" s="2354">
        <v>13</v>
      </c>
      <c r="O14" s="2355">
        <v>5</v>
      </c>
      <c r="P14" s="2357">
        <v>38.461538461538467</v>
      </c>
    </row>
    <row r="15" spans="1:29" s="2362" customFormat="1" ht="20.25" customHeight="1">
      <c r="A15" s="2347" t="s">
        <v>3523</v>
      </c>
      <c r="B15" s="2354">
        <v>7</v>
      </c>
      <c r="C15" s="2355">
        <v>5</v>
      </c>
      <c r="D15" s="2356">
        <v>71.428571428571431</v>
      </c>
      <c r="E15" s="2354">
        <v>9</v>
      </c>
      <c r="F15" s="2355">
        <v>3</v>
      </c>
      <c r="G15" s="2356">
        <v>33.333333333333329</v>
      </c>
      <c r="H15" s="2354">
        <v>3</v>
      </c>
      <c r="I15" s="2355">
        <v>1</v>
      </c>
      <c r="J15" s="2356">
        <v>33.333333333333329</v>
      </c>
      <c r="K15" s="2354">
        <v>162</v>
      </c>
      <c r="L15" s="2355">
        <v>55</v>
      </c>
      <c r="M15" s="2356">
        <v>33.950617283950621</v>
      </c>
      <c r="N15" s="2354">
        <v>281</v>
      </c>
      <c r="O15" s="2355">
        <v>105</v>
      </c>
      <c r="P15" s="2357">
        <v>37.366548042704629</v>
      </c>
    </row>
    <row r="16" spans="1:29" s="2362" customFormat="1" ht="20.25" customHeight="1">
      <c r="A16" s="2347" t="s">
        <v>828</v>
      </c>
      <c r="B16" s="2354">
        <v>262</v>
      </c>
      <c r="C16" s="2355">
        <v>53</v>
      </c>
      <c r="D16" s="2356">
        <v>20.229007633587788</v>
      </c>
      <c r="E16" s="2354">
        <v>258</v>
      </c>
      <c r="F16" s="2355">
        <v>56</v>
      </c>
      <c r="G16" s="2356">
        <v>21.705426356589147</v>
      </c>
      <c r="H16" s="2354">
        <v>217</v>
      </c>
      <c r="I16" s="2355">
        <v>36</v>
      </c>
      <c r="J16" s="2356">
        <v>16.589861751152075</v>
      </c>
      <c r="K16" s="2354">
        <v>198</v>
      </c>
      <c r="L16" s="2355">
        <v>43</v>
      </c>
      <c r="M16" s="2356">
        <v>21.71717171717172</v>
      </c>
      <c r="N16" s="2354">
        <v>171</v>
      </c>
      <c r="O16" s="2355">
        <v>60</v>
      </c>
      <c r="P16" s="2357">
        <v>35.087719298245609</v>
      </c>
    </row>
    <row r="17" spans="1:16" s="2362" customFormat="1" ht="20.25" customHeight="1">
      <c r="A17" s="2347" t="s">
        <v>3531</v>
      </c>
      <c r="B17" s="2354">
        <v>140</v>
      </c>
      <c r="C17" s="2355">
        <v>59</v>
      </c>
      <c r="D17" s="2356">
        <v>42.142857142857146</v>
      </c>
      <c r="E17" s="2354">
        <v>53</v>
      </c>
      <c r="F17" s="2355">
        <v>22</v>
      </c>
      <c r="G17" s="2356">
        <v>41.509433962264154</v>
      </c>
      <c r="H17" s="2354">
        <v>84</v>
      </c>
      <c r="I17" s="2355">
        <v>36</v>
      </c>
      <c r="J17" s="2356">
        <v>42.857142857142854</v>
      </c>
      <c r="K17" s="2354">
        <v>85</v>
      </c>
      <c r="L17" s="2355">
        <v>42</v>
      </c>
      <c r="M17" s="2356">
        <v>49.411764705882355</v>
      </c>
      <c r="N17" s="2354">
        <v>97</v>
      </c>
      <c r="O17" s="2355">
        <v>34</v>
      </c>
      <c r="P17" s="2357">
        <v>35.051546391752574</v>
      </c>
    </row>
    <row r="18" spans="1:16" s="2362" customFormat="1" ht="20.25" customHeight="1">
      <c r="A18" s="2347" t="s">
        <v>3526</v>
      </c>
      <c r="B18" s="2354">
        <v>211</v>
      </c>
      <c r="C18" s="2355">
        <v>96</v>
      </c>
      <c r="D18" s="2356">
        <v>45.497630331753555</v>
      </c>
      <c r="E18" s="2354">
        <v>241</v>
      </c>
      <c r="F18" s="2355">
        <v>82</v>
      </c>
      <c r="G18" s="2356">
        <v>34.024896265560166</v>
      </c>
      <c r="H18" s="2354">
        <v>190</v>
      </c>
      <c r="I18" s="2355">
        <v>68</v>
      </c>
      <c r="J18" s="2356">
        <v>35.789473684210527</v>
      </c>
      <c r="K18" s="2354">
        <v>198</v>
      </c>
      <c r="L18" s="2355">
        <v>61</v>
      </c>
      <c r="M18" s="2356">
        <v>30.808080808080806</v>
      </c>
      <c r="N18" s="2354">
        <v>213</v>
      </c>
      <c r="O18" s="2355">
        <v>74</v>
      </c>
      <c r="P18" s="2357">
        <v>34.741784037558688</v>
      </c>
    </row>
    <row r="19" spans="1:16" s="2362" customFormat="1" ht="20.25" customHeight="1">
      <c r="A19" s="2347" t="s">
        <v>3524</v>
      </c>
      <c r="B19" s="2354">
        <v>144</v>
      </c>
      <c r="C19" s="2355">
        <v>42</v>
      </c>
      <c r="D19" s="2356">
        <v>29.166666666666668</v>
      </c>
      <c r="E19" s="2354">
        <v>181</v>
      </c>
      <c r="F19" s="2355">
        <v>67</v>
      </c>
      <c r="G19" s="2356">
        <v>37.016574585635361</v>
      </c>
      <c r="H19" s="2354">
        <v>232</v>
      </c>
      <c r="I19" s="2355">
        <v>82</v>
      </c>
      <c r="J19" s="2356">
        <v>35.344827586206897</v>
      </c>
      <c r="K19" s="2354">
        <v>228</v>
      </c>
      <c r="L19" s="2355">
        <v>84</v>
      </c>
      <c r="M19" s="2356">
        <v>36.84210526315789</v>
      </c>
      <c r="N19" s="2354">
        <v>288</v>
      </c>
      <c r="O19" s="2355">
        <v>99</v>
      </c>
      <c r="P19" s="2357">
        <v>34.375</v>
      </c>
    </row>
    <row r="20" spans="1:16" ht="20.25" customHeight="1">
      <c r="A20" s="2347" t="s">
        <v>995</v>
      </c>
      <c r="B20" s="2354">
        <v>49</v>
      </c>
      <c r="C20" s="2355">
        <v>19</v>
      </c>
      <c r="D20" s="2356">
        <v>38.775510204081634</v>
      </c>
      <c r="E20" s="2354">
        <v>69</v>
      </c>
      <c r="F20" s="2355">
        <v>22</v>
      </c>
      <c r="G20" s="2356">
        <v>31.884057971014489</v>
      </c>
      <c r="H20" s="2354">
        <v>56</v>
      </c>
      <c r="I20" s="2355">
        <v>12</v>
      </c>
      <c r="J20" s="2356">
        <v>21.428571428571427</v>
      </c>
      <c r="K20" s="2354">
        <v>133</v>
      </c>
      <c r="L20" s="2355">
        <v>40</v>
      </c>
      <c r="M20" s="2356">
        <v>30.075187969924812</v>
      </c>
      <c r="N20" s="2354">
        <v>147</v>
      </c>
      <c r="O20" s="2355">
        <v>50</v>
      </c>
      <c r="P20" s="2357">
        <v>34.013605442176868</v>
      </c>
    </row>
    <row r="21" spans="1:16" ht="20.25" customHeight="1">
      <c r="A21" s="2347" t="s">
        <v>3582</v>
      </c>
      <c r="B21" s="2354">
        <v>322</v>
      </c>
      <c r="C21" s="2355">
        <v>98</v>
      </c>
      <c r="D21" s="2356">
        <v>30.434782608695656</v>
      </c>
      <c r="E21" s="2354">
        <v>282</v>
      </c>
      <c r="F21" s="2355">
        <v>100</v>
      </c>
      <c r="G21" s="2356">
        <v>35.460992907801419</v>
      </c>
      <c r="H21" s="2354">
        <v>325</v>
      </c>
      <c r="I21" s="2355">
        <v>97</v>
      </c>
      <c r="J21" s="2356">
        <v>29.846153846153843</v>
      </c>
      <c r="K21" s="2354">
        <v>310</v>
      </c>
      <c r="L21" s="2355">
        <v>85</v>
      </c>
      <c r="M21" s="2356">
        <v>27.419354838709676</v>
      </c>
      <c r="N21" s="2354">
        <v>313</v>
      </c>
      <c r="O21" s="2355">
        <v>106</v>
      </c>
      <c r="P21" s="2357">
        <v>33.865814696485621</v>
      </c>
    </row>
    <row r="22" spans="1:16" s="2362" customFormat="1" ht="20.25" customHeight="1">
      <c r="A22" s="2347" t="s">
        <v>3549</v>
      </c>
      <c r="B22" s="2354">
        <v>4</v>
      </c>
      <c r="C22" s="2355">
        <v>1</v>
      </c>
      <c r="D22" s="2356">
        <v>25</v>
      </c>
      <c r="E22" s="2354">
        <v>6</v>
      </c>
      <c r="F22" s="2355">
        <v>1</v>
      </c>
      <c r="G22" s="2356">
        <v>16.666666666666664</v>
      </c>
      <c r="H22" s="2354">
        <v>4</v>
      </c>
      <c r="I22" s="2355">
        <v>1</v>
      </c>
      <c r="J22" s="2356">
        <v>25</v>
      </c>
      <c r="K22" s="2354">
        <v>7</v>
      </c>
      <c r="L22" s="2355">
        <v>2</v>
      </c>
      <c r="M22" s="2356">
        <v>28.571428571428569</v>
      </c>
      <c r="N22" s="2354">
        <v>6</v>
      </c>
      <c r="O22" s="2355">
        <v>2</v>
      </c>
      <c r="P22" s="2357">
        <v>33.333333333333329</v>
      </c>
    </row>
    <row r="23" spans="1:16" ht="20.25" customHeight="1">
      <c r="A23" s="2347" t="s">
        <v>823</v>
      </c>
      <c r="B23" s="2354">
        <v>1142</v>
      </c>
      <c r="C23" s="2355">
        <v>414</v>
      </c>
      <c r="D23" s="2356">
        <v>36.252189141856391</v>
      </c>
      <c r="E23" s="2354">
        <v>1194</v>
      </c>
      <c r="F23" s="2355">
        <v>382</v>
      </c>
      <c r="G23" s="2356">
        <v>31.993299832495815</v>
      </c>
      <c r="H23" s="2354">
        <v>1414</v>
      </c>
      <c r="I23" s="2355">
        <v>483</v>
      </c>
      <c r="J23" s="2356">
        <v>34.158415841584159</v>
      </c>
      <c r="K23" s="2354">
        <v>1734</v>
      </c>
      <c r="L23" s="2355">
        <v>588</v>
      </c>
      <c r="M23" s="2356">
        <v>33.910034602076124</v>
      </c>
      <c r="N23" s="2354">
        <v>1712</v>
      </c>
      <c r="O23" s="2355">
        <v>568</v>
      </c>
      <c r="P23" s="2357">
        <v>33.177570093457945</v>
      </c>
    </row>
    <row r="24" spans="1:16" ht="20.25" customHeight="1">
      <c r="A24" s="2347" t="s">
        <v>987</v>
      </c>
      <c r="B24" s="2354">
        <v>693</v>
      </c>
      <c r="C24" s="2355">
        <v>214</v>
      </c>
      <c r="D24" s="2356">
        <v>30.880230880230879</v>
      </c>
      <c r="E24" s="2354">
        <v>256</v>
      </c>
      <c r="F24" s="2355">
        <v>62</v>
      </c>
      <c r="G24" s="2356">
        <v>24.21875</v>
      </c>
      <c r="H24" s="2354">
        <v>134</v>
      </c>
      <c r="I24" s="2355">
        <v>50</v>
      </c>
      <c r="J24" s="2356">
        <v>37.313432835820898</v>
      </c>
      <c r="K24" s="2354">
        <v>40</v>
      </c>
      <c r="L24" s="2355">
        <v>10</v>
      </c>
      <c r="M24" s="2356">
        <v>25</v>
      </c>
      <c r="N24" s="2354">
        <v>528</v>
      </c>
      <c r="O24" s="2355">
        <v>169</v>
      </c>
      <c r="P24" s="2357">
        <v>32.007575757575758</v>
      </c>
    </row>
    <row r="25" spans="1:16" ht="20.25" customHeight="1">
      <c r="A25" s="2347" t="s">
        <v>813</v>
      </c>
      <c r="B25" s="2354">
        <v>3813</v>
      </c>
      <c r="C25" s="2355">
        <v>1075</v>
      </c>
      <c r="D25" s="2356">
        <v>28.193023865722527</v>
      </c>
      <c r="E25" s="2354">
        <v>3461</v>
      </c>
      <c r="F25" s="2355">
        <v>990</v>
      </c>
      <c r="G25" s="2356">
        <v>28.604449581045944</v>
      </c>
      <c r="H25" s="2354">
        <v>3562</v>
      </c>
      <c r="I25" s="2355">
        <v>1035</v>
      </c>
      <c r="J25" s="2356">
        <v>29.056709713644018</v>
      </c>
      <c r="K25" s="2354">
        <v>3450</v>
      </c>
      <c r="L25" s="2355">
        <v>971</v>
      </c>
      <c r="M25" s="2356">
        <v>28.144927536231883</v>
      </c>
      <c r="N25" s="2354">
        <v>3242</v>
      </c>
      <c r="O25" s="2355">
        <v>979</v>
      </c>
      <c r="P25" s="2357">
        <v>30.197409006785936</v>
      </c>
    </row>
    <row r="26" spans="1:16" ht="20.25" customHeight="1">
      <c r="A26" s="2347" t="s">
        <v>3533</v>
      </c>
      <c r="B26" s="2354">
        <v>59</v>
      </c>
      <c r="C26" s="2355">
        <v>15</v>
      </c>
      <c r="D26" s="2356">
        <v>25.423728813559322</v>
      </c>
      <c r="E26" s="2354">
        <v>82</v>
      </c>
      <c r="F26" s="2355">
        <v>23</v>
      </c>
      <c r="G26" s="2356">
        <v>28.04878048780488</v>
      </c>
      <c r="H26" s="2354">
        <v>39</v>
      </c>
      <c r="I26" s="2355">
        <v>11</v>
      </c>
      <c r="J26" s="2356">
        <v>28.205128205128204</v>
      </c>
      <c r="K26" s="2354">
        <v>50</v>
      </c>
      <c r="L26" s="2355">
        <v>13</v>
      </c>
      <c r="M26" s="2356">
        <v>26</v>
      </c>
      <c r="N26" s="2354">
        <v>63</v>
      </c>
      <c r="O26" s="2355">
        <v>19</v>
      </c>
      <c r="P26" s="2357">
        <v>30.158730158730158</v>
      </c>
    </row>
    <row r="27" spans="1:16" ht="20.25" customHeight="1">
      <c r="A27" s="2347" t="s">
        <v>3530</v>
      </c>
      <c r="B27" s="2354">
        <v>250</v>
      </c>
      <c r="C27" s="2355">
        <v>101</v>
      </c>
      <c r="D27" s="2356">
        <v>40.400000000000006</v>
      </c>
      <c r="E27" s="2354">
        <v>156</v>
      </c>
      <c r="F27" s="2355">
        <v>53</v>
      </c>
      <c r="G27" s="2356">
        <v>33.974358974358978</v>
      </c>
      <c r="H27" s="2354">
        <v>198</v>
      </c>
      <c r="I27" s="2355">
        <v>67</v>
      </c>
      <c r="J27" s="2356">
        <v>33.838383838383841</v>
      </c>
      <c r="K27" s="2354">
        <v>184</v>
      </c>
      <c r="L27" s="2355">
        <v>72</v>
      </c>
      <c r="M27" s="2356">
        <v>39.130434782608695</v>
      </c>
      <c r="N27" s="2354">
        <v>124</v>
      </c>
      <c r="O27" s="2355">
        <v>37</v>
      </c>
      <c r="P27" s="2357">
        <v>29.838709677419356</v>
      </c>
    </row>
    <row r="28" spans="1:16" ht="20.25" customHeight="1">
      <c r="A28" s="2347" t="s">
        <v>1086</v>
      </c>
      <c r="B28" s="2354">
        <v>8104</v>
      </c>
      <c r="C28" s="2355">
        <v>2508</v>
      </c>
      <c r="D28" s="2356">
        <v>30.947680157946696</v>
      </c>
      <c r="E28" s="2354">
        <v>8262</v>
      </c>
      <c r="F28" s="2355">
        <v>2831</v>
      </c>
      <c r="G28" s="2356">
        <v>34.265311062696682</v>
      </c>
      <c r="H28" s="2354">
        <v>7280</v>
      </c>
      <c r="I28" s="2355">
        <v>2388</v>
      </c>
      <c r="J28" s="2356">
        <v>32.802197802197803</v>
      </c>
      <c r="K28" s="2354">
        <v>5400</v>
      </c>
      <c r="L28" s="2355">
        <v>1424</v>
      </c>
      <c r="M28" s="2356">
        <v>26.37037037037037</v>
      </c>
      <c r="N28" s="2354">
        <v>4823</v>
      </c>
      <c r="O28" s="2355">
        <v>1398</v>
      </c>
      <c r="P28" s="2357">
        <v>28.986108231391249</v>
      </c>
    </row>
    <row r="29" spans="1:16" ht="20.25" customHeight="1">
      <c r="A29" s="2347" t="s">
        <v>3527</v>
      </c>
      <c r="B29" s="2354">
        <v>112</v>
      </c>
      <c r="C29" s="2355">
        <v>35</v>
      </c>
      <c r="D29" s="2356">
        <v>31.25</v>
      </c>
      <c r="E29" s="2354">
        <v>73</v>
      </c>
      <c r="F29" s="2355">
        <v>16</v>
      </c>
      <c r="G29" s="2356">
        <v>21.917808219178081</v>
      </c>
      <c r="H29" s="2354">
        <v>79</v>
      </c>
      <c r="I29" s="2355">
        <v>31</v>
      </c>
      <c r="J29" s="2356">
        <v>39.24050632911392</v>
      </c>
      <c r="K29" s="2354">
        <v>101</v>
      </c>
      <c r="L29" s="2355">
        <v>31</v>
      </c>
      <c r="M29" s="2356">
        <v>30.693069306930692</v>
      </c>
      <c r="N29" s="2354">
        <v>145</v>
      </c>
      <c r="O29" s="2355">
        <v>42</v>
      </c>
      <c r="P29" s="2357">
        <v>28.965517241379313</v>
      </c>
    </row>
    <row r="30" spans="1:16" ht="20.25" customHeight="1">
      <c r="A30" s="2347" t="s">
        <v>3583</v>
      </c>
      <c r="B30" s="2354">
        <v>147</v>
      </c>
      <c r="C30" s="2355">
        <v>38</v>
      </c>
      <c r="D30" s="2356">
        <v>25.850340136054424</v>
      </c>
      <c r="E30" s="2354">
        <v>176</v>
      </c>
      <c r="F30" s="2355">
        <v>43</v>
      </c>
      <c r="G30" s="2356">
        <v>24.431818181818183</v>
      </c>
      <c r="H30" s="2354">
        <v>178</v>
      </c>
      <c r="I30" s="2355">
        <v>60</v>
      </c>
      <c r="J30" s="2356">
        <v>33.707865168539328</v>
      </c>
      <c r="K30" s="2354">
        <v>175</v>
      </c>
      <c r="L30" s="2355">
        <v>59</v>
      </c>
      <c r="M30" s="2356">
        <v>33.714285714285715</v>
      </c>
      <c r="N30" s="2354">
        <v>188</v>
      </c>
      <c r="O30" s="2355">
        <v>54</v>
      </c>
      <c r="P30" s="2357">
        <v>28.723404255319153</v>
      </c>
    </row>
    <row r="31" spans="1:16" ht="20.25" customHeight="1">
      <c r="A31" s="2347" t="s">
        <v>3584</v>
      </c>
      <c r="B31" s="2354">
        <v>373</v>
      </c>
      <c r="C31" s="2355">
        <v>107</v>
      </c>
      <c r="D31" s="2356">
        <v>28.686327077747993</v>
      </c>
      <c r="E31" s="2354">
        <v>377</v>
      </c>
      <c r="F31" s="2355">
        <v>112</v>
      </c>
      <c r="G31" s="2356">
        <v>29.708222811671085</v>
      </c>
      <c r="H31" s="2354">
        <v>342</v>
      </c>
      <c r="I31" s="2355">
        <v>99</v>
      </c>
      <c r="J31" s="2356">
        <v>28.947368421052634</v>
      </c>
      <c r="K31" s="2354">
        <v>395</v>
      </c>
      <c r="L31" s="2355">
        <v>110</v>
      </c>
      <c r="M31" s="2356">
        <v>27.848101265822784</v>
      </c>
      <c r="N31" s="2354">
        <v>329</v>
      </c>
      <c r="O31" s="2355">
        <v>94</v>
      </c>
      <c r="P31" s="2357">
        <v>28.571428571428569</v>
      </c>
    </row>
    <row r="32" spans="1:16" ht="20.25" customHeight="1">
      <c r="A32" s="2347" t="s">
        <v>3541</v>
      </c>
      <c r="B32" s="2354">
        <v>21</v>
      </c>
      <c r="C32" s="2355">
        <v>8</v>
      </c>
      <c r="D32" s="2356">
        <v>38.095238095238095</v>
      </c>
      <c r="E32" s="2354">
        <v>28</v>
      </c>
      <c r="F32" s="2355">
        <v>2</v>
      </c>
      <c r="G32" s="2356">
        <v>7.1428571428571423</v>
      </c>
      <c r="H32" s="2354">
        <v>16</v>
      </c>
      <c r="I32" s="2355">
        <v>1</v>
      </c>
      <c r="J32" s="2356">
        <v>6.25</v>
      </c>
      <c r="K32" s="2354">
        <v>18</v>
      </c>
      <c r="L32" s="2355">
        <v>4</v>
      </c>
      <c r="M32" s="2356">
        <v>22.222222222222221</v>
      </c>
      <c r="N32" s="2354">
        <v>14</v>
      </c>
      <c r="O32" s="2355">
        <v>4</v>
      </c>
      <c r="P32" s="2357">
        <v>28.571428571428569</v>
      </c>
    </row>
    <row r="33" spans="1:16" ht="20.25" customHeight="1">
      <c r="A33" s="2347" t="s">
        <v>3547</v>
      </c>
      <c r="B33" s="2354">
        <v>12</v>
      </c>
      <c r="C33" s="2355">
        <v>3</v>
      </c>
      <c r="D33" s="2356">
        <v>25</v>
      </c>
      <c r="E33" s="2354">
        <v>6</v>
      </c>
      <c r="F33" s="2355">
        <v>1</v>
      </c>
      <c r="G33" s="2356">
        <v>16.666666666666664</v>
      </c>
      <c r="H33" s="2354">
        <v>10</v>
      </c>
      <c r="I33" s="2355">
        <v>1</v>
      </c>
      <c r="J33" s="2356">
        <v>10</v>
      </c>
      <c r="K33" s="2354">
        <v>3</v>
      </c>
      <c r="L33" s="2355">
        <v>0</v>
      </c>
      <c r="M33" s="2356">
        <v>0</v>
      </c>
      <c r="N33" s="2354">
        <v>7</v>
      </c>
      <c r="O33" s="2355">
        <v>2</v>
      </c>
      <c r="P33" s="2357">
        <v>28.571428571428569</v>
      </c>
    </row>
    <row r="34" spans="1:16" ht="20.25" customHeight="1">
      <c r="A34" s="2347" t="s">
        <v>3545</v>
      </c>
      <c r="B34" s="2354">
        <v>1</v>
      </c>
      <c r="C34" s="2355" t="s">
        <v>1</v>
      </c>
      <c r="D34" s="2356" t="s">
        <v>1</v>
      </c>
      <c r="E34" s="2354">
        <v>1</v>
      </c>
      <c r="F34" s="2355" t="s">
        <v>1</v>
      </c>
      <c r="G34" s="2356" t="s">
        <v>1</v>
      </c>
      <c r="H34" s="2354">
        <v>4</v>
      </c>
      <c r="I34" s="2355" t="s">
        <v>1</v>
      </c>
      <c r="J34" s="2356" t="s">
        <v>1</v>
      </c>
      <c r="K34" s="2354">
        <v>9</v>
      </c>
      <c r="L34" s="2355">
        <v>0</v>
      </c>
      <c r="M34" s="2356">
        <v>0</v>
      </c>
      <c r="N34" s="2354">
        <v>11</v>
      </c>
      <c r="O34" s="2355">
        <v>3</v>
      </c>
      <c r="P34" s="2357">
        <v>27.27272727272727</v>
      </c>
    </row>
    <row r="35" spans="1:16" ht="20.25" customHeight="1">
      <c r="A35" s="2347" t="s">
        <v>3525</v>
      </c>
      <c r="B35" s="2354">
        <v>30</v>
      </c>
      <c r="C35" s="2355">
        <v>5</v>
      </c>
      <c r="D35" s="2356">
        <v>16.666666666666664</v>
      </c>
      <c r="E35" s="2354">
        <v>153</v>
      </c>
      <c r="F35" s="2355">
        <v>46</v>
      </c>
      <c r="G35" s="2356">
        <v>30.065359477124183</v>
      </c>
      <c r="H35" s="2354">
        <v>193</v>
      </c>
      <c r="I35" s="2355">
        <v>58</v>
      </c>
      <c r="J35" s="2356">
        <v>30.051813471502591</v>
      </c>
      <c r="K35" s="2354">
        <v>238</v>
      </c>
      <c r="L35" s="2355">
        <v>63</v>
      </c>
      <c r="M35" s="2356">
        <v>26.47058823529412</v>
      </c>
      <c r="N35" s="2354">
        <v>295</v>
      </c>
      <c r="O35" s="2355">
        <v>75</v>
      </c>
      <c r="P35" s="2357">
        <v>25.423728813559322</v>
      </c>
    </row>
    <row r="36" spans="1:16" ht="20.25" customHeight="1">
      <c r="A36" s="2347" t="s">
        <v>824</v>
      </c>
      <c r="B36" s="2354">
        <v>194</v>
      </c>
      <c r="C36" s="2355">
        <v>65</v>
      </c>
      <c r="D36" s="2356">
        <v>33.505154639175252</v>
      </c>
      <c r="E36" s="2354">
        <v>96</v>
      </c>
      <c r="F36" s="2355">
        <v>22</v>
      </c>
      <c r="G36" s="2356">
        <v>22.916666666666664</v>
      </c>
      <c r="H36" s="2354">
        <v>63</v>
      </c>
      <c r="I36" s="2355">
        <v>14</v>
      </c>
      <c r="J36" s="2356">
        <v>22.222222222222221</v>
      </c>
      <c r="K36" s="2354">
        <v>93</v>
      </c>
      <c r="L36" s="2355">
        <v>32</v>
      </c>
      <c r="M36" s="2356">
        <v>34.408602150537639</v>
      </c>
      <c r="N36" s="2354">
        <v>75</v>
      </c>
      <c r="O36" s="2355">
        <v>19</v>
      </c>
      <c r="P36" s="2357">
        <v>25.333333333333336</v>
      </c>
    </row>
    <row r="37" spans="1:16" ht="20.25" customHeight="1">
      <c r="A37" s="2347" t="s">
        <v>3552</v>
      </c>
      <c r="B37" s="2354" t="s">
        <v>1</v>
      </c>
      <c r="C37" s="2355">
        <v>0</v>
      </c>
      <c r="D37" s="2356" t="s">
        <v>1</v>
      </c>
      <c r="E37" s="2354">
        <v>1</v>
      </c>
      <c r="F37" s="2355">
        <v>1</v>
      </c>
      <c r="G37" s="2356">
        <v>100</v>
      </c>
      <c r="H37" s="2354" t="s">
        <v>1</v>
      </c>
      <c r="I37" s="2355">
        <v>0</v>
      </c>
      <c r="J37" s="2356" t="s">
        <v>1</v>
      </c>
      <c r="K37" s="2354" t="s">
        <v>1</v>
      </c>
      <c r="L37" s="2355">
        <v>0</v>
      </c>
      <c r="M37" s="2356" t="s">
        <v>1</v>
      </c>
      <c r="N37" s="2354">
        <v>4</v>
      </c>
      <c r="O37" s="2355">
        <v>1</v>
      </c>
      <c r="P37" s="2357">
        <v>25</v>
      </c>
    </row>
    <row r="38" spans="1:16" ht="20.25" customHeight="1">
      <c r="A38" s="2347" t="s">
        <v>3553</v>
      </c>
      <c r="B38" s="2354" t="s">
        <v>1</v>
      </c>
      <c r="C38" s="2355">
        <v>0</v>
      </c>
      <c r="D38" s="2356" t="s">
        <v>1</v>
      </c>
      <c r="E38" s="2354" t="s">
        <v>1</v>
      </c>
      <c r="F38" s="2355">
        <v>0</v>
      </c>
      <c r="G38" s="2356" t="s">
        <v>1</v>
      </c>
      <c r="H38" s="2354" t="s">
        <v>1</v>
      </c>
      <c r="I38" s="2355">
        <v>0</v>
      </c>
      <c r="J38" s="2356" t="s">
        <v>1</v>
      </c>
      <c r="K38" s="2354">
        <v>3</v>
      </c>
      <c r="L38" s="2355">
        <v>1</v>
      </c>
      <c r="M38" s="2356">
        <v>33.333333333333329</v>
      </c>
      <c r="N38" s="2354">
        <v>4</v>
      </c>
      <c r="O38" s="2355">
        <v>1</v>
      </c>
      <c r="P38" s="2357">
        <v>25</v>
      </c>
    </row>
    <row r="39" spans="1:16" ht="20.25" customHeight="1">
      <c r="A39" s="2347" t="s">
        <v>3554</v>
      </c>
      <c r="B39" s="2354">
        <v>1</v>
      </c>
      <c r="C39" s="2355">
        <v>0</v>
      </c>
      <c r="D39" s="2356">
        <v>0</v>
      </c>
      <c r="E39" s="2354">
        <v>4</v>
      </c>
      <c r="F39" s="2355">
        <v>1</v>
      </c>
      <c r="G39" s="2356">
        <v>25</v>
      </c>
      <c r="H39" s="2354">
        <v>4</v>
      </c>
      <c r="I39" s="2355">
        <v>0</v>
      </c>
      <c r="J39" s="2356">
        <v>0</v>
      </c>
      <c r="K39" s="2354">
        <v>14</v>
      </c>
      <c r="L39" s="2355">
        <v>9</v>
      </c>
      <c r="M39" s="2356">
        <v>64.285714285714292</v>
      </c>
      <c r="N39" s="2354">
        <v>4</v>
      </c>
      <c r="O39" s="2355">
        <v>1</v>
      </c>
      <c r="P39" s="2357">
        <v>25</v>
      </c>
    </row>
    <row r="40" spans="1:16" ht="20.25" customHeight="1">
      <c r="A40" s="2347" t="s">
        <v>811</v>
      </c>
      <c r="B40" s="2354">
        <v>7712</v>
      </c>
      <c r="C40" s="2355">
        <v>1835</v>
      </c>
      <c r="D40" s="2356">
        <v>23.794087136929459</v>
      </c>
      <c r="E40" s="2354">
        <v>8277</v>
      </c>
      <c r="F40" s="2355">
        <v>1865</v>
      </c>
      <c r="G40" s="2356">
        <v>22.532318472876646</v>
      </c>
      <c r="H40" s="2354">
        <v>12313</v>
      </c>
      <c r="I40" s="2355">
        <v>2649</v>
      </c>
      <c r="J40" s="2356">
        <v>21.513847153415089</v>
      </c>
      <c r="K40" s="2354">
        <v>14111</v>
      </c>
      <c r="L40" s="2355">
        <v>3386</v>
      </c>
      <c r="M40" s="2356">
        <v>23.995464531216783</v>
      </c>
      <c r="N40" s="2354">
        <v>13427</v>
      </c>
      <c r="O40" s="2355">
        <v>3294</v>
      </c>
      <c r="P40" s="2357">
        <v>24.53265807700901</v>
      </c>
    </row>
    <row r="41" spans="1:16" ht="33">
      <c r="A41" s="2347" t="s">
        <v>3529</v>
      </c>
      <c r="B41" s="2354">
        <v>244</v>
      </c>
      <c r="C41" s="2355">
        <v>56</v>
      </c>
      <c r="D41" s="2356">
        <v>22.950819672131146</v>
      </c>
      <c r="E41" s="2354">
        <v>289</v>
      </c>
      <c r="F41" s="2355">
        <v>56</v>
      </c>
      <c r="G41" s="2356">
        <v>19.377162629757784</v>
      </c>
      <c r="H41" s="2354">
        <v>267</v>
      </c>
      <c r="I41" s="2355">
        <v>33</v>
      </c>
      <c r="J41" s="2356">
        <v>12.359550561797752</v>
      </c>
      <c r="K41" s="2354">
        <v>230</v>
      </c>
      <c r="L41" s="2355">
        <v>61</v>
      </c>
      <c r="M41" s="2356">
        <v>26.521739130434785</v>
      </c>
      <c r="N41" s="2354">
        <v>159</v>
      </c>
      <c r="O41" s="2355">
        <v>38</v>
      </c>
      <c r="P41" s="2357">
        <v>23.89937106918239</v>
      </c>
    </row>
    <row r="42" spans="1:16" ht="20.25" customHeight="1">
      <c r="A42" s="2347" t="s">
        <v>3585</v>
      </c>
      <c r="B42" s="2354">
        <v>43</v>
      </c>
      <c r="C42" s="2355">
        <v>9</v>
      </c>
      <c r="D42" s="2356">
        <v>20.930232558139537</v>
      </c>
      <c r="E42" s="2354">
        <v>39</v>
      </c>
      <c r="F42" s="2355">
        <v>12</v>
      </c>
      <c r="G42" s="2356">
        <v>30.76923076923077</v>
      </c>
      <c r="H42" s="2354">
        <v>56</v>
      </c>
      <c r="I42" s="2355">
        <v>10</v>
      </c>
      <c r="J42" s="2356">
        <v>17.857142857142858</v>
      </c>
      <c r="K42" s="2354">
        <v>59</v>
      </c>
      <c r="L42" s="2355">
        <v>13</v>
      </c>
      <c r="M42" s="2356">
        <v>22.033898305084744</v>
      </c>
      <c r="N42" s="2354">
        <v>60</v>
      </c>
      <c r="O42" s="2355">
        <v>14</v>
      </c>
      <c r="P42" s="2357">
        <v>23.333333333333332</v>
      </c>
    </row>
    <row r="43" spans="1:16" ht="20.25" customHeight="1">
      <c r="A43" s="2347" t="s">
        <v>818</v>
      </c>
      <c r="B43" s="2354">
        <v>2202</v>
      </c>
      <c r="C43" s="2355">
        <v>485</v>
      </c>
      <c r="D43" s="2356">
        <v>22.025431425976386</v>
      </c>
      <c r="E43" s="2354">
        <v>2217</v>
      </c>
      <c r="F43" s="2355">
        <v>461</v>
      </c>
      <c r="G43" s="2356">
        <v>20.793865584122688</v>
      </c>
      <c r="H43" s="2354">
        <v>2511</v>
      </c>
      <c r="I43" s="2355">
        <v>474</v>
      </c>
      <c r="J43" s="2356">
        <v>18.876941457586618</v>
      </c>
      <c r="K43" s="2354">
        <v>2666</v>
      </c>
      <c r="L43" s="2355">
        <v>569</v>
      </c>
      <c r="M43" s="2356">
        <v>21.342835708927232</v>
      </c>
      <c r="N43" s="2354">
        <v>2639</v>
      </c>
      <c r="O43" s="2355">
        <v>608</v>
      </c>
      <c r="P43" s="2357">
        <v>23.039029935581659</v>
      </c>
    </row>
    <row r="44" spans="1:16" ht="20.25" customHeight="1">
      <c r="A44" s="2347" t="s">
        <v>1094</v>
      </c>
      <c r="B44" s="2354">
        <v>53</v>
      </c>
      <c r="C44" s="2355">
        <v>4</v>
      </c>
      <c r="D44" s="2356">
        <v>7.5471698113207548</v>
      </c>
      <c r="E44" s="2354">
        <v>52</v>
      </c>
      <c r="F44" s="2355">
        <v>6</v>
      </c>
      <c r="G44" s="2356">
        <v>11.538461538461538</v>
      </c>
      <c r="H44" s="2354">
        <v>62</v>
      </c>
      <c r="I44" s="2355">
        <v>9</v>
      </c>
      <c r="J44" s="2356">
        <v>14.516129032258066</v>
      </c>
      <c r="K44" s="2354">
        <v>37</v>
      </c>
      <c r="L44" s="2355">
        <v>8</v>
      </c>
      <c r="M44" s="2356">
        <v>21.621621621621621</v>
      </c>
      <c r="N44" s="2354">
        <v>35</v>
      </c>
      <c r="O44" s="2355">
        <v>8</v>
      </c>
      <c r="P44" s="2357">
        <v>22.857142857142858</v>
      </c>
    </row>
    <row r="45" spans="1:16" ht="20.25" customHeight="1">
      <c r="A45" s="2347" t="s">
        <v>3528</v>
      </c>
      <c r="B45" s="2354">
        <v>89</v>
      </c>
      <c r="C45" s="2355">
        <v>21</v>
      </c>
      <c r="D45" s="2356">
        <v>23.595505617977526</v>
      </c>
      <c r="E45" s="2354">
        <v>105</v>
      </c>
      <c r="F45" s="2355">
        <v>19</v>
      </c>
      <c r="G45" s="2356">
        <v>18.095238095238095</v>
      </c>
      <c r="H45" s="2354">
        <v>110</v>
      </c>
      <c r="I45" s="2355">
        <v>20</v>
      </c>
      <c r="J45" s="2356">
        <v>18.181818181818183</v>
      </c>
      <c r="K45" s="2354">
        <v>122</v>
      </c>
      <c r="L45" s="2355">
        <v>21</v>
      </c>
      <c r="M45" s="2356">
        <v>17.21311475409836</v>
      </c>
      <c r="N45" s="2354">
        <v>173</v>
      </c>
      <c r="O45" s="2355">
        <v>39</v>
      </c>
      <c r="P45" s="2357">
        <v>22.543352601156069</v>
      </c>
    </row>
    <row r="46" spans="1:16" ht="20.25" customHeight="1">
      <c r="A46" s="2347" t="s">
        <v>3586</v>
      </c>
      <c r="B46" s="2354">
        <v>183</v>
      </c>
      <c r="C46" s="2355">
        <v>58</v>
      </c>
      <c r="D46" s="2356">
        <v>31.693989071038253</v>
      </c>
      <c r="E46" s="2354">
        <v>159</v>
      </c>
      <c r="F46" s="2355">
        <v>31</v>
      </c>
      <c r="G46" s="2356">
        <v>19.49685534591195</v>
      </c>
      <c r="H46" s="2354">
        <v>159</v>
      </c>
      <c r="I46" s="2355">
        <v>32</v>
      </c>
      <c r="J46" s="2356">
        <v>20.125786163522015</v>
      </c>
      <c r="K46" s="2354">
        <v>136</v>
      </c>
      <c r="L46" s="2355">
        <v>39</v>
      </c>
      <c r="M46" s="2356">
        <v>28.676470588235293</v>
      </c>
      <c r="N46" s="2354">
        <v>182</v>
      </c>
      <c r="O46" s="2355">
        <v>41</v>
      </c>
      <c r="P46" s="2357">
        <v>22.527472527472529</v>
      </c>
    </row>
    <row r="47" spans="1:16" ht="20.25" customHeight="1">
      <c r="A47" s="2347" t="s">
        <v>3539</v>
      </c>
      <c r="B47" s="2354">
        <v>48</v>
      </c>
      <c r="C47" s="2355">
        <v>4</v>
      </c>
      <c r="D47" s="2356">
        <v>8.3333333333333321</v>
      </c>
      <c r="E47" s="2354">
        <v>41</v>
      </c>
      <c r="F47" s="2355">
        <v>6</v>
      </c>
      <c r="G47" s="2356">
        <v>14.634146341463413</v>
      </c>
      <c r="H47" s="2354">
        <v>26</v>
      </c>
      <c r="I47" s="2355">
        <v>4</v>
      </c>
      <c r="J47" s="2356">
        <v>15.384615384615385</v>
      </c>
      <c r="K47" s="2354">
        <v>18</v>
      </c>
      <c r="L47" s="2355">
        <v>6</v>
      </c>
      <c r="M47" s="2356">
        <v>33.333333333333329</v>
      </c>
      <c r="N47" s="2354">
        <v>19</v>
      </c>
      <c r="O47" s="2355">
        <v>4</v>
      </c>
      <c r="P47" s="2357">
        <v>21.052631578947366</v>
      </c>
    </row>
    <row r="48" spans="1:16" ht="20.25" customHeight="1">
      <c r="A48" s="2347" t="s">
        <v>2323</v>
      </c>
      <c r="B48" s="2354">
        <v>1976</v>
      </c>
      <c r="C48" s="2355">
        <v>508</v>
      </c>
      <c r="D48" s="2356">
        <v>25.708502024291498</v>
      </c>
      <c r="E48" s="2354">
        <v>1660</v>
      </c>
      <c r="F48" s="2355">
        <v>398</v>
      </c>
      <c r="G48" s="2356">
        <v>23.975903614457831</v>
      </c>
      <c r="H48" s="2354">
        <v>1429</v>
      </c>
      <c r="I48" s="2355">
        <v>300</v>
      </c>
      <c r="J48" s="2356">
        <v>20.993701889433169</v>
      </c>
      <c r="K48" s="2354">
        <v>1358</v>
      </c>
      <c r="L48" s="2355">
        <v>320</v>
      </c>
      <c r="M48" s="2356">
        <v>23.564064801178201</v>
      </c>
      <c r="N48" s="2354">
        <v>1042</v>
      </c>
      <c r="O48" s="2355">
        <v>213</v>
      </c>
      <c r="P48" s="2357">
        <v>20.441458733205376</v>
      </c>
    </row>
    <row r="49" spans="1:16" ht="20.25" customHeight="1">
      <c r="A49" s="2347" t="s">
        <v>3555</v>
      </c>
      <c r="B49" s="2354">
        <v>19</v>
      </c>
      <c r="C49" s="2355">
        <v>2</v>
      </c>
      <c r="D49" s="2356">
        <v>10.526315789473683</v>
      </c>
      <c r="E49" s="2354">
        <v>34</v>
      </c>
      <c r="F49" s="2355">
        <v>4</v>
      </c>
      <c r="G49" s="2356">
        <v>11.76470588235294</v>
      </c>
      <c r="H49" s="2354">
        <v>26</v>
      </c>
      <c r="I49" s="2355">
        <v>0</v>
      </c>
      <c r="J49" s="2356">
        <v>0</v>
      </c>
      <c r="K49" s="2354">
        <v>16</v>
      </c>
      <c r="L49" s="2355">
        <v>2</v>
      </c>
      <c r="M49" s="2356">
        <v>12.5</v>
      </c>
      <c r="N49" s="2354">
        <v>5</v>
      </c>
      <c r="O49" s="2355">
        <v>1</v>
      </c>
      <c r="P49" s="2357">
        <v>20</v>
      </c>
    </row>
    <row r="50" spans="1:16" ht="20.25" customHeight="1">
      <c r="A50" s="2347" t="s">
        <v>3587</v>
      </c>
      <c r="B50" s="2354">
        <v>339</v>
      </c>
      <c r="C50" s="2355">
        <v>62</v>
      </c>
      <c r="D50" s="2356">
        <v>18.289085545722713</v>
      </c>
      <c r="E50" s="2354">
        <v>294</v>
      </c>
      <c r="F50" s="2355">
        <v>50</v>
      </c>
      <c r="G50" s="2356">
        <v>17.006802721088434</v>
      </c>
      <c r="H50" s="2354">
        <v>318</v>
      </c>
      <c r="I50" s="2355">
        <v>71</v>
      </c>
      <c r="J50" s="2356">
        <v>22.327044025157232</v>
      </c>
      <c r="K50" s="2354">
        <v>323</v>
      </c>
      <c r="L50" s="2355">
        <v>58</v>
      </c>
      <c r="M50" s="2356">
        <v>17.956656346749224</v>
      </c>
      <c r="N50" s="2354">
        <v>319</v>
      </c>
      <c r="O50" s="2355">
        <v>63</v>
      </c>
      <c r="P50" s="2357">
        <v>19.749216300940439</v>
      </c>
    </row>
    <row r="51" spans="1:16" ht="20.25" customHeight="1">
      <c r="A51" s="2347" t="s">
        <v>3540</v>
      </c>
      <c r="B51" s="2354">
        <v>41</v>
      </c>
      <c r="C51" s="2355">
        <v>8</v>
      </c>
      <c r="D51" s="2356">
        <v>19.512195121951219</v>
      </c>
      <c r="E51" s="2354">
        <v>13</v>
      </c>
      <c r="F51" s="2355">
        <v>1</v>
      </c>
      <c r="G51" s="2356">
        <v>7.6923076923076925</v>
      </c>
      <c r="H51" s="2354">
        <v>18</v>
      </c>
      <c r="I51" s="2355">
        <v>0</v>
      </c>
      <c r="J51" s="2356">
        <v>0</v>
      </c>
      <c r="K51" s="2354">
        <v>117</v>
      </c>
      <c r="L51" s="2355">
        <v>12</v>
      </c>
      <c r="M51" s="2356">
        <v>10.256410256410255</v>
      </c>
      <c r="N51" s="2354">
        <v>23</v>
      </c>
      <c r="O51" s="2355">
        <v>4</v>
      </c>
      <c r="P51" s="2357">
        <v>17.391304347826086</v>
      </c>
    </row>
    <row r="52" spans="1:16" ht="20.25" customHeight="1">
      <c r="A52" s="2347" t="s">
        <v>816</v>
      </c>
      <c r="B52" s="2354">
        <v>20213</v>
      </c>
      <c r="C52" s="2355">
        <v>3059</v>
      </c>
      <c r="D52" s="2356">
        <v>15.133824766239549</v>
      </c>
      <c r="E52" s="2354">
        <v>18900</v>
      </c>
      <c r="F52" s="2355">
        <v>2764</v>
      </c>
      <c r="G52" s="2356">
        <v>14.624338624338623</v>
      </c>
      <c r="H52" s="2354">
        <v>21764</v>
      </c>
      <c r="I52" s="2355">
        <v>3282</v>
      </c>
      <c r="J52" s="2356">
        <v>15.079948538871532</v>
      </c>
      <c r="K52" s="2354">
        <v>21724</v>
      </c>
      <c r="L52" s="2355">
        <v>3345</v>
      </c>
      <c r="M52" s="2356">
        <v>15.397716810900386</v>
      </c>
      <c r="N52" s="2354">
        <v>21408</v>
      </c>
      <c r="O52" s="2355">
        <v>3612</v>
      </c>
      <c r="P52" s="2357">
        <v>16.872197309417039</v>
      </c>
    </row>
    <row r="53" spans="1:16" ht="20.25" customHeight="1">
      <c r="A53" s="2347" t="s">
        <v>3550</v>
      </c>
      <c r="B53" s="2354">
        <v>38</v>
      </c>
      <c r="C53" s="2355">
        <v>6</v>
      </c>
      <c r="D53" s="2356">
        <v>15.789473684210526</v>
      </c>
      <c r="E53" s="2354">
        <v>28</v>
      </c>
      <c r="F53" s="2355">
        <v>2</v>
      </c>
      <c r="G53" s="2356">
        <v>7.1428571428571423</v>
      </c>
      <c r="H53" s="2354">
        <v>11</v>
      </c>
      <c r="I53" s="2355">
        <v>3</v>
      </c>
      <c r="J53" s="2356">
        <v>27.27272727272727</v>
      </c>
      <c r="K53" s="2354">
        <v>24</v>
      </c>
      <c r="L53" s="2355">
        <v>6</v>
      </c>
      <c r="M53" s="2356">
        <v>25</v>
      </c>
      <c r="N53" s="2354">
        <v>12</v>
      </c>
      <c r="O53" s="2355">
        <v>2</v>
      </c>
      <c r="P53" s="2357">
        <v>16.666666666666664</v>
      </c>
    </row>
    <row r="54" spans="1:16" ht="20.25" customHeight="1">
      <c r="A54" s="2347" t="s">
        <v>815</v>
      </c>
      <c r="B54" s="2354">
        <v>9111</v>
      </c>
      <c r="C54" s="2355">
        <v>1545</v>
      </c>
      <c r="D54" s="2356">
        <v>16.957523872242344</v>
      </c>
      <c r="E54" s="2354">
        <v>9699</v>
      </c>
      <c r="F54" s="2355">
        <v>1615</v>
      </c>
      <c r="G54" s="2356">
        <v>16.651201154758223</v>
      </c>
      <c r="H54" s="2354">
        <v>10717</v>
      </c>
      <c r="I54" s="2355">
        <v>1832</v>
      </c>
      <c r="J54" s="2356">
        <v>17.094336101520948</v>
      </c>
      <c r="K54" s="2354">
        <v>11271</v>
      </c>
      <c r="L54" s="2355">
        <v>1865</v>
      </c>
      <c r="M54" s="2356">
        <v>16.546890249312398</v>
      </c>
      <c r="N54" s="2354">
        <v>12154</v>
      </c>
      <c r="O54" s="2355">
        <v>1997</v>
      </c>
      <c r="P54" s="2357">
        <v>16.430804673358566</v>
      </c>
    </row>
    <row r="55" spans="1:16" ht="20.25" customHeight="1">
      <c r="A55" s="2347" t="s">
        <v>986</v>
      </c>
      <c r="B55" s="2354">
        <v>318</v>
      </c>
      <c r="C55" s="2355">
        <v>63</v>
      </c>
      <c r="D55" s="2356">
        <v>19.811320754716981</v>
      </c>
      <c r="E55" s="2354">
        <v>264</v>
      </c>
      <c r="F55" s="2355">
        <v>51</v>
      </c>
      <c r="G55" s="2356">
        <v>19.318181818181817</v>
      </c>
      <c r="H55" s="2354">
        <v>286</v>
      </c>
      <c r="I55" s="2355">
        <v>70</v>
      </c>
      <c r="J55" s="2356">
        <v>24.475524475524477</v>
      </c>
      <c r="K55" s="2354">
        <v>321</v>
      </c>
      <c r="L55" s="2355">
        <v>95</v>
      </c>
      <c r="M55" s="2356">
        <v>29.595015576323984</v>
      </c>
      <c r="N55" s="2354">
        <v>277</v>
      </c>
      <c r="O55" s="2355">
        <v>45</v>
      </c>
      <c r="P55" s="2357">
        <v>16.245487364620939</v>
      </c>
    </row>
    <row r="56" spans="1:16" ht="20.25" customHeight="1">
      <c r="A56" s="2347" t="s">
        <v>3532</v>
      </c>
      <c r="B56" s="2354">
        <v>129</v>
      </c>
      <c r="C56" s="2355">
        <v>18</v>
      </c>
      <c r="D56" s="2356">
        <v>13.953488372093023</v>
      </c>
      <c r="E56" s="2354">
        <v>129</v>
      </c>
      <c r="F56" s="2355">
        <v>19</v>
      </c>
      <c r="G56" s="2356">
        <v>14.728682170542637</v>
      </c>
      <c r="H56" s="2354">
        <v>127</v>
      </c>
      <c r="I56" s="2355">
        <v>12</v>
      </c>
      <c r="J56" s="2356">
        <v>9.4488188976377945</v>
      </c>
      <c r="K56" s="2354">
        <v>144</v>
      </c>
      <c r="L56" s="2355">
        <v>19</v>
      </c>
      <c r="M56" s="2356">
        <v>13.194444444444445</v>
      </c>
      <c r="N56" s="2354">
        <v>193</v>
      </c>
      <c r="O56" s="2355">
        <v>31</v>
      </c>
      <c r="P56" s="2357">
        <v>16.062176165803109</v>
      </c>
    </row>
    <row r="57" spans="1:16" ht="20.25" customHeight="1">
      <c r="A57" s="2347" t="s">
        <v>3588</v>
      </c>
      <c r="B57" s="2354">
        <v>5</v>
      </c>
      <c r="C57" s="2355">
        <v>1</v>
      </c>
      <c r="D57" s="2356">
        <v>20</v>
      </c>
      <c r="E57" s="2354">
        <v>5</v>
      </c>
      <c r="F57" s="2355">
        <v>1</v>
      </c>
      <c r="G57" s="2356">
        <v>20</v>
      </c>
      <c r="H57" s="2354">
        <v>6</v>
      </c>
      <c r="I57" s="2355">
        <v>2</v>
      </c>
      <c r="J57" s="2356">
        <v>33.333333333333329</v>
      </c>
      <c r="K57" s="2354">
        <v>17</v>
      </c>
      <c r="L57" s="2355">
        <v>3</v>
      </c>
      <c r="M57" s="2356">
        <v>17.647058823529413</v>
      </c>
      <c r="N57" s="2354">
        <v>25</v>
      </c>
      <c r="O57" s="2355">
        <v>4</v>
      </c>
      <c r="P57" s="2357">
        <v>16</v>
      </c>
    </row>
    <row r="58" spans="1:16" ht="20.25" customHeight="1">
      <c r="A58" s="2347" t="s">
        <v>822</v>
      </c>
      <c r="B58" s="2354">
        <v>1652</v>
      </c>
      <c r="C58" s="2355">
        <v>197</v>
      </c>
      <c r="D58" s="2356">
        <v>11.924939467312349</v>
      </c>
      <c r="E58" s="2354">
        <v>1598</v>
      </c>
      <c r="F58" s="2355">
        <v>200</v>
      </c>
      <c r="G58" s="2356">
        <v>12.515644555694619</v>
      </c>
      <c r="H58" s="2354">
        <v>1609</v>
      </c>
      <c r="I58" s="2355">
        <v>221</v>
      </c>
      <c r="J58" s="2356">
        <v>13.735239279055314</v>
      </c>
      <c r="K58" s="2354">
        <v>1597</v>
      </c>
      <c r="L58" s="2355">
        <v>225</v>
      </c>
      <c r="M58" s="2356">
        <v>14.088916718847841</v>
      </c>
      <c r="N58" s="2354">
        <v>1615</v>
      </c>
      <c r="O58" s="2355">
        <v>239</v>
      </c>
      <c r="P58" s="2357">
        <v>14.798761609907121</v>
      </c>
    </row>
    <row r="59" spans="1:16" ht="20.25" customHeight="1">
      <c r="A59" s="2347" t="s">
        <v>985</v>
      </c>
      <c r="B59" s="2354">
        <v>1113</v>
      </c>
      <c r="C59" s="2355">
        <v>143</v>
      </c>
      <c r="D59" s="2356">
        <v>12.848158131176998</v>
      </c>
      <c r="E59" s="2354">
        <v>1086</v>
      </c>
      <c r="F59" s="2355">
        <v>147</v>
      </c>
      <c r="G59" s="2356">
        <v>13.535911602209943</v>
      </c>
      <c r="H59" s="2354">
        <v>1120</v>
      </c>
      <c r="I59" s="2355">
        <v>156</v>
      </c>
      <c r="J59" s="2356">
        <v>13.928571428571429</v>
      </c>
      <c r="K59" s="2354">
        <v>1370</v>
      </c>
      <c r="L59" s="2355">
        <v>174</v>
      </c>
      <c r="M59" s="2356">
        <v>12.700729927007298</v>
      </c>
      <c r="N59" s="2354">
        <v>1209</v>
      </c>
      <c r="O59" s="2355">
        <v>164</v>
      </c>
      <c r="P59" s="2357">
        <v>13.564929693961952</v>
      </c>
    </row>
    <row r="60" spans="1:16" ht="20.25" customHeight="1">
      <c r="A60" s="2347" t="s">
        <v>812</v>
      </c>
      <c r="B60" s="2354">
        <v>35960</v>
      </c>
      <c r="C60" s="2355">
        <v>4458</v>
      </c>
      <c r="D60" s="2356">
        <v>12.397107897664071</v>
      </c>
      <c r="E60" s="2354">
        <v>40625</v>
      </c>
      <c r="F60" s="2355">
        <v>4960</v>
      </c>
      <c r="G60" s="2356">
        <v>12.20923076923077</v>
      </c>
      <c r="H60" s="2354">
        <v>43281</v>
      </c>
      <c r="I60" s="2355">
        <v>5454</v>
      </c>
      <c r="J60" s="2356">
        <v>12.601372426699939</v>
      </c>
      <c r="K60" s="2354">
        <v>44541</v>
      </c>
      <c r="L60" s="2355">
        <v>5800</v>
      </c>
      <c r="M60" s="2356">
        <v>13.021710334298737</v>
      </c>
      <c r="N60" s="2354">
        <v>42218</v>
      </c>
      <c r="O60" s="2355">
        <v>5507</v>
      </c>
      <c r="P60" s="2357">
        <v>13.044199156757779</v>
      </c>
    </row>
    <row r="61" spans="1:16" ht="20.25" customHeight="1">
      <c r="A61" s="2347" t="s">
        <v>3546</v>
      </c>
      <c r="B61" s="2354">
        <v>40</v>
      </c>
      <c r="C61" s="2355">
        <v>2</v>
      </c>
      <c r="D61" s="2356">
        <v>5</v>
      </c>
      <c r="E61" s="2354">
        <v>22</v>
      </c>
      <c r="F61" s="2355">
        <v>2</v>
      </c>
      <c r="G61" s="2356">
        <v>9.0909090909090917</v>
      </c>
      <c r="H61" s="2354">
        <v>20</v>
      </c>
      <c r="I61" s="2355">
        <v>1</v>
      </c>
      <c r="J61" s="2356">
        <v>5</v>
      </c>
      <c r="K61" s="2354">
        <v>43</v>
      </c>
      <c r="L61" s="2355">
        <v>2</v>
      </c>
      <c r="M61" s="2356">
        <v>4.6511627906976747</v>
      </c>
      <c r="N61" s="2354">
        <v>16</v>
      </c>
      <c r="O61" s="2355">
        <v>2</v>
      </c>
      <c r="P61" s="2357">
        <v>12.5</v>
      </c>
    </row>
    <row r="62" spans="1:16" ht="20.25" customHeight="1">
      <c r="A62" s="2347" t="s">
        <v>983</v>
      </c>
      <c r="B62" s="2354">
        <v>388</v>
      </c>
      <c r="C62" s="2355">
        <v>33</v>
      </c>
      <c r="D62" s="2356">
        <v>8.5051546391752577</v>
      </c>
      <c r="E62" s="2354">
        <v>351</v>
      </c>
      <c r="F62" s="2355">
        <v>44</v>
      </c>
      <c r="G62" s="2356">
        <v>12.535612535612536</v>
      </c>
      <c r="H62" s="2354">
        <v>334</v>
      </c>
      <c r="I62" s="2355">
        <v>39</v>
      </c>
      <c r="J62" s="2356">
        <v>11.676646706586826</v>
      </c>
      <c r="K62" s="2354">
        <v>362</v>
      </c>
      <c r="L62" s="2355">
        <v>39</v>
      </c>
      <c r="M62" s="2356">
        <v>10.773480662983426</v>
      </c>
      <c r="N62" s="2354">
        <v>293</v>
      </c>
      <c r="O62" s="2355">
        <v>34</v>
      </c>
      <c r="P62" s="2357">
        <v>11.604095563139932</v>
      </c>
    </row>
    <row r="63" spans="1:16" ht="20.25" customHeight="1">
      <c r="A63" s="2347" t="s">
        <v>3589</v>
      </c>
      <c r="B63" s="2354">
        <v>1282</v>
      </c>
      <c r="C63" s="2355">
        <v>121</v>
      </c>
      <c r="D63" s="2356">
        <v>9.4383775351014041</v>
      </c>
      <c r="E63" s="2354">
        <v>1495</v>
      </c>
      <c r="F63" s="2355">
        <v>137</v>
      </c>
      <c r="G63" s="2356">
        <v>9.1638795986622075</v>
      </c>
      <c r="H63" s="2354">
        <v>1855</v>
      </c>
      <c r="I63" s="2355">
        <v>184</v>
      </c>
      <c r="J63" s="2356">
        <v>9.9191374663072782</v>
      </c>
      <c r="K63" s="2354">
        <v>1894</v>
      </c>
      <c r="L63" s="2355">
        <v>154</v>
      </c>
      <c r="M63" s="2356">
        <v>8.1309398099260832</v>
      </c>
      <c r="N63" s="2354">
        <v>1824</v>
      </c>
      <c r="O63" s="2355">
        <v>195</v>
      </c>
      <c r="P63" s="2357">
        <v>10.690789473684211</v>
      </c>
    </row>
    <row r="64" spans="1:16" ht="20.25" customHeight="1">
      <c r="A64" s="2347" t="s">
        <v>979</v>
      </c>
      <c r="B64" s="2354">
        <v>6</v>
      </c>
      <c r="C64" s="2355">
        <v>0</v>
      </c>
      <c r="D64" s="2356">
        <v>0</v>
      </c>
      <c r="E64" s="2354">
        <v>7</v>
      </c>
      <c r="F64" s="2355">
        <v>0</v>
      </c>
      <c r="G64" s="2356">
        <v>0</v>
      </c>
      <c r="H64" s="2354">
        <v>6</v>
      </c>
      <c r="I64" s="2355">
        <v>0</v>
      </c>
      <c r="J64" s="2356">
        <v>0</v>
      </c>
      <c r="K64" s="2354">
        <v>31</v>
      </c>
      <c r="L64" s="2355">
        <v>5</v>
      </c>
      <c r="M64" s="2356">
        <v>16.129032258064516</v>
      </c>
      <c r="N64" s="2354">
        <v>47</v>
      </c>
      <c r="O64" s="2355">
        <v>5</v>
      </c>
      <c r="P64" s="2357">
        <v>10.638297872340425</v>
      </c>
    </row>
    <row r="65" spans="1:16" ht="20.25" customHeight="1">
      <c r="A65" s="2347" t="s">
        <v>3548</v>
      </c>
      <c r="B65" s="2354">
        <v>20</v>
      </c>
      <c r="C65" s="2355">
        <v>0</v>
      </c>
      <c r="D65" s="2356">
        <v>0</v>
      </c>
      <c r="E65" s="2354">
        <v>29</v>
      </c>
      <c r="F65" s="2355">
        <v>1</v>
      </c>
      <c r="G65" s="2356">
        <v>3.4482758620689653</v>
      </c>
      <c r="H65" s="2354">
        <v>12</v>
      </c>
      <c r="I65" s="2355">
        <v>1</v>
      </c>
      <c r="J65" s="2356">
        <v>8.3333333333333321</v>
      </c>
      <c r="K65" s="2354">
        <v>45</v>
      </c>
      <c r="L65" s="2355">
        <v>7</v>
      </c>
      <c r="M65" s="2356">
        <v>15.555555555555555</v>
      </c>
      <c r="N65" s="2354">
        <v>19</v>
      </c>
      <c r="O65" s="2355">
        <v>2</v>
      </c>
      <c r="P65" s="2357">
        <v>10.526315789473683</v>
      </c>
    </row>
    <row r="66" spans="1:16" ht="20.25" customHeight="1">
      <c r="A66" s="2347" t="s">
        <v>821</v>
      </c>
      <c r="B66" s="2354">
        <v>991</v>
      </c>
      <c r="C66" s="2355">
        <v>151</v>
      </c>
      <c r="D66" s="2356">
        <v>15.237134207870836</v>
      </c>
      <c r="E66" s="2354">
        <v>1061</v>
      </c>
      <c r="F66" s="2355">
        <v>149</v>
      </c>
      <c r="G66" s="2356">
        <v>14.043355325164939</v>
      </c>
      <c r="H66" s="2354">
        <v>1362</v>
      </c>
      <c r="I66" s="2355">
        <v>171</v>
      </c>
      <c r="J66" s="2356">
        <v>12.555066079295155</v>
      </c>
      <c r="K66" s="2354">
        <v>1587</v>
      </c>
      <c r="L66" s="2355">
        <v>190</v>
      </c>
      <c r="M66" s="2356">
        <v>11.972274732199118</v>
      </c>
      <c r="N66" s="2354">
        <v>1762</v>
      </c>
      <c r="O66" s="2355">
        <v>179</v>
      </c>
      <c r="P66" s="2357">
        <v>10.158910329171396</v>
      </c>
    </row>
    <row r="67" spans="1:16" ht="20.25" customHeight="1">
      <c r="A67" s="2347" t="s">
        <v>3590</v>
      </c>
      <c r="B67" s="2354">
        <v>30</v>
      </c>
      <c r="C67" s="2355">
        <v>4</v>
      </c>
      <c r="D67" s="2356">
        <v>13.333333333333334</v>
      </c>
      <c r="E67" s="2354">
        <v>12</v>
      </c>
      <c r="F67" s="2355">
        <v>1</v>
      </c>
      <c r="G67" s="2356">
        <v>8.3333333333333321</v>
      </c>
      <c r="H67" s="2354">
        <v>31</v>
      </c>
      <c r="I67" s="2355">
        <v>0</v>
      </c>
      <c r="J67" s="2356">
        <v>0</v>
      </c>
      <c r="K67" s="2354">
        <v>25</v>
      </c>
      <c r="L67" s="2355">
        <v>0</v>
      </c>
      <c r="M67" s="2356">
        <v>0</v>
      </c>
      <c r="N67" s="2354">
        <v>20</v>
      </c>
      <c r="O67" s="2355">
        <v>2</v>
      </c>
      <c r="P67" s="2357">
        <v>10</v>
      </c>
    </row>
    <row r="68" spans="1:16" ht="20.25" customHeight="1">
      <c r="A68" s="2347" t="s">
        <v>3591</v>
      </c>
      <c r="B68" s="2354">
        <v>809</v>
      </c>
      <c r="C68" s="2355">
        <v>61</v>
      </c>
      <c r="D68" s="2356">
        <v>7.5401730531520395</v>
      </c>
      <c r="E68" s="2354">
        <v>724</v>
      </c>
      <c r="F68" s="2355">
        <v>48</v>
      </c>
      <c r="G68" s="2356">
        <v>6.6298342541436464</v>
      </c>
      <c r="H68" s="2354">
        <v>568</v>
      </c>
      <c r="I68" s="2355">
        <v>48</v>
      </c>
      <c r="J68" s="2356">
        <v>8.4507042253521121</v>
      </c>
      <c r="K68" s="2354">
        <v>611</v>
      </c>
      <c r="L68" s="2355">
        <v>65</v>
      </c>
      <c r="M68" s="2356">
        <v>10.638297872340425</v>
      </c>
      <c r="N68" s="2354">
        <v>646</v>
      </c>
      <c r="O68" s="2355">
        <v>64</v>
      </c>
      <c r="P68" s="2357">
        <v>9.9071207430340564</v>
      </c>
    </row>
    <row r="69" spans="1:16" ht="20.25" customHeight="1">
      <c r="A69" s="2347" t="s">
        <v>3592</v>
      </c>
      <c r="B69" s="2354">
        <v>28</v>
      </c>
      <c r="C69" s="2355">
        <v>2</v>
      </c>
      <c r="D69" s="2356">
        <v>7.1428571428571423</v>
      </c>
      <c r="E69" s="2354">
        <v>41</v>
      </c>
      <c r="F69" s="2355">
        <v>3</v>
      </c>
      <c r="G69" s="2356">
        <v>7.3170731707317067</v>
      </c>
      <c r="H69" s="2354">
        <v>41</v>
      </c>
      <c r="I69" s="2355">
        <v>2</v>
      </c>
      <c r="J69" s="2356">
        <v>4.8780487804878048</v>
      </c>
      <c r="K69" s="2354">
        <v>20</v>
      </c>
      <c r="L69" s="2355">
        <v>5</v>
      </c>
      <c r="M69" s="2356">
        <v>25</v>
      </c>
      <c r="N69" s="2354">
        <v>21</v>
      </c>
      <c r="O69" s="2355">
        <v>2</v>
      </c>
      <c r="P69" s="2357">
        <v>9.5238095238095237</v>
      </c>
    </row>
    <row r="70" spans="1:16" ht="20.25" customHeight="1">
      <c r="A70" s="2347" t="s">
        <v>817</v>
      </c>
      <c r="B70" s="2354">
        <v>3948</v>
      </c>
      <c r="C70" s="2355">
        <v>376</v>
      </c>
      <c r="D70" s="2356">
        <v>9.5238095238095237</v>
      </c>
      <c r="E70" s="2354">
        <v>4185</v>
      </c>
      <c r="F70" s="2355">
        <v>350</v>
      </c>
      <c r="G70" s="2356">
        <v>8.3632019115890071</v>
      </c>
      <c r="H70" s="2354">
        <v>4623</v>
      </c>
      <c r="I70" s="2355">
        <v>413</v>
      </c>
      <c r="J70" s="2356">
        <v>8.9335929050400171</v>
      </c>
      <c r="K70" s="2354">
        <v>4538</v>
      </c>
      <c r="L70" s="2355">
        <v>380</v>
      </c>
      <c r="M70" s="2356">
        <v>8.3737329219920671</v>
      </c>
      <c r="N70" s="2354">
        <v>4759</v>
      </c>
      <c r="O70" s="2355">
        <v>433</v>
      </c>
      <c r="P70" s="2357">
        <v>9.0985501155704984</v>
      </c>
    </row>
    <row r="71" spans="1:16" ht="20.25" customHeight="1">
      <c r="A71" s="2347" t="s">
        <v>3593</v>
      </c>
      <c r="B71" s="2354">
        <v>114</v>
      </c>
      <c r="C71" s="2355">
        <v>13</v>
      </c>
      <c r="D71" s="2356">
        <v>11.403508771929824</v>
      </c>
      <c r="E71" s="2354">
        <v>116</v>
      </c>
      <c r="F71" s="2355">
        <v>8</v>
      </c>
      <c r="G71" s="2356">
        <v>6.8965517241379306</v>
      </c>
      <c r="H71" s="2354">
        <v>152</v>
      </c>
      <c r="I71" s="2355">
        <v>10</v>
      </c>
      <c r="J71" s="2356">
        <v>6.5789473684210522</v>
      </c>
      <c r="K71" s="2354">
        <v>145</v>
      </c>
      <c r="L71" s="2355">
        <v>13</v>
      </c>
      <c r="M71" s="2356">
        <v>8.9655172413793096</v>
      </c>
      <c r="N71" s="2354">
        <v>167</v>
      </c>
      <c r="O71" s="2355">
        <v>15</v>
      </c>
      <c r="P71" s="2357">
        <v>8.9820359281437128</v>
      </c>
    </row>
    <row r="72" spans="1:16" ht="20.25" customHeight="1">
      <c r="A72" s="2347" t="s">
        <v>988</v>
      </c>
      <c r="B72" s="2354">
        <v>12</v>
      </c>
      <c r="C72" s="2355">
        <v>5</v>
      </c>
      <c r="D72" s="2356">
        <v>41.666666666666671</v>
      </c>
      <c r="E72" s="2354">
        <v>18</v>
      </c>
      <c r="F72" s="2355">
        <v>4</v>
      </c>
      <c r="G72" s="2356">
        <v>22.222222222222221</v>
      </c>
      <c r="H72" s="2354">
        <v>42</v>
      </c>
      <c r="I72" s="2355">
        <v>14</v>
      </c>
      <c r="J72" s="2356">
        <v>33.333333333333329</v>
      </c>
      <c r="K72" s="2354">
        <v>27</v>
      </c>
      <c r="L72" s="2355">
        <v>4</v>
      </c>
      <c r="M72" s="2356">
        <v>14.814814814814813</v>
      </c>
      <c r="N72" s="2354">
        <v>34</v>
      </c>
      <c r="O72" s="2355">
        <v>3</v>
      </c>
      <c r="P72" s="2357">
        <v>8.8235294117647065</v>
      </c>
    </row>
    <row r="73" spans="1:16" ht="20.25" customHeight="1">
      <c r="A73" s="2347" t="s">
        <v>989</v>
      </c>
      <c r="B73" s="2354">
        <v>521</v>
      </c>
      <c r="C73" s="2355">
        <v>46</v>
      </c>
      <c r="D73" s="2356">
        <v>8.8291746641074855</v>
      </c>
      <c r="E73" s="2354">
        <v>488</v>
      </c>
      <c r="F73" s="2355">
        <v>56</v>
      </c>
      <c r="G73" s="2356">
        <v>11.475409836065573</v>
      </c>
      <c r="H73" s="2354">
        <v>452</v>
      </c>
      <c r="I73" s="2355">
        <v>70</v>
      </c>
      <c r="J73" s="2356">
        <v>15.486725663716813</v>
      </c>
      <c r="K73" s="2354">
        <v>331</v>
      </c>
      <c r="L73" s="2355">
        <v>39</v>
      </c>
      <c r="M73" s="2356">
        <v>11.782477341389729</v>
      </c>
      <c r="N73" s="2354">
        <v>376</v>
      </c>
      <c r="O73" s="2355">
        <v>33</v>
      </c>
      <c r="P73" s="2357">
        <v>8.7765957446808507</v>
      </c>
    </row>
    <row r="74" spans="1:16" ht="20.25" customHeight="1">
      <c r="A74" s="2347" t="s">
        <v>819</v>
      </c>
      <c r="B74" s="2354">
        <v>67788</v>
      </c>
      <c r="C74" s="2355">
        <v>5195</v>
      </c>
      <c r="D74" s="2356">
        <v>7.6635982769811761</v>
      </c>
      <c r="E74" s="2354">
        <v>61209</v>
      </c>
      <c r="F74" s="2355">
        <v>4977</v>
      </c>
      <c r="G74" s="2356">
        <v>8.1311571827672395</v>
      </c>
      <c r="H74" s="2354">
        <v>61387</v>
      </c>
      <c r="I74" s="2355">
        <v>5111</v>
      </c>
      <c r="J74" s="2356">
        <v>8.3258670402528221</v>
      </c>
      <c r="K74" s="2354">
        <v>59046</v>
      </c>
      <c r="L74" s="2355">
        <v>4864</v>
      </c>
      <c r="M74" s="2356">
        <v>8.2376452257561912</v>
      </c>
      <c r="N74" s="2354">
        <v>52695</v>
      </c>
      <c r="O74" s="2355">
        <v>4355</v>
      </c>
      <c r="P74" s="2357">
        <v>8.2645412278204766</v>
      </c>
    </row>
    <row r="75" spans="1:16" ht="20.25" customHeight="1">
      <c r="A75" s="2347" t="s">
        <v>3594</v>
      </c>
      <c r="B75" s="2354">
        <v>718</v>
      </c>
      <c r="C75" s="2355">
        <v>69</v>
      </c>
      <c r="D75" s="2356">
        <v>9.6100278551532039</v>
      </c>
      <c r="E75" s="2354">
        <v>638</v>
      </c>
      <c r="F75" s="2355">
        <v>41</v>
      </c>
      <c r="G75" s="2356">
        <v>6.4263322884012544</v>
      </c>
      <c r="H75" s="2354">
        <v>513</v>
      </c>
      <c r="I75" s="2355">
        <v>43</v>
      </c>
      <c r="J75" s="2356">
        <v>8.3820662768031191</v>
      </c>
      <c r="K75" s="2354">
        <v>375</v>
      </c>
      <c r="L75" s="2355">
        <v>33</v>
      </c>
      <c r="M75" s="2356">
        <v>8.7999999999999989</v>
      </c>
      <c r="N75" s="2354">
        <v>264</v>
      </c>
      <c r="O75" s="2355">
        <v>21</v>
      </c>
      <c r="P75" s="2357">
        <v>7.9545454545454541</v>
      </c>
    </row>
    <row r="76" spans="1:16" ht="20.25" customHeight="1">
      <c r="A76" s="2363" t="s">
        <v>982</v>
      </c>
      <c r="B76" s="2354">
        <v>1570</v>
      </c>
      <c r="C76" s="2355">
        <v>102</v>
      </c>
      <c r="D76" s="2356">
        <v>6.4968152866242042</v>
      </c>
      <c r="E76" s="2354">
        <v>1673</v>
      </c>
      <c r="F76" s="2355">
        <v>76</v>
      </c>
      <c r="G76" s="2356">
        <v>4.5427375971309027</v>
      </c>
      <c r="H76" s="2354">
        <v>1847</v>
      </c>
      <c r="I76" s="2355">
        <v>83</v>
      </c>
      <c r="J76" s="2356">
        <v>4.4937736870600968</v>
      </c>
      <c r="K76" s="2354">
        <v>1754</v>
      </c>
      <c r="L76" s="2355">
        <v>102</v>
      </c>
      <c r="M76" s="2356">
        <v>5.8152793614595213</v>
      </c>
      <c r="N76" s="2354">
        <v>1778</v>
      </c>
      <c r="O76" s="2355">
        <v>137</v>
      </c>
      <c r="P76" s="2357">
        <v>7.7052868391451064</v>
      </c>
    </row>
    <row r="77" spans="1:16" ht="20.25" customHeight="1">
      <c r="A77" s="2347" t="s">
        <v>3595</v>
      </c>
      <c r="B77" s="2354">
        <v>48</v>
      </c>
      <c r="C77" s="2355">
        <v>3</v>
      </c>
      <c r="D77" s="2356">
        <v>6.25</v>
      </c>
      <c r="E77" s="2354">
        <v>54</v>
      </c>
      <c r="F77" s="2355">
        <v>5</v>
      </c>
      <c r="G77" s="2356">
        <v>9.2592592592592595</v>
      </c>
      <c r="H77" s="2354">
        <v>51</v>
      </c>
      <c r="I77" s="2355">
        <v>3</v>
      </c>
      <c r="J77" s="2356">
        <v>5.8823529411764701</v>
      </c>
      <c r="K77" s="2354">
        <v>49</v>
      </c>
      <c r="L77" s="2355">
        <v>3</v>
      </c>
      <c r="M77" s="2356">
        <v>6.1224489795918364</v>
      </c>
      <c r="N77" s="2354">
        <v>66</v>
      </c>
      <c r="O77" s="2355">
        <v>5</v>
      </c>
      <c r="P77" s="2357">
        <v>7.5757575757575761</v>
      </c>
    </row>
    <row r="78" spans="1:16" ht="20.25" customHeight="1">
      <c r="A78" s="2347" t="s">
        <v>3536</v>
      </c>
      <c r="B78" s="2354">
        <v>39</v>
      </c>
      <c r="C78" s="2355">
        <v>5</v>
      </c>
      <c r="D78" s="2356">
        <v>12.820512820512819</v>
      </c>
      <c r="E78" s="2354">
        <v>14</v>
      </c>
      <c r="F78" s="2355">
        <v>0</v>
      </c>
      <c r="G78" s="2356">
        <v>0</v>
      </c>
      <c r="H78" s="2354">
        <v>54</v>
      </c>
      <c r="I78" s="2355">
        <v>6</v>
      </c>
      <c r="J78" s="2356">
        <v>11.111111111111111</v>
      </c>
      <c r="K78" s="2354">
        <v>64</v>
      </c>
      <c r="L78" s="2355">
        <v>1</v>
      </c>
      <c r="M78" s="2356">
        <v>1.5625</v>
      </c>
      <c r="N78" s="2354">
        <v>66</v>
      </c>
      <c r="O78" s="2355">
        <v>5</v>
      </c>
      <c r="P78" s="2357">
        <v>7.5757575757575761</v>
      </c>
    </row>
    <row r="79" spans="1:16" ht="20.25" customHeight="1">
      <c r="A79" s="2347" t="s">
        <v>3542</v>
      </c>
      <c r="B79" s="2354">
        <v>28</v>
      </c>
      <c r="C79" s="2355">
        <v>0</v>
      </c>
      <c r="D79" s="2356">
        <v>0</v>
      </c>
      <c r="E79" s="2354">
        <v>47</v>
      </c>
      <c r="F79" s="2355">
        <v>6</v>
      </c>
      <c r="G79" s="2356">
        <v>12.76595744680851</v>
      </c>
      <c r="H79" s="2354">
        <v>58</v>
      </c>
      <c r="I79" s="2355">
        <v>6</v>
      </c>
      <c r="J79" s="2356">
        <v>10.344827586206897</v>
      </c>
      <c r="K79" s="2354">
        <v>62</v>
      </c>
      <c r="L79" s="2355">
        <v>8</v>
      </c>
      <c r="M79" s="2356">
        <v>12.903225806451612</v>
      </c>
      <c r="N79" s="2354">
        <v>57</v>
      </c>
      <c r="O79" s="2355">
        <v>4</v>
      </c>
      <c r="P79" s="2357">
        <v>7.0175438596491224</v>
      </c>
    </row>
    <row r="80" spans="1:16" ht="20.25" customHeight="1">
      <c r="A80" s="2347" t="s">
        <v>1093</v>
      </c>
      <c r="B80" s="2354">
        <v>739</v>
      </c>
      <c r="C80" s="2355">
        <v>82</v>
      </c>
      <c r="D80" s="2356">
        <v>11.096075778078484</v>
      </c>
      <c r="E80" s="2354">
        <v>561</v>
      </c>
      <c r="F80" s="2355">
        <v>49</v>
      </c>
      <c r="G80" s="2356">
        <v>8.7344028520499108</v>
      </c>
      <c r="H80" s="2354">
        <v>641</v>
      </c>
      <c r="I80" s="2355">
        <v>56</v>
      </c>
      <c r="J80" s="2356">
        <v>8.7363494539781588</v>
      </c>
      <c r="K80" s="2354">
        <v>520</v>
      </c>
      <c r="L80" s="2355">
        <v>53</v>
      </c>
      <c r="M80" s="2356">
        <v>10.192307692307692</v>
      </c>
      <c r="N80" s="2354">
        <v>382</v>
      </c>
      <c r="O80" s="2355">
        <v>25</v>
      </c>
      <c r="P80" s="2357">
        <v>6.5445026178010473</v>
      </c>
    </row>
    <row r="81" spans="1:16" ht="20.25" customHeight="1">
      <c r="A81" s="2347" t="s">
        <v>3543</v>
      </c>
      <c r="B81" s="2354">
        <v>71</v>
      </c>
      <c r="C81" s="2355">
        <v>5</v>
      </c>
      <c r="D81" s="2356">
        <v>7.042253521126761</v>
      </c>
      <c r="E81" s="2354">
        <v>75</v>
      </c>
      <c r="F81" s="2355">
        <v>11</v>
      </c>
      <c r="G81" s="2356">
        <v>14.666666666666666</v>
      </c>
      <c r="H81" s="2354">
        <v>49</v>
      </c>
      <c r="I81" s="2355">
        <v>5</v>
      </c>
      <c r="J81" s="2356">
        <v>10.204081632653061</v>
      </c>
      <c r="K81" s="2354">
        <v>52</v>
      </c>
      <c r="L81" s="2355">
        <v>6</v>
      </c>
      <c r="M81" s="2356">
        <v>11.538461538461538</v>
      </c>
      <c r="N81" s="2354">
        <v>49</v>
      </c>
      <c r="O81" s="2355">
        <v>3</v>
      </c>
      <c r="P81" s="2357">
        <v>6.1224489795918364</v>
      </c>
    </row>
    <row r="82" spans="1:16" ht="20.25" customHeight="1">
      <c r="A82" s="2347" t="s">
        <v>984</v>
      </c>
      <c r="B82" s="2354">
        <v>300</v>
      </c>
      <c r="C82" s="2355">
        <v>18</v>
      </c>
      <c r="D82" s="2356">
        <v>6</v>
      </c>
      <c r="E82" s="2354">
        <v>357</v>
      </c>
      <c r="F82" s="2355">
        <v>24</v>
      </c>
      <c r="G82" s="2356">
        <v>6.7226890756302522</v>
      </c>
      <c r="H82" s="2354">
        <v>425</v>
      </c>
      <c r="I82" s="2355">
        <v>24</v>
      </c>
      <c r="J82" s="2356">
        <v>5.6470588235294121</v>
      </c>
      <c r="K82" s="2354">
        <v>432</v>
      </c>
      <c r="L82" s="2355">
        <v>19</v>
      </c>
      <c r="M82" s="2356">
        <v>4.3981481481481479</v>
      </c>
      <c r="N82" s="2354">
        <v>506</v>
      </c>
      <c r="O82" s="2355">
        <v>29</v>
      </c>
      <c r="P82" s="2357">
        <v>5.7312252964426875</v>
      </c>
    </row>
    <row r="83" spans="1:16" ht="20.25" customHeight="1">
      <c r="A83" s="2347" t="s">
        <v>3543</v>
      </c>
      <c r="B83" s="2364">
        <v>79</v>
      </c>
      <c r="C83" s="2317">
        <v>5</v>
      </c>
      <c r="D83" s="2365">
        <f>C83/B83*100</f>
        <v>6.3291139240506329</v>
      </c>
      <c r="E83" s="2364">
        <v>80</v>
      </c>
      <c r="F83" s="2317">
        <v>11</v>
      </c>
      <c r="G83" s="2365">
        <f>F83/E83*100</f>
        <v>13.750000000000002</v>
      </c>
      <c r="H83" s="2364">
        <v>62</v>
      </c>
      <c r="I83" s="2317">
        <v>6</v>
      </c>
      <c r="J83" s="2365">
        <f>I83/H83*100</f>
        <v>9.67741935483871</v>
      </c>
      <c r="K83" s="2364">
        <v>62</v>
      </c>
      <c r="L83" s="2317">
        <v>6</v>
      </c>
      <c r="M83" s="2365">
        <f>L83/K83*100</f>
        <v>9.67741935483871</v>
      </c>
      <c r="N83" s="2364">
        <v>54</v>
      </c>
      <c r="O83" s="2317">
        <v>3</v>
      </c>
      <c r="P83" s="2366">
        <f>O83/N83*100</f>
        <v>5.5555555555555554</v>
      </c>
    </row>
    <row r="84" spans="1:16" ht="20.25" customHeight="1">
      <c r="A84" s="2347" t="s">
        <v>981</v>
      </c>
      <c r="B84" s="2354">
        <v>484</v>
      </c>
      <c r="C84" s="2355">
        <v>19</v>
      </c>
      <c r="D84" s="2356">
        <v>3.9256198347107438</v>
      </c>
      <c r="E84" s="2354">
        <v>409</v>
      </c>
      <c r="F84" s="2355">
        <v>15</v>
      </c>
      <c r="G84" s="2356">
        <v>3.6674816625916873</v>
      </c>
      <c r="H84" s="2354">
        <v>384</v>
      </c>
      <c r="I84" s="2355">
        <v>17</v>
      </c>
      <c r="J84" s="2356">
        <v>4.4270833333333339</v>
      </c>
      <c r="K84" s="2354">
        <v>345</v>
      </c>
      <c r="L84" s="2355">
        <v>18</v>
      </c>
      <c r="M84" s="2356">
        <v>5.2173913043478262</v>
      </c>
      <c r="N84" s="2354">
        <v>313</v>
      </c>
      <c r="O84" s="2355">
        <v>17</v>
      </c>
      <c r="P84" s="2357">
        <v>5.4313099041533546</v>
      </c>
    </row>
    <row r="85" spans="1:16" ht="20.25" customHeight="1">
      <c r="A85" s="2347" t="s">
        <v>981</v>
      </c>
      <c r="B85" s="2364">
        <v>513</v>
      </c>
      <c r="C85" s="2317">
        <v>24</v>
      </c>
      <c r="D85" s="2365">
        <f>C85/B85*100</f>
        <v>4.6783625730994149</v>
      </c>
      <c r="E85" s="2364">
        <v>437</v>
      </c>
      <c r="F85" s="2317">
        <v>17</v>
      </c>
      <c r="G85" s="2365">
        <f>F85/E85*100</f>
        <v>3.8901601830663615</v>
      </c>
      <c r="H85" s="2364">
        <v>429</v>
      </c>
      <c r="I85" s="2317">
        <v>19</v>
      </c>
      <c r="J85" s="2365">
        <f>I85/H85*100</f>
        <v>4.4289044289044286</v>
      </c>
      <c r="K85" s="2364">
        <v>411</v>
      </c>
      <c r="L85" s="2317">
        <v>22</v>
      </c>
      <c r="M85" s="2365">
        <f>L85/K85*100</f>
        <v>5.3527980535279802</v>
      </c>
      <c r="N85" s="2364">
        <v>350</v>
      </c>
      <c r="O85" s="2317">
        <v>18</v>
      </c>
      <c r="P85" s="2366">
        <f>O85/N85*100</f>
        <v>5.1428571428571423</v>
      </c>
    </row>
    <row r="86" spans="1:16" ht="20.25" customHeight="1">
      <c r="A86" s="2367" t="s">
        <v>3544</v>
      </c>
      <c r="B86" s="2354">
        <v>40</v>
      </c>
      <c r="C86" s="2355">
        <v>1</v>
      </c>
      <c r="D86" s="2356">
        <v>2.5</v>
      </c>
      <c r="E86" s="2354">
        <v>59</v>
      </c>
      <c r="F86" s="2355">
        <v>3</v>
      </c>
      <c r="G86" s="2356">
        <v>5.0847457627118651</v>
      </c>
      <c r="H86" s="2354">
        <v>60</v>
      </c>
      <c r="I86" s="2355">
        <v>2</v>
      </c>
      <c r="J86" s="2356">
        <v>3.3333333333333335</v>
      </c>
      <c r="K86" s="2354">
        <v>49</v>
      </c>
      <c r="L86" s="2355">
        <v>2</v>
      </c>
      <c r="M86" s="2356">
        <v>4.0816326530612246</v>
      </c>
      <c r="N86" s="2354">
        <v>59</v>
      </c>
      <c r="O86" s="2355">
        <v>3</v>
      </c>
      <c r="P86" s="2357">
        <v>5.0847457627118651</v>
      </c>
    </row>
    <row r="87" spans="1:16" ht="20.25" customHeight="1">
      <c r="A87" s="2368" t="s">
        <v>3596</v>
      </c>
      <c r="B87" s="2369">
        <f>(B6-SUM(B7:B86))</f>
        <v>5031</v>
      </c>
      <c r="C87" s="2369">
        <f>(C6-SUM(C7:C86))</f>
        <v>332</v>
      </c>
      <c r="D87" s="2370">
        <f>C87/B87*100</f>
        <v>6.5990856688531103</v>
      </c>
      <c r="E87" s="2369">
        <f t="shared" ref="E87:O87" si="0">(E6-SUM(E7:E86))</f>
        <v>4618</v>
      </c>
      <c r="F87" s="2369">
        <f t="shared" si="0"/>
        <v>269</v>
      </c>
      <c r="G87" s="2370">
        <f>F87/E87*100</f>
        <v>5.8250324815937633</v>
      </c>
      <c r="H87" s="2369">
        <f t="shared" si="0"/>
        <v>4886</v>
      </c>
      <c r="I87" s="2369">
        <f t="shared" si="0"/>
        <v>281</v>
      </c>
      <c r="J87" s="2370">
        <f>I87/H87*100</f>
        <v>5.7511256651657803</v>
      </c>
      <c r="K87" s="2369">
        <f t="shared" si="0"/>
        <v>5192</v>
      </c>
      <c r="L87" s="2369">
        <f t="shared" si="0"/>
        <v>327</v>
      </c>
      <c r="M87" s="2370">
        <f>L87/K87*100</f>
        <v>6.2981510015408322</v>
      </c>
      <c r="N87" s="2369">
        <f t="shared" si="0"/>
        <v>4890</v>
      </c>
      <c r="O87" s="2369">
        <f t="shared" si="0"/>
        <v>314</v>
      </c>
      <c r="P87" s="2371">
        <f>O87/N87*100</f>
        <v>6.4212678936605316</v>
      </c>
    </row>
    <row r="88" spans="1:16">
      <c r="A88" s="2303" t="s">
        <v>925</v>
      </c>
    </row>
    <row r="89" spans="1:16">
      <c r="A89" s="2373" t="s">
        <v>3597</v>
      </c>
    </row>
  </sheetData>
  <mergeCells count="16">
    <mergeCell ref="O4:O5"/>
    <mergeCell ref="A1:P1"/>
    <mergeCell ref="B2:D2"/>
    <mergeCell ref="H2:J2"/>
    <mergeCell ref="K2:M2"/>
    <mergeCell ref="N2:P2"/>
    <mergeCell ref="A3:A5"/>
    <mergeCell ref="B3:B4"/>
    <mergeCell ref="E3:E4"/>
    <mergeCell ref="H3:H4"/>
    <mergeCell ref="K3:K4"/>
    <mergeCell ref="N3:N4"/>
    <mergeCell ref="C4:C5"/>
    <mergeCell ref="F4:F5"/>
    <mergeCell ref="I4:I5"/>
    <mergeCell ref="L4:L5"/>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2" firstPageNumber="262" orientation="landscape" r:id="rId1"/>
  <headerFooter differentOddEven="1" scaleWithDoc="0">
    <oddHeader>&amp;L&amp;"Times New Roman,標準"&amp;8 107&amp;"標楷體,標準"年犯罪狀況及其分析</oddHeader>
    <evenHeader>&amp;R&amp;"標楷體,標準"&amp;8第四篇　特定類型犯罪者之犯罪趨勢與處遇</evenHead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M18"/>
  <sheetViews>
    <sheetView showGridLines="0" workbookViewId="0">
      <selection activeCell="A18" sqref="A18:H18"/>
    </sheetView>
  </sheetViews>
  <sheetFormatPr defaultRowHeight="15.75"/>
  <cols>
    <col min="1" max="1" width="12.875" style="849" customWidth="1"/>
    <col min="2" max="2" width="11" style="849" customWidth="1"/>
    <col min="3" max="4" width="10.125" style="849" customWidth="1"/>
    <col min="5" max="5" width="10.625" style="849" customWidth="1"/>
    <col min="6" max="6" width="10.875" style="849" customWidth="1"/>
    <col min="7" max="7" width="10.125" style="849" customWidth="1"/>
    <col min="8" max="8" width="10.25" style="849" customWidth="1"/>
    <col min="9" max="9" width="9.75" style="849" customWidth="1"/>
    <col min="10" max="10" width="8.625" style="849" customWidth="1"/>
    <col min="11" max="11" width="9.5" style="849" bestFit="1" customWidth="1"/>
    <col min="12" max="12" width="9.625" style="849" bestFit="1" customWidth="1"/>
    <col min="13" max="13" width="9.5" style="849" bestFit="1" customWidth="1"/>
    <col min="14" max="254" width="9" style="849"/>
    <col min="255" max="255" width="12.875" style="849" customWidth="1"/>
    <col min="256" max="256" width="10.125" style="849" customWidth="1"/>
    <col min="257" max="257" width="10.625" style="849" customWidth="1"/>
    <col min="258" max="258" width="9.25" style="849" customWidth="1"/>
    <col min="259" max="259" width="10.125" style="849" customWidth="1"/>
    <col min="260" max="260" width="10.25" style="849" customWidth="1"/>
    <col min="261" max="261" width="9.75" style="849" customWidth="1"/>
    <col min="262" max="262" width="10.25" style="849" customWidth="1"/>
    <col min="263" max="263" width="9.5" style="849" customWidth="1"/>
    <col min="264" max="264" width="8.625" style="849" customWidth="1"/>
    <col min="265" max="265" width="9.5" style="849" bestFit="1" customWidth="1"/>
    <col min="266" max="266" width="9.625" style="849" bestFit="1" customWidth="1"/>
    <col min="267" max="267" width="9.5" style="849" bestFit="1" customWidth="1"/>
    <col min="268" max="510" width="9" style="849"/>
    <col min="511" max="511" width="12.875" style="849" customWidth="1"/>
    <col min="512" max="512" width="10.125" style="849" customWidth="1"/>
    <col min="513" max="513" width="10.625" style="849" customWidth="1"/>
    <col min="514" max="514" width="9.25" style="849" customWidth="1"/>
    <col min="515" max="515" width="10.125" style="849" customWidth="1"/>
    <col min="516" max="516" width="10.25" style="849" customWidth="1"/>
    <col min="517" max="517" width="9.75" style="849" customWidth="1"/>
    <col min="518" max="518" width="10.25" style="849" customWidth="1"/>
    <col min="519" max="519" width="9.5" style="849" customWidth="1"/>
    <col min="520" max="520" width="8.625" style="849" customWidth="1"/>
    <col min="521" max="521" width="9.5" style="849" bestFit="1" customWidth="1"/>
    <col min="522" max="522" width="9.625" style="849" bestFit="1" customWidth="1"/>
    <col min="523" max="523" width="9.5" style="849" bestFit="1" customWidth="1"/>
    <col min="524" max="766" width="9" style="849"/>
    <col min="767" max="767" width="12.875" style="849" customWidth="1"/>
    <col min="768" max="768" width="10.125" style="849" customWidth="1"/>
    <col min="769" max="769" width="10.625" style="849" customWidth="1"/>
    <col min="770" max="770" width="9.25" style="849" customWidth="1"/>
    <col min="771" max="771" width="10.125" style="849" customWidth="1"/>
    <col min="772" max="772" width="10.25" style="849" customWidth="1"/>
    <col min="773" max="773" width="9.75" style="849" customWidth="1"/>
    <col min="774" max="774" width="10.25" style="849" customWidth="1"/>
    <col min="775" max="775" width="9.5" style="849" customWidth="1"/>
    <col min="776" max="776" width="8.625" style="849" customWidth="1"/>
    <col min="777" max="777" width="9.5" style="849" bestFit="1" customWidth="1"/>
    <col min="778" max="778" width="9.625" style="849" bestFit="1" customWidth="1"/>
    <col min="779" max="779" width="9.5" style="849" bestFit="1" customWidth="1"/>
    <col min="780" max="1022" width="9" style="849"/>
    <col min="1023" max="1023" width="12.875" style="849" customWidth="1"/>
    <col min="1024" max="1024" width="10.125" style="849" customWidth="1"/>
    <col min="1025" max="1025" width="10.625" style="849" customWidth="1"/>
    <col min="1026" max="1026" width="9.25" style="849" customWidth="1"/>
    <col min="1027" max="1027" width="10.125" style="849" customWidth="1"/>
    <col min="1028" max="1028" width="10.25" style="849" customWidth="1"/>
    <col min="1029" max="1029" width="9.75" style="849" customWidth="1"/>
    <col min="1030" max="1030" width="10.25" style="849" customWidth="1"/>
    <col min="1031" max="1031" width="9.5" style="849" customWidth="1"/>
    <col min="1032" max="1032" width="8.625" style="849" customWidth="1"/>
    <col min="1033" max="1033" width="9.5" style="849" bestFit="1" customWidth="1"/>
    <col min="1034" max="1034" width="9.625" style="849" bestFit="1" customWidth="1"/>
    <col min="1035" max="1035" width="9.5" style="849" bestFit="1" customWidth="1"/>
    <col min="1036" max="1278" width="9" style="849"/>
    <col min="1279" max="1279" width="12.875" style="849" customWidth="1"/>
    <col min="1280" max="1280" width="10.125" style="849" customWidth="1"/>
    <col min="1281" max="1281" width="10.625" style="849" customWidth="1"/>
    <col min="1282" max="1282" width="9.25" style="849" customWidth="1"/>
    <col min="1283" max="1283" width="10.125" style="849" customWidth="1"/>
    <col min="1284" max="1284" width="10.25" style="849" customWidth="1"/>
    <col min="1285" max="1285" width="9.75" style="849" customWidth="1"/>
    <col min="1286" max="1286" width="10.25" style="849" customWidth="1"/>
    <col min="1287" max="1287" width="9.5" style="849" customWidth="1"/>
    <col min="1288" max="1288" width="8.625" style="849" customWidth="1"/>
    <col min="1289" max="1289" width="9.5" style="849" bestFit="1" customWidth="1"/>
    <col min="1290" max="1290" width="9.625" style="849" bestFit="1" customWidth="1"/>
    <col min="1291" max="1291" width="9.5" style="849" bestFit="1" customWidth="1"/>
    <col min="1292" max="1534" width="9" style="849"/>
    <col min="1535" max="1535" width="12.875" style="849" customWidth="1"/>
    <col min="1536" max="1536" width="10.125" style="849" customWidth="1"/>
    <col min="1537" max="1537" width="10.625" style="849" customWidth="1"/>
    <col min="1538" max="1538" width="9.25" style="849" customWidth="1"/>
    <col min="1539" max="1539" width="10.125" style="849" customWidth="1"/>
    <col min="1540" max="1540" width="10.25" style="849" customWidth="1"/>
    <col min="1541" max="1541" width="9.75" style="849" customWidth="1"/>
    <col min="1542" max="1542" width="10.25" style="849" customWidth="1"/>
    <col min="1543" max="1543" width="9.5" style="849" customWidth="1"/>
    <col min="1544" max="1544" width="8.625" style="849" customWidth="1"/>
    <col min="1545" max="1545" width="9.5" style="849" bestFit="1" customWidth="1"/>
    <col min="1546" max="1546" width="9.625" style="849" bestFit="1" customWidth="1"/>
    <col min="1547" max="1547" width="9.5" style="849" bestFit="1" customWidth="1"/>
    <col min="1548" max="1790" width="9" style="849"/>
    <col min="1791" max="1791" width="12.875" style="849" customWidth="1"/>
    <col min="1792" max="1792" width="10.125" style="849" customWidth="1"/>
    <col min="1793" max="1793" width="10.625" style="849" customWidth="1"/>
    <col min="1794" max="1794" width="9.25" style="849" customWidth="1"/>
    <col min="1795" max="1795" width="10.125" style="849" customWidth="1"/>
    <col min="1796" max="1796" width="10.25" style="849" customWidth="1"/>
    <col min="1797" max="1797" width="9.75" style="849" customWidth="1"/>
    <col min="1798" max="1798" width="10.25" style="849" customWidth="1"/>
    <col min="1799" max="1799" width="9.5" style="849" customWidth="1"/>
    <col min="1800" max="1800" width="8.625" style="849" customWidth="1"/>
    <col min="1801" max="1801" width="9.5" style="849" bestFit="1" customWidth="1"/>
    <col min="1802" max="1802" width="9.625" style="849" bestFit="1" customWidth="1"/>
    <col min="1803" max="1803" width="9.5" style="849" bestFit="1" customWidth="1"/>
    <col min="1804" max="2046" width="9" style="849"/>
    <col min="2047" max="2047" width="12.875" style="849" customWidth="1"/>
    <col min="2048" max="2048" width="10.125" style="849" customWidth="1"/>
    <col min="2049" max="2049" width="10.625" style="849" customWidth="1"/>
    <col min="2050" max="2050" width="9.25" style="849" customWidth="1"/>
    <col min="2051" max="2051" width="10.125" style="849" customWidth="1"/>
    <col min="2052" max="2052" width="10.25" style="849" customWidth="1"/>
    <col min="2053" max="2053" width="9.75" style="849" customWidth="1"/>
    <col min="2054" max="2054" width="10.25" style="849" customWidth="1"/>
    <col min="2055" max="2055" width="9.5" style="849" customWidth="1"/>
    <col min="2056" max="2056" width="8.625" style="849" customWidth="1"/>
    <col min="2057" max="2057" width="9.5" style="849" bestFit="1" customWidth="1"/>
    <col min="2058" max="2058" width="9.625" style="849" bestFit="1" customWidth="1"/>
    <col min="2059" max="2059" width="9.5" style="849" bestFit="1" customWidth="1"/>
    <col min="2060" max="2302" width="9" style="849"/>
    <col min="2303" max="2303" width="12.875" style="849" customWidth="1"/>
    <col min="2304" max="2304" width="10.125" style="849" customWidth="1"/>
    <col min="2305" max="2305" width="10.625" style="849" customWidth="1"/>
    <col min="2306" max="2306" width="9.25" style="849" customWidth="1"/>
    <col min="2307" max="2307" width="10.125" style="849" customWidth="1"/>
    <col min="2308" max="2308" width="10.25" style="849" customWidth="1"/>
    <col min="2309" max="2309" width="9.75" style="849" customWidth="1"/>
    <col min="2310" max="2310" width="10.25" style="849" customWidth="1"/>
    <col min="2311" max="2311" width="9.5" style="849" customWidth="1"/>
    <col min="2312" max="2312" width="8.625" style="849" customWidth="1"/>
    <col min="2313" max="2313" width="9.5" style="849" bestFit="1" customWidth="1"/>
    <col min="2314" max="2314" width="9.625" style="849" bestFit="1" customWidth="1"/>
    <col min="2315" max="2315" width="9.5" style="849" bestFit="1" customWidth="1"/>
    <col min="2316" max="2558" width="9" style="849"/>
    <col min="2559" max="2559" width="12.875" style="849" customWidth="1"/>
    <col min="2560" max="2560" width="10.125" style="849" customWidth="1"/>
    <col min="2561" max="2561" width="10.625" style="849" customWidth="1"/>
    <col min="2562" max="2562" width="9.25" style="849" customWidth="1"/>
    <col min="2563" max="2563" width="10.125" style="849" customWidth="1"/>
    <col min="2564" max="2564" width="10.25" style="849" customWidth="1"/>
    <col min="2565" max="2565" width="9.75" style="849" customWidth="1"/>
    <col min="2566" max="2566" width="10.25" style="849" customWidth="1"/>
    <col min="2567" max="2567" width="9.5" style="849" customWidth="1"/>
    <col min="2568" max="2568" width="8.625" style="849" customWidth="1"/>
    <col min="2569" max="2569" width="9.5" style="849" bestFit="1" customWidth="1"/>
    <col min="2570" max="2570" width="9.625" style="849" bestFit="1" customWidth="1"/>
    <col min="2571" max="2571" width="9.5" style="849" bestFit="1" customWidth="1"/>
    <col min="2572" max="2814" width="9" style="849"/>
    <col min="2815" max="2815" width="12.875" style="849" customWidth="1"/>
    <col min="2816" max="2816" width="10.125" style="849" customWidth="1"/>
    <col min="2817" max="2817" width="10.625" style="849" customWidth="1"/>
    <col min="2818" max="2818" width="9.25" style="849" customWidth="1"/>
    <col min="2819" max="2819" width="10.125" style="849" customWidth="1"/>
    <col min="2820" max="2820" width="10.25" style="849" customWidth="1"/>
    <col min="2821" max="2821" width="9.75" style="849" customWidth="1"/>
    <col min="2822" max="2822" width="10.25" style="849" customWidth="1"/>
    <col min="2823" max="2823" width="9.5" style="849" customWidth="1"/>
    <col min="2824" max="2824" width="8.625" style="849" customWidth="1"/>
    <col min="2825" max="2825" width="9.5" style="849" bestFit="1" customWidth="1"/>
    <col min="2826" max="2826" width="9.625" style="849" bestFit="1" customWidth="1"/>
    <col min="2827" max="2827" width="9.5" style="849" bestFit="1" customWidth="1"/>
    <col min="2828" max="3070" width="9" style="849"/>
    <col min="3071" max="3071" width="12.875" style="849" customWidth="1"/>
    <col min="3072" max="3072" width="10.125" style="849" customWidth="1"/>
    <col min="3073" max="3073" width="10.625" style="849" customWidth="1"/>
    <col min="3074" max="3074" width="9.25" style="849" customWidth="1"/>
    <col min="3075" max="3075" width="10.125" style="849" customWidth="1"/>
    <col min="3076" max="3076" width="10.25" style="849" customWidth="1"/>
    <col min="3077" max="3077" width="9.75" style="849" customWidth="1"/>
    <col min="3078" max="3078" width="10.25" style="849" customWidth="1"/>
    <col min="3079" max="3079" width="9.5" style="849" customWidth="1"/>
    <col min="3080" max="3080" width="8.625" style="849" customWidth="1"/>
    <col min="3081" max="3081" width="9.5" style="849" bestFit="1" customWidth="1"/>
    <col min="3082" max="3082" width="9.625" style="849" bestFit="1" customWidth="1"/>
    <col min="3083" max="3083" width="9.5" style="849" bestFit="1" customWidth="1"/>
    <col min="3084" max="3326" width="9" style="849"/>
    <col min="3327" max="3327" width="12.875" style="849" customWidth="1"/>
    <col min="3328" max="3328" width="10.125" style="849" customWidth="1"/>
    <col min="3329" max="3329" width="10.625" style="849" customWidth="1"/>
    <col min="3330" max="3330" width="9.25" style="849" customWidth="1"/>
    <col min="3331" max="3331" width="10.125" style="849" customWidth="1"/>
    <col min="3332" max="3332" width="10.25" style="849" customWidth="1"/>
    <col min="3333" max="3333" width="9.75" style="849" customWidth="1"/>
    <col min="3334" max="3334" width="10.25" style="849" customWidth="1"/>
    <col min="3335" max="3335" width="9.5" style="849" customWidth="1"/>
    <col min="3336" max="3336" width="8.625" style="849" customWidth="1"/>
    <col min="3337" max="3337" width="9.5" style="849" bestFit="1" customWidth="1"/>
    <col min="3338" max="3338" width="9.625" style="849" bestFit="1" customWidth="1"/>
    <col min="3339" max="3339" width="9.5" style="849" bestFit="1" customWidth="1"/>
    <col min="3340" max="3582" width="9" style="849"/>
    <col min="3583" max="3583" width="12.875" style="849" customWidth="1"/>
    <col min="3584" max="3584" width="10.125" style="849" customWidth="1"/>
    <col min="3585" max="3585" width="10.625" style="849" customWidth="1"/>
    <col min="3586" max="3586" width="9.25" style="849" customWidth="1"/>
    <col min="3587" max="3587" width="10.125" style="849" customWidth="1"/>
    <col min="3588" max="3588" width="10.25" style="849" customWidth="1"/>
    <col min="3589" max="3589" width="9.75" style="849" customWidth="1"/>
    <col min="3590" max="3590" width="10.25" style="849" customWidth="1"/>
    <col min="3591" max="3591" width="9.5" style="849" customWidth="1"/>
    <col min="3592" max="3592" width="8.625" style="849" customWidth="1"/>
    <col min="3593" max="3593" width="9.5" style="849" bestFit="1" customWidth="1"/>
    <col min="3594" max="3594" width="9.625" style="849" bestFit="1" customWidth="1"/>
    <col min="3595" max="3595" width="9.5" style="849" bestFit="1" customWidth="1"/>
    <col min="3596" max="3838" width="9" style="849"/>
    <col min="3839" max="3839" width="12.875" style="849" customWidth="1"/>
    <col min="3840" max="3840" width="10.125" style="849" customWidth="1"/>
    <col min="3841" max="3841" width="10.625" style="849" customWidth="1"/>
    <col min="3842" max="3842" width="9.25" style="849" customWidth="1"/>
    <col min="3843" max="3843" width="10.125" style="849" customWidth="1"/>
    <col min="3844" max="3844" width="10.25" style="849" customWidth="1"/>
    <col min="3845" max="3845" width="9.75" style="849" customWidth="1"/>
    <col min="3846" max="3846" width="10.25" style="849" customWidth="1"/>
    <col min="3847" max="3847" width="9.5" style="849" customWidth="1"/>
    <col min="3848" max="3848" width="8.625" style="849" customWidth="1"/>
    <col min="3849" max="3849" width="9.5" style="849" bestFit="1" customWidth="1"/>
    <col min="3850" max="3850" width="9.625" style="849" bestFit="1" customWidth="1"/>
    <col min="3851" max="3851" width="9.5" style="849" bestFit="1" customWidth="1"/>
    <col min="3852" max="4094" width="9" style="849"/>
    <col min="4095" max="4095" width="12.875" style="849" customWidth="1"/>
    <col min="4096" max="4096" width="10.125" style="849" customWidth="1"/>
    <col min="4097" max="4097" width="10.625" style="849" customWidth="1"/>
    <col min="4098" max="4098" width="9.25" style="849" customWidth="1"/>
    <col min="4099" max="4099" width="10.125" style="849" customWidth="1"/>
    <col min="4100" max="4100" width="10.25" style="849" customWidth="1"/>
    <col min="4101" max="4101" width="9.75" style="849" customWidth="1"/>
    <col min="4102" max="4102" width="10.25" style="849" customWidth="1"/>
    <col min="4103" max="4103" width="9.5" style="849" customWidth="1"/>
    <col min="4104" max="4104" width="8.625" style="849" customWidth="1"/>
    <col min="4105" max="4105" width="9.5" style="849" bestFit="1" customWidth="1"/>
    <col min="4106" max="4106" width="9.625" style="849" bestFit="1" customWidth="1"/>
    <col min="4107" max="4107" width="9.5" style="849" bestFit="1" customWidth="1"/>
    <col min="4108" max="4350" width="9" style="849"/>
    <col min="4351" max="4351" width="12.875" style="849" customWidth="1"/>
    <col min="4352" max="4352" width="10.125" style="849" customWidth="1"/>
    <col min="4353" max="4353" width="10.625" style="849" customWidth="1"/>
    <col min="4354" max="4354" width="9.25" style="849" customWidth="1"/>
    <col min="4355" max="4355" width="10.125" style="849" customWidth="1"/>
    <col min="4356" max="4356" width="10.25" style="849" customWidth="1"/>
    <col min="4357" max="4357" width="9.75" style="849" customWidth="1"/>
    <col min="4358" max="4358" width="10.25" style="849" customWidth="1"/>
    <col min="4359" max="4359" width="9.5" style="849" customWidth="1"/>
    <col min="4360" max="4360" width="8.625" style="849" customWidth="1"/>
    <col min="4361" max="4361" width="9.5" style="849" bestFit="1" customWidth="1"/>
    <col min="4362" max="4362" width="9.625" style="849" bestFit="1" customWidth="1"/>
    <col min="4363" max="4363" width="9.5" style="849" bestFit="1" customWidth="1"/>
    <col min="4364" max="4606" width="9" style="849"/>
    <col min="4607" max="4607" width="12.875" style="849" customWidth="1"/>
    <col min="4608" max="4608" width="10.125" style="849" customWidth="1"/>
    <col min="4609" max="4609" width="10.625" style="849" customWidth="1"/>
    <col min="4610" max="4610" width="9.25" style="849" customWidth="1"/>
    <col min="4611" max="4611" width="10.125" style="849" customWidth="1"/>
    <col min="4612" max="4612" width="10.25" style="849" customWidth="1"/>
    <col min="4613" max="4613" width="9.75" style="849" customWidth="1"/>
    <col min="4614" max="4614" width="10.25" style="849" customWidth="1"/>
    <col min="4615" max="4615" width="9.5" style="849" customWidth="1"/>
    <col min="4616" max="4616" width="8.625" style="849" customWidth="1"/>
    <col min="4617" max="4617" width="9.5" style="849" bestFit="1" customWidth="1"/>
    <col min="4618" max="4618" width="9.625" style="849" bestFit="1" customWidth="1"/>
    <col min="4619" max="4619" width="9.5" style="849" bestFit="1" customWidth="1"/>
    <col min="4620" max="4862" width="9" style="849"/>
    <col min="4863" max="4863" width="12.875" style="849" customWidth="1"/>
    <col min="4864" max="4864" width="10.125" style="849" customWidth="1"/>
    <col min="4865" max="4865" width="10.625" style="849" customWidth="1"/>
    <col min="4866" max="4866" width="9.25" style="849" customWidth="1"/>
    <col min="4867" max="4867" width="10.125" style="849" customWidth="1"/>
    <col min="4868" max="4868" width="10.25" style="849" customWidth="1"/>
    <col min="4869" max="4869" width="9.75" style="849" customWidth="1"/>
    <col min="4870" max="4870" width="10.25" style="849" customWidth="1"/>
    <col min="4871" max="4871" width="9.5" style="849" customWidth="1"/>
    <col min="4872" max="4872" width="8.625" style="849" customWidth="1"/>
    <col min="4873" max="4873" width="9.5" style="849" bestFit="1" customWidth="1"/>
    <col min="4874" max="4874" width="9.625" style="849" bestFit="1" customWidth="1"/>
    <col min="4875" max="4875" width="9.5" style="849" bestFit="1" customWidth="1"/>
    <col min="4876" max="5118" width="9" style="849"/>
    <col min="5119" max="5119" width="12.875" style="849" customWidth="1"/>
    <col min="5120" max="5120" width="10.125" style="849" customWidth="1"/>
    <col min="5121" max="5121" width="10.625" style="849" customWidth="1"/>
    <col min="5122" max="5122" width="9.25" style="849" customWidth="1"/>
    <col min="5123" max="5123" width="10.125" style="849" customWidth="1"/>
    <col min="5124" max="5124" width="10.25" style="849" customWidth="1"/>
    <col min="5125" max="5125" width="9.75" style="849" customWidth="1"/>
    <col min="5126" max="5126" width="10.25" style="849" customWidth="1"/>
    <col min="5127" max="5127" width="9.5" style="849" customWidth="1"/>
    <col min="5128" max="5128" width="8.625" style="849" customWidth="1"/>
    <col min="5129" max="5129" width="9.5" style="849" bestFit="1" customWidth="1"/>
    <col min="5130" max="5130" width="9.625" style="849" bestFit="1" customWidth="1"/>
    <col min="5131" max="5131" width="9.5" style="849" bestFit="1" customWidth="1"/>
    <col min="5132" max="5374" width="9" style="849"/>
    <col min="5375" max="5375" width="12.875" style="849" customWidth="1"/>
    <col min="5376" max="5376" width="10.125" style="849" customWidth="1"/>
    <col min="5377" max="5377" width="10.625" style="849" customWidth="1"/>
    <col min="5378" max="5378" width="9.25" style="849" customWidth="1"/>
    <col min="5379" max="5379" width="10.125" style="849" customWidth="1"/>
    <col min="5380" max="5380" width="10.25" style="849" customWidth="1"/>
    <col min="5381" max="5381" width="9.75" style="849" customWidth="1"/>
    <col min="5382" max="5382" width="10.25" style="849" customWidth="1"/>
    <col min="5383" max="5383" width="9.5" style="849" customWidth="1"/>
    <col min="5384" max="5384" width="8.625" style="849" customWidth="1"/>
    <col min="5385" max="5385" width="9.5" style="849" bestFit="1" customWidth="1"/>
    <col min="5386" max="5386" width="9.625" style="849" bestFit="1" customWidth="1"/>
    <col min="5387" max="5387" width="9.5" style="849" bestFit="1" customWidth="1"/>
    <col min="5388" max="5630" width="9" style="849"/>
    <col min="5631" max="5631" width="12.875" style="849" customWidth="1"/>
    <col min="5632" max="5632" width="10.125" style="849" customWidth="1"/>
    <col min="5633" max="5633" width="10.625" style="849" customWidth="1"/>
    <col min="5634" max="5634" width="9.25" style="849" customWidth="1"/>
    <col min="5635" max="5635" width="10.125" style="849" customWidth="1"/>
    <col min="5636" max="5636" width="10.25" style="849" customWidth="1"/>
    <col min="5637" max="5637" width="9.75" style="849" customWidth="1"/>
    <col min="5638" max="5638" width="10.25" style="849" customWidth="1"/>
    <col min="5639" max="5639" width="9.5" style="849" customWidth="1"/>
    <col min="5640" max="5640" width="8.625" style="849" customWidth="1"/>
    <col min="5641" max="5641" width="9.5" style="849" bestFit="1" customWidth="1"/>
    <col min="5642" max="5642" width="9.625" style="849" bestFit="1" customWidth="1"/>
    <col min="5643" max="5643" width="9.5" style="849" bestFit="1" customWidth="1"/>
    <col min="5644" max="5886" width="9" style="849"/>
    <col min="5887" max="5887" width="12.875" style="849" customWidth="1"/>
    <col min="5888" max="5888" width="10.125" style="849" customWidth="1"/>
    <col min="5889" max="5889" width="10.625" style="849" customWidth="1"/>
    <col min="5890" max="5890" width="9.25" style="849" customWidth="1"/>
    <col min="5891" max="5891" width="10.125" style="849" customWidth="1"/>
    <col min="5892" max="5892" width="10.25" style="849" customWidth="1"/>
    <col min="5893" max="5893" width="9.75" style="849" customWidth="1"/>
    <col min="5894" max="5894" width="10.25" style="849" customWidth="1"/>
    <col min="5895" max="5895" width="9.5" style="849" customWidth="1"/>
    <col min="5896" max="5896" width="8.625" style="849" customWidth="1"/>
    <col min="5897" max="5897" width="9.5" style="849" bestFit="1" customWidth="1"/>
    <col min="5898" max="5898" width="9.625" style="849" bestFit="1" customWidth="1"/>
    <col min="5899" max="5899" width="9.5" style="849" bestFit="1" customWidth="1"/>
    <col min="5900" max="6142" width="9" style="849"/>
    <col min="6143" max="6143" width="12.875" style="849" customWidth="1"/>
    <col min="6144" max="6144" width="10.125" style="849" customWidth="1"/>
    <col min="6145" max="6145" width="10.625" style="849" customWidth="1"/>
    <col min="6146" max="6146" width="9.25" style="849" customWidth="1"/>
    <col min="6147" max="6147" width="10.125" style="849" customWidth="1"/>
    <col min="6148" max="6148" width="10.25" style="849" customWidth="1"/>
    <col min="6149" max="6149" width="9.75" style="849" customWidth="1"/>
    <col min="6150" max="6150" width="10.25" style="849" customWidth="1"/>
    <col min="6151" max="6151" width="9.5" style="849" customWidth="1"/>
    <col min="6152" max="6152" width="8.625" style="849" customWidth="1"/>
    <col min="6153" max="6153" width="9.5" style="849" bestFit="1" customWidth="1"/>
    <col min="6154" max="6154" width="9.625" style="849" bestFit="1" customWidth="1"/>
    <col min="6155" max="6155" width="9.5" style="849" bestFit="1" customWidth="1"/>
    <col min="6156" max="6398" width="9" style="849"/>
    <col min="6399" max="6399" width="12.875" style="849" customWidth="1"/>
    <col min="6400" max="6400" width="10.125" style="849" customWidth="1"/>
    <col min="6401" max="6401" width="10.625" style="849" customWidth="1"/>
    <col min="6402" max="6402" width="9.25" style="849" customWidth="1"/>
    <col min="6403" max="6403" width="10.125" style="849" customWidth="1"/>
    <col min="6404" max="6404" width="10.25" style="849" customWidth="1"/>
    <col min="6405" max="6405" width="9.75" style="849" customWidth="1"/>
    <col min="6406" max="6406" width="10.25" style="849" customWidth="1"/>
    <col min="6407" max="6407" width="9.5" style="849" customWidth="1"/>
    <col min="6408" max="6408" width="8.625" style="849" customWidth="1"/>
    <col min="6409" max="6409" width="9.5" style="849" bestFit="1" customWidth="1"/>
    <col min="6410" max="6410" width="9.625" style="849" bestFit="1" customWidth="1"/>
    <col min="6411" max="6411" width="9.5" style="849" bestFit="1" customWidth="1"/>
    <col min="6412" max="6654" width="9" style="849"/>
    <col min="6655" max="6655" width="12.875" style="849" customWidth="1"/>
    <col min="6656" max="6656" width="10.125" style="849" customWidth="1"/>
    <col min="6657" max="6657" width="10.625" style="849" customWidth="1"/>
    <col min="6658" max="6658" width="9.25" style="849" customWidth="1"/>
    <col min="6659" max="6659" width="10.125" style="849" customWidth="1"/>
    <col min="6660" max="6660" width="10.25" style="849" customWidth="1"/>
    <col min="6661" max="6661" width="9.75" style="849" customWidth="1"/>
    <col min="6662" max="6662" width="10.25" style="849" customWidth="1"/>
    <col min="6663" max="6663" width="9.5" style="849" customWidth="1"/>
    <col min="6664" max="6664" width="8.625" style="849" customWidth="1"/>
    <col min="6665" max="6665" width="9.5" style="849" bestFit="1" customWidth="1"/>
    <col min="6666" max="6666" width="9.625" style="849" bestFit="1" customWidth="1"/>
    <col min="6667" max="6667" width="9.5" style="849" bestFit="1" customWidth="1"/>
    <col min="6668" max="6910" width="9" style="849"/>
    <col min="6911" max="6911" width="12.875" style="849" customWidth="1"/>
    <col min="6912" max="6912" width="10.125" style="849" customWidth="1"/>
    <col min="6913" max="6913" width="10.625" style="849" customWidth="1"/>
    <col min="6914" max="6914" width="9.25" style="849" customWidth="1"/>
    <col min="6915" max="6915" width="10.125" style="849" customWidth="1"/>
    <col min="6916" max="6916" width="10.25" style="849" customWidth="1"/>
    <col min="6917" max="6917" width="9.75" style="849" customWidth="1"/>
    <col min="6918" max="6918" width="10.25" style="849" customWidth="1"/>
    <col min="6919" max="6919" width="9.5" style="849" customWidth="1"/>
    <col min="6920" max="6920" width="8.625" style="849" customWidth="1"/>
    <col min="6921" max="6921" width="9.5" style="849" bestFit="1" customWidth="1"/>
    <col min="6922" max="6922" width="9.625" style="849" bestFit="1" customWidth="1"/>
    <col min="6923" max="6923" width="9.5" style="849" bestFit="1" customWidth="1"/>
    <col min="6924" max="7166" width="9" style="849"/>
    <col min="7167" max="7167" width="12.875" style="849" customWidth="1"/>
    <col min="7168" max="7168" width="10.125" style="849" customWidth="1"/>
    <col min="7169" max="7169" width="10.625" style="849" customWidth="1"/>
    <col min="7170" max="7170" width="9.25" style="849" customWidth="1"/>
    <col min="7171" max="7171" width="10.125" style="849" customWidth="1"/>
    <col min="7172" max="7172" width="10.25" style="849" customWidth="1"/>
    <col min="7173" max="7173" width="9.75" style="849" customWidth="1"/>
    <col min="7174" max="7174" width="10.25" style="849" customWidth="1"/>
    <col min="7175" max="7175" width="9.5" style="849" customWidth="1"/>
    <col min="7176" max="7176" width="8.625" style="849" customWidth="1"/>
    <col min="7177" max="7177" width="9.5" style="849" bestFit="1" customWidth="1"/>
    <col min="7178" max="7178" width="9.625" style="849" bestFit="1" customWidth="1"/>
    <col min="7179" max="7179" width="9.5" style="849" bestFit="1" customWidth="1"/>
    <col min="7180" max="7422" width="9" style="849"/>
    <col min="7423" max="7423" width="12.875" style="849" customWidth="1"/>
    <col min="7424" max="7424" width="10.125" style="849" customWidth="1"/>
    <col min="7425" max="7425" width="10.625" style="849" customWidth="1"/>
    <col min="7426" max="7426" width="9.25" style="849" customWidth="1"/>
    <col min="7427" max="7427" width="10.125" style="849" customWidth="1"/>
    <col min="7428" max="7428" width="10.25" style="849" customWidth="1"/>
    <col min="7429" max="7429" width="9.75" style="849" customWidth="1"/>
    <col min="7430" max="7430" width="10.25" style="849" customWidth="1"/>
    <col min="7431" max="7431" width="9.5" style="849" customWidth="1"/>
    <col min="7432" max="7432" width="8.625" style="849" customWidth="1"/>
    <col min="7433" max="7433" width="9.5" style="849" bestFit="1" customWidth="1"/>
    <col min="7434" max="7434" width="9.625" style="849" bestFit="1" customWidth="1"/>
    <col min="7435" max="7435" width="9.5" style="849" bestFit="1" customWidth="1"/>
    <col min="7436" max="7678" width="9" style="849"/>
    <col min="7679" max="7679" width="12.875" style="849" customWidth="1"/>
    <col min="7680" max="7680" width="10.125" style="849" customWidth="1"/>
    <col min="7681" max="7681" width="10.625" style="849" customWidth="1"/>
    <col min="7682" max="7682" width="9.25" style="849" customWidth="1"/>
    <col min="7683" max="7683" width="10.125" style="849" customWidth="1"/>
    <col min="7684" max="7684" width="10.25" style="849" customWidth="1"/>
    <col min="7685" max="7685" width="9.75" style="849" customWidth="1"/>
    <col min="7686" max="7686" width="10.25" style="849" customWidth="1"/>
    <col min="7687" max="7687" width="9.5" style="849" customWidth="1"/>
    <col min="7688" max="7688" width="8.625" style="849" customWidth="1"/>
    <col min="7689" max="7689" width="9.5" style="849" bestFit="1" customWidth="1"/>
    <col min="7690" max="7690" width="9.625" style="849" bestFit="1" customWidth="1"/>
    <col min="7691" max="7691" width="9.5" style="849" bestFit="1" customWidth="1"/>
    <col min="7692" max="7934" width="9" style="849"/>
    <col min="7935" max="7935" width="12.875" style="849" customWidth="1"/>
    <col min="7936" max="7936" width="10.125" style="849" customWidth="1"/>
    <col min="7937" max="7937" width="10.625" style="849" customWidth="1"/>
    <col min="7938" max="7938" width="9.25" style="849" customWidth="1"/>
    <col min="7939" max="7939" width="10.125" style="849" customWidth="1"/>
    <col min="7940" max="7940" width="10.25" style="849" customWidth="1"/>
    <col min="7941" max="7941" width="9.75" style="849" customWidth="1"/>
    <col min="7942" max="7942" width="10.25" style="849" customWidth="1"/>
    <col min="7943" max="7943" width="9.5" style="849" customWidth="1"/>
    <col min="7944" max="7944" width="8.625" style="849" customWidth="1"/>
    <col min="7945" max="7945" width="9.5" style="849" bestFit="1" customWidth="1"/>
    <col min="7946" max="7946" width="9.625" style="849" bestFit="1" customWidth="1"/>
    <col min="7947" max="7947" width="9.5" style="849" bestFit="1" customWidth="1"/>
    <col min="7948" max="8190" width="9" style="849"/>
    <col min="8191" max="8191" width="12.875" style="849" customWidth="1"/>
    <col min="8192" max="8192" width="10.125" style="849" customWidth="1"/>
    <col min="8193" max="8193" width="10.625" style="849" customWidth="1"/>
    <col min="8194" max="8194" width="9.25" style="849" customWidth="1"/>
    <col min="8195" max="8195" width="10.125" style="849" customWidth="1"/>
    <col min="8196" max="8196" width="10.25" style="849" customWidth="1"/>
    <col min="8197" max="8197" width="9.75" style="849" customWidth="1"/>
    <col min="8198" max="8198" width="10.25" style="849" customWidth="1"/>
    <col min="8199" max="8199" width="9.5" style="849" customWidth="1"/>
    <col min="8200" max="8200" width="8.625" style="849" customWidth="1"/>
    <col min="8201" max="8201" width="9.5" style="849" bestFit="1" customWidth="1"/>
    <col min="8202" max="8202" width="9.625" style="849" bestFit="1" customWidth="1"/>
    <col min="8203" max="8203" width="9.5" style="849" bestFit="1" customWidth="1"/>
    <col min="8204" max="8446" width="9" style="849"/>
    <col min="8447" max="8447" width="12.875" style="849" customWidth="1"/>
    <col min="8448" max="8448" width="10.125" style="849" customWidth="1"/>
    <col min="8449" max="8449" width="10.625" style="849" customWidth="1"/>
    <col min="8450" max="8450" width="9.25" style="849" customWidth="1"/>
    <col min="8451" max="8451" width="10.125" style="849" customWidth="1"/>
    <col min="8452" max="8452" width="10.25" style="849" customWidth="1"/>
    <col min="8453" max="8453" width="9.75" style="849" customWidth="1"/>
    <col min="8454" max="8454" width="10.25" style="849" customWidth="1"/>
    <col min="8455" max="8455" width="9.5" style="849" customWidth="1"/>
    <col min="8456" max="8456" width="8.625" style="849" customWidth="1"/>
    <col min="8457" max="8457" width="9.5" style="849" bestFit="1" customWidth="1"/>
    <col min="8458" max="8458" width="9.625" style="849" bestFit="1" customWidth="1"/>
    <col min="8459" max="8459" width="9.5" style="849" bestFit="1" customWidth="1"/>
    <col min="8460" max="8702" width="9" style="849"/>
    <col min="8703" max="8703" width="12.875" style="849" customWidth="1"/>
    <col min="8704" max="8704" width="10.125" style="849" customWidth="1"/>
    <col min="8705" max="8705" width="10.625" style="849" customWidth="1"/>
    <col min="8706" max="8706" width="9.25" style="849" customWidth="1"/>
    <col min="8707" max="8707" width="10.125" style="849" customWidth="1"/>
    <col min="8708" max="8708" width="10.25" style="849" customWidth="1"/>
    <col min="8709" max="8709" width="9.75" style="849" customWidth="1"/>
    <col min="8710" max="8710" width="10.25" style="849" customWidth="1"/>
    <col min="8711" max="8711" width="9.5" style="849" customWidth="1"/>
    <col min="8712" max="8712" width="8.625" style="849" customWidth="1"/>
    <col min="8713" max="8713" width="9.5" style="849" bestFit="1" customWidth="1"/>
    <col min="8714" max="8714" width="9.625" style="849" bestFit="1" customWidth="1"/>
    <col min="8715" max="8715" width="9.5" style="849" bestFit="1" customWidth="1"/>
    <col min="8716" max="8958" width="9" style="849"/>
    <col min="8959" max="8959" width="12.875" style="849" customWidth="1"/>
    <col min="8960" max="8960" width="10.125" style="849" customWidth="1"/>
    <col min="8961" max="8961" width="10.625" style="849" customWidth="1"/>
    <col min="8962" max="8962" width="9.25" style="849" customWidth="1"/>
    <col min="8963" max="8963" width="10.125" style="849" customWidth="1"/>
    <col min="8964" max="8964" width="10.25" style="849" customWidth="1"/>
    <col min="8965" max="8965" width="9.75" style="849" customWidth="1"/>
    <col min="8966" max="8966" width="10.25" style="849" customWidth="1"/>
    <col min="8967" max="8967" width="9.5" style="849" customWidth="1"/>
    <col min="8968" max="8968" width="8.625" style="849" customWidth="1"/>
    <col min="8969" max="8969" width="9.5" style="849" bestFit="1" customWidth="1"/>
    <col min="8970" max="8970" width="9.625" style="849" bestFit="1" customWidth="1"/>
    <col min="8971" max="8971" width="9.5" style="849" bestFit="1" customWidth="1"/>
    <col min="8972" max="9214" width="9" style="849"/>
    <col min="9215" max="9215" width="12.875" style="849" customWidth="1"/>
    <col min="9216" max="9216" width="10.125" style="849" customWidth="1"/>
    <col min="9217" max="9217" width="10.625" style="849" customWidth="1"/>
    <col min="9218" max="9218" width="9.25" style="849" customWidth="1"/>
    <col min="9219" max="9219" width="10.125" style="849" customWidth="1"/>
    <col min="9220" max="9220" width="10.25" style="849" customWidth="1"/>
    <col min="9221" max="9221" width="9.75" style="849" customWidth="1"/>
    <col min="9222" max="9222" width="10.25" style="849" customWidth="1"/>
    <col min="9223" max="9223" width="9.5" style="849" customWidth="1"/>
    <col min="9224" max="9224" width="8.625" style="849" customWidth="1"/>
    <col min="9225" max="9225" width="9.5" style="849" bestFit="1" customWidth="1"/>
    <col min="9226" max="9226" width="9.625" style="849" bestFit="1" customWidth="1"/>
    <col min="9227" max="9227" width="9.5" style="849" bestFit="1" customWidth="1"/>
    <col min="9228" max="9470" width="9" style="849"/>
    <col min="9471" max="9471" width="12.875" style="849" customWidth="1"/>
    <col min="9472" max="9472" width="10.125" style="849" customWidth="1"/>
    <col min="9473" max="9473" width="10.625" style="849" customWidth="1"/>
    <col min="9474" max="9474" width="9.25" style="849" customWidth="1"/>
    <col min="9475" max="9475" width="10.125" style="849" customWidth="1"/>
    <col min="9476" max="9476" width="10.25" style="849" customWidth="1"/>
    <col min="9477" max="9477" width="9.75" style="849" customWidth="1"/>
    <col min="9478" max="9478" width="10.25" style="849" customWidth="1"/>
    <col min="9479" max="9479" width="9.5" style="849" customWidth="1"/>
    <col min="9480" max="9480" width="8.625" style="849" customWidth="1"/>
    <col min="9481" max="9481" width="9.5" style="849" bestFit="1" customWidth="1"/>
    <col min="9482" max="9482" width="9.625" style="849" bestFit="1" customWidth="1"/>
    <col min="9483" max="9483" width="9.5" style="849" bestFit="1" customWidth="1"/>
    <col min="9484" max="9726" width="9" style="849"/>
    <col min="9727" max="9727" width="12.875" style="849" customWidth="1"/>
    <col min="9728" max="9728" width="10.125" style="849" customWidth="1"/>
    <col min="9729" max="9729" width="10.625" style="849" customWidth="1"/>
    <col min="9730" max="9730" width="9.25" style="849" customWidth="1"/>
    <col min="9731" max="9731" width="10.125" style="849" customWidth="1"/>
    <col min="9732" max="9732" width="10.25" style="849" customWidth="1"/>
    <col min="9733" max="9733" width="9.75" style="849" customWidth="1"/>
    <col min="9734" max="9734" width="10.25" style="849" customWidth="1"/>
    <col min="9735" max="9735" width="9.5" style="849" customWidth="1"/>
    <col min="9736" max="9736" width="8.625" style="849" customWidth="1"/>
    <col min="9737" max="9737" width="9.5" style="849" bestFit="1" customWidth="1"/>
    <col min="9738" max="9738" width="9.625" style="849" bestFit="1" customWidth="1"/>
    <col min="9739" max="9739" width="9.5" style="849" bestFit="1" customWidth="1"/>
    <col min="9740" max="9982" width="9" style="849"/>
    <col min="9983" max="9983" width="12.875" style="849" customWidth="1"/>
    <col min="9984" max="9984" width="10.125" style="849" customWidth="1"/>
    <col min="9985" max="9985" width="10.625" style="849" customWidth="1"/>
    <col min="9986" max="9986" width="9.25" style="849" customWidth="1"/>
    <col min="9987" max="9987" width="10.125" style="849" customWidth="1"/>
    <col min="9988" max="9988" width="10.25" style="849" customWidth="1"/>
    <col min="9989" max="9989" width="9.75" style="849" customWidth="1"/>
    <col min="9990" max="9990" width="10.25" style="849" customWidth="1"/>
    <col min="9991" max="9991" width="9.5" style="849" customWidth="1"/>
    <col min="9992" max="9992" width="8.625" style="849" customWidth="1"/>
    <col min="9993" max="9993" width="9.5" style="849" bestFit="1" customWidth="1"/>
    <col min="9994" max="9994" width="9.625" style="849" bestFit="1" customWidth="1"/>
    <col min="9995" max="9995" width="9.5" style="849" bestFit="1" customWidth="1"/>
    <col min="9996" max="10238" width="9" style="849"/>
    <col min="10239" max="10239" width="12.875" style="849" customWidth="1"/>
    <col min="10240" max="10240" width="10.125" style="849" customWidth="1"/>
    <col min="10241" max="10241" width="10.625" style="849" customWidth="1"/>
    <col min="10242" max="10242" width="9.25" style="849" customWidth="1"/>
    <col min="10243" max="10243" width="10.125" style="849" customWidth="1"/>
    <col min="10244" max="10244" width="10.25" style="849" customWidth="1"/>
    <col min="10245" max="10245" width="9.75" style="849" customWidth="1"/>
    <col min="10246" max="10246" width="10.25" style="849" customWidth="1"/>
    <col min="10247" max="10247" width="9.5" style="849" customWidth="1"/>
    <col min="10248" max="10248" width="8.625" style="849" customWidth="1"/>
    <col min="10249" max="10249" width="9.5" style="849" bestFit="1" customWidth="1"/>
    <col min="10250" max="10250" width="9.625" style="849" bestFit="1" customWidth="1"/>
    <col min="10251" max="10251" width="9.5" style="849" bestFit="1" customWidth="1"/>
    <col min="10252" max="10494" width="9" style="849"/>
    <col min="10495" max="10495" width="12.875" style="849" customWidth="1"/>
    <col min="10496" max="10496" width="10.125" style="849" customWidth="1"/>
    <col min="10497" max="10497" width="10.625" style="849" customWidth="1"/>
    <col min="10498" max="10498" width="9.25" style="849" customWidth="1"/>
    <col min="10499" max="10499" width="10.125" style="849" customWidth="1"/>
    <col min="10500" max="10500" width="10.25" style="849" customWidth="1"/>
    <col min="10501" max="10501" width="9.75" style="849" customWidth="1"/>
    <col min="10502" max="10502" width="10.25" style="849" customWidth="1"/>
    <col min="10503" max="10503" width="9.5" style="849" customWidth="1"/>
    <col min="10504" max="10504" width="8.625" style="849" customWidth="1"/>
    <col min="10505" max="10505" width="9.5" style="849" bestFit="1" customWidth="1"/>
    <col min="10506" max="10506" width="9.625" style="849" bestFit="1" customWidth="1"/>
    <col min="10507" max="10507" width="9.5" style="849" bestFit="1" customWidth="1"/>
    <col min="10508" max="10750" width="9" style="849"/>
    <col min="10751" max="10751" width="12.875" style="849" customWidth="1"/>
    <col min="10752" max="10752" width="10.125" style="849" customWidth="1"/>
    <col min="10753" max="10753" width="10.625" style="849" customWidth="1"/>
    <col min="10754" max="10754" width="9.25" style="849" customWidth="1"/>
    <col min="10755" max="10755" width="10.125" style="849" customWidth="1"/>
    <col min="10756" max="10756" width="10.25" style="849" customWidth="1"/>
    <col min="10757" max="10757" width="9.75" style="849" customWidth="1"/>
    <col min="10758" max="10758" width="10.25" style="849" customWidth="1"/>
    <col min="10759" max="10759" width="9.5" style="849" customWidth="1"/>
    <col min="10760" max="10760" width="8.625" style="849" customWidth="1"/>
    <col min="10761" max="10761" width="9.5" style="849" bestFit="1" customWidth="1"/>
    <col min="10762" max="10762" width="9.625" style="849" bestFit="1" customWidth="1"/>
    <col min="10763" max="10763" width="9.5" style="849" bestFit="1" customWidth="1"/>
    <col min="10764" max="11006" width="9" style="849"/>
    <col min="11007" max="11007" width="12.875" style="849" customWidth="1"/>
    <col min="11008" max="11008" width="10.125" style="849" customWidth="1"/>
    <col min="11009" max="11009" width="10.625" style="849" customWidth="1"/>
    <col min="11010" max="11010" width="9.25" style="849" customWidth="1"/>
    <col min="11011" max="11011" width="10.125" style="849" customWidth="1"/>
    <col min="11012" max="11012" width="10.25" style="849" customWidth="1"/>
    <col min="11013" max="11013" width="9.75" style="849" customWidth="1"/>
    <col min="11014" max="11014" width="10.25" style="849" customWidth="1"/>
    <col min="11015" max="11015" width="9.5" style="849" customWidth="1"/>
    <col min="11016" max="11016" width="8.625" style="849" customWidth="1"/>
    <col min="11017" max="11017" width="9.5" style="849" bestFit="1" customWidth="1"/>
    <col min="11018" max="11018" width="9.625" style="849" bestFit="1" customWidth="1"/>
    <col min="11019" max="11019" width="9.5" style="849" bestFit="1" customWidth="1"/>
    <col min="11020" max="11262" width="9" style="849"/>
    <col min="11263" max="11263" width="12.875" style="849" customWidth="1"/>
    <col min="11264" max="11264" width="10.125" style="849" customWidth="1"/>
    <col min="11265" max="11265" width="10.625" style="849" customWidth="1"/>
    <col min="11266" max="11266" width="9.25" style="849" customWidth="1"/>
    <col min="11267" max="11267" width="10.125" style="849" customWidth="1"/>
    <col min="11268" max="11268" width="10.25" style="849" customWidth="1"/>
    <col min="11269" max="11269" width="9.75" style="849" customWidth="1"/>
    <col min="11270" max="11270" width="10.25" style="849" customWidth="1"/>
    <col min="11271" max="11271" width="9.5" style="849" customWidth="1"/>
    <col min="11272" max="11272" width="8.625" style="849" customWidth="1"/>
    <col min="11273" max="11273" width="9.5" style="849" bestFit="1" customWidth="1"/>
    <col min="11274" max="11274" width="9.625" style="849" bestFit="1" customWidth="1"/>
    <col min="11275" max="11275" width="9.5" style="849" bestFit="1" customWidth="1"/>
    <col min="11276" max="11518" width="9" style="849"/>
    <col min="11519" max="11519" width="12.875" style="849" customWidth="1"/>
    <col min="11520" max="11520" width="10.125" style="849" customWidth="1"/>
    <col min="11521" max="11521" width="10.625" style="849" customWidth="1"/>
    <col min="11522" max="11522" width="9.25" style="849" customWidth="1"/>
    <col min="11523" max="11523" width="10.125" style="849" customWidth="1"/>
    <col min="11524" max="11524" width="10.25" style="849" customWidth="1"/>
    <col min="11525" max="11525" width="9.75" style="849" customWidth="1"/>
    <col min="11526" max="11526" width="10.25" style="849" customWidth="1"/>
    <col min="11527" max="11527" width="9.5" style="849" customWidth="1"/>
    <col min="11528" max="11528" width="8.625" style="849" customWidth="1"/>
    <col min="11529" max="11529" width="9.5" style="849" bestFit="1" customWidth="1"/>
    <col min="11530" max="11530" width="9.625" style="849" bestFit="1" customWidth="1"/>
    <col min="11531" max="11531" width="9.5" style="849" bestFit="1" customWidth="1"/>
    <col min="11532" max="11774" width="9" style="849"/>
    <col min="11775" max="11775" width="12.875" style="849" customWidth="1"/>
    <col min="11776" max="11776" width="10.125" style="849" customWidth="1"/>
    <col min="11777" max="11777" width="10.625" style="849" customWidth="1"/>
    <col min="11778" max="11778" width="9.25" style="849" customWidth="1"/>
    <col min="11779" max="11779" width="10.125" style="849" customWidth="1"/>
    <col min="11780" max="11780" width="10.25" style="849" customWidth="1"/>
    <col min="11781" max="11781" width="9.75" style="849" customWidth="1"/>
    <col min="11782" max="11782" width="10.25" style="849" customWidth="1"/>
    <col min="11783" max="11783" width="9.5" style="849" customWidth="1"/>
    <col min="11784" max="11784" width="8.625" style="849" customWidth="1"/>
    <col min="11785" max="11785" width="9.5" style="849" bestFit="1" customWidth="1"/>
    <col min="11786" max="11786" width="9.625" style="849" bestFit="1" customWidth="1"/>
    <col min="11787" max="11787" width="9.5" style="849" bestFit="1" customWidth="1"/>
    <col min="11788" max="12030" width="9" style="849"/>
    <col min="12031" max="12031" width="12.875" style="849" customWidth="1"/>
    <col min="12032" max="12032" width="10.125" style="849" customWidth="1"/>
    <col min="12033" max="12033" width="10.625" style="849" customWidth="1"/>
    <col min="12034" max="12034" width="9.25" style="849" customWidth="1"/>
    <col min="12035" max="12035" width="10.125" style="849" customWidth="1"/>
    <col min="12036" max="12036" width="10.25" style="849" customWidth="1"/>
    <col min="12037" max="12037" width="9.75" style="849" customWidth="1"/>
    <col min="12038" max="12038" width="10.25" style="849" customWidth="1"/>
    <col min="12039" max="12039" width="9.5" style="849" customWidth="1"/>
    <col min="12040" max="12040" width="8.625" style="849" customWidth="1"/>
    <col min="12041" max="12041" width="9.5" style="849" bestFit="1" customWidth="1"/>
    <col min="12042" max="12042" width="9.625" style="849" bestFit="1" customWidth="1"/>
    <col min="12043" max="12043" width="9.5" style="849" bestFit="1" customWidth="1"/>
    <col min="12044" max="12286" width="9" style="849"/>
    <col min="12287" max="12287" width="12.875" style="849" customWidth="1"/>
    <col min="12288" max="12288" width="10.125" style="849" customWidth="1"/>
    <col min="12289" max="12289" width="10.625" style="849" customWidth="1"/>
    <col min="12290" max="12290" width="9.25" style="849" customWidth="1"/>
    <col min="12291" max="12291" width="10.125" style="849" customWidth="1"/>
    <col min="12292" max="12292" width="10.25" style="849" customWidth="1"/>
    <col min="12293" max="12293" width="9.75" style="849" customWidth="1"/>
    <col min="12294" max="12294" width="10.25" style="849" customWidth="1"/>
    <col min="12295" max="12295" width="9.5" style="849" customWidth="1"/>
    <col min="12296" max="12296" width="8.625" style="849" customWidth="1"/>
    <col min="12297" max="12297" width="9.5" style="849" bestFit="1" customWidth="1"/>
    <col min="12298" max="12298" width="9.625" style="849" bestFit="1" customWidth="1"/>
    <col min="12299" max="12299" width="9.5" style="849" bestFit="1" customWidth="1"/>
    <col min="12300" max="12542" width="9" style="849"/>
    <col min="12543" max="12543" width="12.875" style="849" customWidth="1"/>
    <col min="12544" max="12544" width="10.125" style="849" customWidth="1"/>
    <col min="12545" max="12545" width="10.625" style="849" customWidth="1"/>
    <col min="12546" max="12546" width="9.25" style="849" customWidth="1"/>
    <col min="12547" max="12547" width="10.125" style="849" customWidth="1"/>
    <col min="12548" max="12548" width="10.25" style="849" customWidth="1"/>
    <col min="12549" max="12549" width="9.75" style="849" customWidth="1"/>
    <col min="12550" max="12550" width="10.25" style="849" customWidth="1"/>
    <col min="12551" max="12551" width="9.5" style="849" customWidth="1"/>
    <col min="12552" max="12552" width="8.625" style="849" customWidth="1"/>
    <col min="12553" max="12553" width="9.5" style="849" bestFit="1" customWidth="1"/>
    <col min="12554" max="12554" width="9.625" style="849" bestFit="1" customWidth="1"/>
    <col min="12555" max="12555" width="9.5" style="849" bestFit="1" customWidth="1"/>
    <col min="12556" max="12798" width="9" style="849"/>
    <col min="12799" max="12799" width="12.875" style="849" customWidth="1"/>
    <col min="12800" max="12800" width="10.125" style="849" customWidth="1"/>
    <col min="12801" max="12801" width="10.625" style="849" customWidth="1"/>
    <col min="12802" max="12802" width="9.25" style="849" customWidth="1"/>
    <col min="12803" max="12803" width="10.125" style="849" customWidth="1"/>
    <col min="12804" max="12804" width="10.25" style="849" customWidth="1"/>
    <col min="12805" max="12805" width="9.75" style="849" customWidth="1"/>
    <col min="12806" max="12806" width="10.25" style="849" customWidth="1"/>
    <col min="12807" max="12807" width="9.5" style="849" customWidth="1"/>
    <col min="12808" max="12808" width="8.625" style="849" customWidth="1"/>
    <col min="12809" max="12809" width="9.5" style="849" bestFit="1" customWidth="1"/>
    <col min="12810" max="12810" width="9.625" style="849" bestFit="1" customWidth="1"/>
    <col min="12811" max="12811" width="9.5" style="849" bestFit="1" customWidth="1"/>
    <col min="12812" max="13054" width="9" style="849"/>
    <col min="13055" max="13055" width="12.875" style="849" customWidth="1"/>
    <col min="13056" max="13056" width="10.125" style="849" customWidth="1"/>
    <col min="13057" max="13057" width="10.625" style="849" customWidth="1"/>
    <col min="13058" max="13058" width="9.25" style="849" customWidth="1"/>
    <col min="13059" max="13059" width="10.125" style="849" customWidth="1"/>
    <col min="13060" max="13060" width="10.25" style="849" customWidth="1"/>
    <col min="13061" max="13061" width="9.75" style="849" customWidth="1"/>
    <col min="13062" max="13062" width="10.25" style="849" customWidth="1"/>
    <col min="13063" max="13063" width="9.5" style="849" customWidth="1"/>
    <col min="13064" max="13064" width="8.625" style="849" customWidth="1"/>
    <col min="13065" max="13065" width="9.5" style="849" bestFit="1" customWidth="1"/>
    <col min="13066" max="13066" width="9.625" style="849" bestFit="1" customWidth="1"/>
    <col min="13067" max="13067" width="9.5" style="849" bestFit="1" customWidth="1"/>
    <col min="13068" max="13310" width="9" style="849"/>
    <col min="13311" max="13311" width="12.875" style="849" customWidth="1"/>
    <col min="13312" max="13312" width="10.125" style="849" customWidth="1"/>
    <col min="13313" max="13313" width="10.625" style="849" customWidth="1"/>
    <col min="13314" max="13314" width="9.25" style="849" customWidth="1"/>
    <col min="13315" max="13315" width="10.125" style="849" customWidth="1"/>
    <col min="13316" max="13316" width="10.25" style="849" customWidth="1"/>
    <col min="13317" max="13317" width="9.75" style="849" customWidth="1"/>
    <col min="13318" max="13318" width="10.25" style="849" customWidth="1"/>
    <col min="13319" max="13319" width="9.5" style="849" customWidth="1"/>
    <col min="13320" max="13320" width="8.625" style="849" customWidth="1"/>
    <col min="13321" max="13321" width="9.5" style="849" bestFit="1" customWidth="1"/>
    <col min="13322" max="13322" width="9.625" style="849" bestFit="1" customWidth="1"/>
    <col min="13323" max="13323" width="9.5" style="849" bestFit="1" customWidth="1"/>
    <col min="13324" max="13566" width="9" style="849"/>
    <col min="13567" max="13567" width="12.875" style="849" customWidth="1"/>
    <col min="13568" max="13568" width="10.125" style="849" customWidth="1"/>
    <col min="13569" max="13569" width="10.625" style="849" customWidth="1"/>
    <col min="13570" max="13570" width="9.25" style="849" customWidth="1"/>
    <col min="13571" max="13571" width="10.125" style="849" customWidth="1"/>
    <col min="13572" max="13572" width="10.25" style="849" customWidth="1"/>
    <col min="13573" max="13573" width="9.75" style="849" customWidth="1"/>
    <col min="13574" max="13574" width="10.25" style="849" customWidth="1"/>
    <col min="13575" max="13575" width="9.5" style="849" customWidth="1"/>
    <col min="13576" max="13576" width="8.625" style="849" customWidth="1"/>
    <col min="13577" max="13577" width="9.5" style="849" bestFit="1" customWidth="1"/>
    <col min="13578" max="13578" width="9.625" style="849" bestFit="1" customWidth="1"/>
    <col min="13579" max="13579" width="9.5" style="849" bestFit="1" customWidth="1"/>
    <col min="13580" max="13822" width="9" style="849"/>
    <col min="13823" max="13823" width="12.875" style="849" customWidth="1"/>
    <col min="13824" max="13824" width="10.125" style="849" customWidth="1"/>
    <col min="13825" max="13825" width="10.625" style="849" customWidth="1"/>
    <col min="13826" max="13826" width="9.25" style="849" customWidth="1"/>
    <col min="13827" max="13827" width="10.125" style="849" customWidth="1"/>
    <col min="13828" max="13828" width="10.25" style="849" customWidth="1"/>
    <col min="13829" max="13829" width="9.75" style="849" customWidth="1"/>
    <col min="13830" max="13830" width="10.25" style="849" customWidth="1"/>
    <col min="13831" max="13831" width="9.5" style="849" customWidth="1"/>
    <col min="13832" max="13832" width="8.625" style="849" customWidth="1"/>
    <col min="13833" max="13833" width="9.5" style="849" bestFit="1" customWidth="1"/>
    <col min="13834" max="13834" width="9.625" style="849" bestFit="1" customWidth="1"/>
    <col min="13835" max="13835" width="9.5" style="849" bestFit="1" customWidth="1"/>
    <col min="13836" max="14078" width="9" style="849"/>
    <col min="14079" max="14079" width="12.875" style="849" customWidth="1"/>
    <col min="14080" max="14080" width="10.125" style="849" customWidth="1"/>
    <col min="14081" max="14081" width="10.625" style="849" customWidth="1"/>
    <col min="14082" max="14082" width="9.25" style="849" customWidth="1"/>
    <col min="14083" max="14083" width="10.125" style="849" customWidth="1"/>
    <col min="14084" max="14084" width="10.25" style="849" customWidth="1"/>
    <col min="14085" max="14085" width="9.75" style="849" customWidth="1"/>
    <col min="14086" max="14086" width="10.25" style="849" customWidth="1"/>
    <col min="14087" max="14087" width="9.5" style="849" customWidth="1"/>
    <col min="14088" max="14088" width="8.625" style="849" customWidth="1"/>
    <col min="14089" max="14089" width="9.5" style="849" bestFit="1" customWidth="1"/>
    <col min="14090" max="14090" width="9.625" style="849" bestFit="1" customWidth="1"/>
    <col min="14091" max="14091" width="9.5" style="849" bestFit="1" customWidth="1"/>
    <col min="14092" max="14334" width="9" style="849"/>
    <col min="14335" max="14335" width="12.875" style="849" customWidth="1"/>
    <col min="14336" max="14336" width="10.125" style="849" customWidth="1"/>
    <col min="14337" max="14337" width="10.625" style="849" customWidth="1"/>
    <col min="14338" max="14338" width="9.25" style="849" customWidth="1"/>
    <col min="14339" max="14339" width="10.125" style="849" customWidth="1"/>
    <col min="14340" max="14340" width="10.25" style="849" customWidth="1"/>
    <col min="14341" max="14341" width="9.75" style="849" customWidth="1"/>
    <col min="14342" max="14342" width="10.25" style="849" customWidth="1"/>
    <col min="14343" max="14343" width="9.5" style="849" customWidth="1"/>
    <col min="14344" max="14344" width="8.625" style="849" customWidth="1"/>
    <col min="14345" max="14345" width="9.5" style="849" bestFit="1" customWidth="1"/>
    <col min="14346" max="14346" width="9.625" style="849" bestFit="1" customWidth="1"/>
    <col min="14347" max="14347" width="9.5" style="849" bestFit="1" customWidth="1"/>
    <col min="14348" max="14590" width="9" style="849"/>
    <col min="14591" max="14591" width="12.875" style="849" customWidth="1"/>
    <col min="14592" max="14592" width="10.125" style="849" customWidth="1"/>
    <col min="14593" max="14593" width="10.625" style="849" customWidth="1"/>
    <col min="14594" max="14594" width="9.25" style="849" customWidth="1"/>
    <col min="14595" max="14595" width="10.125" style="849" customWidth="1"/>
    <col min="14596" max="14596" width="10.25" style="849" customWidth="1"/>
    <col min="14597" max="14597" width="9.75" style="849" customWidth="1"/>
    <col min="14598" max="14598" width="10.25" style="849" customWidth="1"/>
    <col min="14599" max="14599" width="9.5" style="849" customWidth="1"/>
    <col min="14600" max="14600" width="8.625" style="849" customWidth="1"/>
    <col min="14601" max="14601" width="9.5" style="849" bestFit="1" customWidth="1"/>
    <col min="14602" max="14602" width="9.625" style="849" bestFit="1" customWidth="1"/>
    <col min="14603" max="14603" width="9.5" style="849" bestFit="1" customWidth="1"/>
    <col min="14604" max="14846" width="9" style="849"/>
    <col min="14847" max="14847" width="12.875" style="849" customWidth="1"/>
    <col min="14848" max="14848" width="10.125" style="849" customWidth="1"/>
    <col min="14849" max="14849" width="10.625" style="849" customWidth="1"/>
    <col min="14850" max="14850" width="9.25" style="849" customWidth="1"/>
    <col min="14851" max="14851" width="10.125" style="849" customWidth="1"/>
    <col min="14852" max="14852" width="10.25" style="849" customWidth="1"/>
    <col min="14853" max="14853" width="9.75" style="849" customWidth="1"/>
    <col min="14854" max="14854" width="10.25" style="849" customWidth="1"/>
    <col min="14855" max="14855" width="9.5" style="849" customWidth="1"/>
    <col min="14856" max="14856" width="8.625" style="849" customWidth="1"/>
    <col min="14857" max="14857" width="9.5" style="849" bestFit="1" customWidth="1"/>
    <col min="14858" max="14858" width="9.625" style="849" bestFit="1" customWidth="1"/>
    <col min="14859" max="14859" width="9.5" style="849" bestFit="1" customWidth="1"/>
    <col min="14860" max="15102" width="9" style="849"/>
    <col min="15103" max="15103" width="12.875" style="849" customWidth="1"/>
    <col min="15104" max="15104" width="10.125" style="849" customWidth="1"/>
    <col min="15105" max="15105" width="10.625" style="849" customWidth="1"/>
    <col min="15106" max="15106" width="9.25" style="849" customWidth="1"/>
    <col min="15107" max="15107" width="10.125" style="849" customWidth="1"/>
    <col min="15108" max="15108" width="10.25" style="849" customWidth="1"/>
    <col min="15109" max="15109" width="9.75" style="849" customWidth="1"/>
    <col min="15110" max="15110" width="10.25" style="849" customWidth="1"/>
    <col min="15111" max="15111" width="9.5" style="849" customWidth="1"/>
    <col min="15112" max="15112" width="8.625" style="849" customWidth="1"/>
    <col min="15113" max="15113" width="9.5" style="849" bestFit="1" customWidth="1"/>
    <col min="15114" max="15114" width="9.625" style="849" bestFit="1" customWidth="1"/>
    <col min="15115" max="15115" width="9.5" style="849" bestFit="1" customWidth="1"/>
    <col min="15116" max="15358" width="9" style="849"/>
    <col min="15359" max="15359" width="12.875" style="849" customWidth="1"/>
    <col min="15360" max="15360" width="10.125" style="849" customWidth="1"/>
    <col min="15361" max="15361" width="10.625" style="849" customWidth="1"/>
    <col min="15362" max="15362" width="9.25" style="849" customWidth="1"/>
    <col min="15363" max="15363" width="10.125" style="849" customWidth="1"/>
    <col min="15364" max="15364" width="10.25" style="849" customWidth="1"/>
    <col min="15365" max="15365" width="9.75" style="849" customWidth="1"/>
    <col min="15366" max="15366" width="10.25" style="849" customWidth="1"/>
    <col min="15367" max="15367" width="9.5" style="849" customWidth="1"/>
    <col min="15368" max="15368" width="8.625" style="849" customWidth="1"/>
    <col min="15369" max="15369" width="9.5" style="849" bestFit="1" customWidth="1"/>
    <col min="15370" max="15370" width="9.625" style="849" bestFit="1" customWidth="1"/>
    <col min="15371" max="15371" width="9.5" style="849" bestFit="1" customWidth="1"/>
    <col min="15372" max="15614" width="9" style="849"/>
    <col min="15615" max="15615" width="12.875" style="849" customWidth="1"/>
    <col min="15616" max="15616" width="10.125" style="849" customWidth="1"/>
    <col min="15617" max="15617" width="10.625" style="849" customWidth="1"/>
    <col min="15618" max="15618" width="9.25" style="849" customWidth="1"/>
    <col min="15619" max="15619" width="10.125" style="849" customWidth="1"/>
    <col min="15620" max="15620" width="10.25" style="849" customWidth="1"/>
    <col min="15621" max="15621" width="9.75" style="849" customWidth="1"/>
    <col min="15622" max="15622" width="10.25" style="849" customWidth="1"/>
    <col min="15623" max="15623" width="9.5" style="849" customWidth="1"/>
    <col min="15624" max="15624" width="8.625" style="849" customWidth="1"/>
    <col min="15625" max="15625" width="9.5" style="849" bestFit="1" customWidth="1"/>
    <col min="15626" max="15626" width="9.625" style="849" bestFit="1" customWidth="1"/>
    <col min="15627" max="15627" width="9.5" style="849" bestFit="1" customWidth="1"/>
    <col min="15628" max="15870" width="9" style="849"/>
    <col min="15871" max="15871" width="12.875" style="849" customWidth="1"/>
    <col min="15872" max="15872" width="10.125" style="849" customWidth="1"/>
    <col min="15873" max="15873" width="10.625" style="849" customWidth="1"/>
    <col min="15874" max="15874" width="9.25" style="849" customWidth="1"/>
    <col min="15875" max="15875" width="10.125" style="849" customWidth="1"/>
    <col min="15876" max="15876" width="10.25" style="849" customWidth="1"/>
    <col min="15877" max="15877" width="9.75" style="849" customWidth="1"/>
    <col min="15878" max="15878" width="10.25" style="849" customWidth="1"/>
    <col min="15879" max="15879" width="9.5" style="849" customWidth="1"/>
    <col min="15880" max="15880" width="8.625" style="849" customWidth="1"/>
    <col min="15881" max="15881" width="9.5" style="849" bestFit="1" customWidth="1"/>
    <col min="15882" max="15882" width="9.625" style="849" bestFit="1" customWidth="1"/>
    <col min="15883" max="15883" width="9.5" style="849" bestFit="1" customWidth="1"/>
    <col min="15884" max="16126" width="9" style="849"/>
    <col min="16127" max="16127" width="12.875" style="849" customWidth="1"/>
    <col min="16128" max="16128" width="10.125" style="849" customWidth="1"/>
    <col min="16129" max="16129" width="10.625" style="849" customWidth="1"/>
    <col min="16130" max="16130" width="9.25" style="849" customWidth="1"/>
    <col min="16131" max="16131" width="10.125" style="849" customWidth="1"/>
    <col min="16132" max="16132" width="10.25" style="849" customWidth="1"/>
    <col min="16133" max="16133" width="9.75" style="849" customWidth="1"/>
    <col min="16134" max="16134" width="10.25" style="849" customWidth="1"/>
    <col min="16135" max="16135" width="9.5" style="849" customWidth="1"/>
    <col min="16136" max="16136" width="8.625" style="849" customWidth="1"/>
    <col min="16137" max="16137" width="9.5" style="849" bestFit="1" customWidth="1"/>
    <col min="16138" max="16138" width="9.625" style="849" bestFit="1" customWidth="1"/>
    <col min="16139" max="16139" width="9.5" style="849" bestFit="1" customWidth="1"/>
    <col min="16140" max="16384" width="9" style="849"/>
  </cols>
  <sheetData>
    <row r="1" spans="1:13" ht="30.6" customHeight="1">
      <c r="A1" s="3936" t="s">
        <v>3598</v>
      </c>
      <c r="B1" s="3936"/>
      <c r="C1" s="3936"/>
      <c r="D1" s="3936"/>
      <c r="E1" s="3936"/>
      <c r="F1" s="3936"/>
      <c r="G1" s="3936"/>
      <c r="H1" s="3936"/>
      <c r="I1" s="3936"/>
      <c r="J1" s="3936"/>
      <c r="K1" s="3936"/>
      <c r="L1" s="3936"/>
      <c r="M1" s="3936"/>
    </row>
    <row r="2" spans="1:13" ht="24.75" customHeight="1">
      <c r="A2" s="3975" t="s">
        <v>3599</v>
      </c>
      <c r="B2" s="3982" t="s">
        <v>3600</v>
      </c>
      <c r="C2" s="3982"/>
      <c r="D2" s="3982"/>
      <c r="E2" s="3983"/>
      <c r="F2" s="3982" t="s">
        <v>3601</v>
      </c>
      <c r="G2" s="3982"/>
      <c r="H2" s="3982"/>
      <c r="I2" s="3982"/>
      <c r="J2" s="3982"/>
      <c r="K2" s="3983"/>
      <c r="L2" s="3984" t="s">
        <v>3602</v>
      </c>
      <c r="M2" s="3985"/>
    </row>
    <row r="3" spans="1:13" ht="22.9" customHeight="1">
      <c r="A3" s="3976"/>
      <c r="B3" s="3982" t="s">
        <v>3603</v>
      </c>
      <c r="C3" s="3982"/>
      <c r="D3" s="3986" t="s">
        <v>3604</v>
      </c>
      <c r="E3" s="3987"/>
      <c r="F3" s="3982" t="s">
        <v>3605</v>
      </c>
      <c r="G3" s="3988"/>
      <c r="H3" s="3986" t="s">
        <v>3606</v>
      </c>
      <c r="I3" s="3988"/>
      <c r="J3" s="3986" t="s">
        <v>3607</v>
      </c>
      <c r="K3" s="3987"/>
      <c r="L3" s="3989" t="s">
        <v>3608</v>
      </c>
      <c r="M3" s="3985"/>
    </row>
    <row r="4" spans="1:13" ht="22.9" customHeight="1">
      <c r="A4" s="3977"/>
      <c r="B4" s="2374" t="s">
        <v>3609</v>
      </c>
      <c r="C4" s="2375" t="s">
        <v>400</v>
      </c>
      <c r="D4" s="2376" t="s">
        <v>1602</v>
      </c>
      <c r="E4" s="2377" t="s">
        <v>3458</v>
      </c>
      <c r="F4" s="2374" t="s">
        <v>3610</v>
      </c>
      <c r="G4" s="2375" t="s">
        <v>3458</v>
      </c>
      <c r="H4" s="2376" t="s">
        <v>3611</v>
      </c>
      <c r="I4" s="2375" t="s">
        <v>3458</v>
      </c>
      <c r="J4" s="2376" t="s">
        <v>3611</v>
      </c>
      <c r="K4" s="2377" t="s">
        <v>3458</v>
      </c>
      <c r="L4" s="2378" t="s">
        <v>3612</v>
      </c>
      <c r="M4" s="2379" t="s">
        <v>400</v>
      </c>
    </row>
    <row r="5" spans="1:13" ht="18.75" customHeight="1">
      <c r="A5" s="2380" t="s">
        <v>3613</v>
      </c>
      <c r="B5" s="2258">
        <v>9145</v>
      </c>
      <c r="C5" s="2259">
        <v>20.544098485869615</v>
      </c>
      <c r="D5" s="2381">
        <v>1370</v>
      </c>
      <c r="E5" s="2382">
        <v>10.228460504703598</v>
      </c>
      <c r="F5" s="2383">
        <v>1748</v>
      </c>
      <c r="G5" s="2257">
        <v>18.398063361751394</v>
      </c>
      <c r="H5" s="2384">
        <v>174</v>
      </c>
      <c r="I5" s="2257">
        <v>11.836734693877551</v>
      </c>
      <c r="J5" s="2385">
        <v>3539</v>
      </c>
      <c r="K5" s="2386">
        <v>9.5188143844643491</v>
      </c>
      <c r="L5" s="2387">
        <v>1965</v>
      </c>
      <c r="M5" s="2382">
        <v>13.780770039974751</v>
      </c>
    </row>
    <row r="6" spans="1:13" ht="18.75" customHeight="1">
      <c r="A6" s="2380" t="s">
        <v>356</v>
      </c>
      <c r="B6" s="2258">
        <v>9494</v>
      </c>
      <c r="C6" s="2259">
        <v>19.202297641681163</v>
      </c>
      <c r="D6" s="2388">
        <v>1135</v>
      </c>
      <c r="E6" s="2382">
        <v>9.2956592956592967</v>
      </c>
      <c r="F6" s="2389">
        <v>1448</v>
      </c>
      <c r="G6" s="2257">
        <v>17.071445413817496</v>
      </c>
      <c r="H6" s="2390">
        <v>112</v>
      </c>
      <c r="I6" s="2257">
        <v>10.237659963436929</v>
      </c>
      <c r="J6" s="2385">
        <v>3544</v>
      </c>
      <c r="K6" s="2386">
        <v>9.7151785959044936</v>
      </c>
      <c r="L6" s="2387">
        <v>2166</v>
      </c>
      <c r="M6" s="2382">
        <v>13.285083415112856</v>
      </c>
    </row>
    <row r="7" spans="1:13" ht="18.75" customHeight="1">
      <c r="A7" s="2380" t="s">
        <v>357</v>
      </c>
      <c r="B7" s="2258">
        <v>10138</v>
      </c>
      <c r="C7" s="2259">
        <v>20.738892071025283</v>
      </c>
      <c r="D7" s="2388">
        <v>1078</v>
      </c>
      <c r="E7" s="2382">
        <v>9.8321780372126959</v>
      </c>
      <c r="F7" s="2389">
        <v>1241</v>
      </c>
      <c r="G7" s="2257">
        <v>17.807432917204764</v>
      </c>
      <c r="H7" s="2390">
        <v>121</v>
      </c>
      <c r="I7" s="2257">
        <v>15.106117353308365</v>
      </c>
      <c r="J7" s="2385">
        <v>3450</v>
      </c>
      <c r="K7" s="2386">
        <v>9.7578911641588419</v>
      </c>
      <c r="L7" s="2387">
        <v>2065</v>
      </c>
      <c r="M7" s="2382">
        <v>13.307984790874524</v>
      </c>
    </row>
    <row r="8" spans="1:13" ht="18.75" customHeight="1">
      <c r="A8" s="2380" t="s">
        <v>358</v>
      </c>
      <c r="B8" s="2258">
        <v>9551</v>
      </c>
      <c r="C8" s="2259">
        <v>19.593000594908403</v>
      </c>
      <c r="D8" s="2388">
        <v>914</v>
      </c>
      <c r="E8" s="2382">
        <v>9.8089718823781915</v>
      </c>
      <c r="F8" s="2389">
        <v>1169</v>
      </c>
      <c r="G8" s="2257">
        <v>17.447761194029852</v>
      </c>
      <c r="H8" s="2390">
        <v>73</v>
      </c>
      <c r="I8" s="2257">
        <v>10.814814814814815</v>
      </c>
      <c r="J8" s="2385">
        <v>3149</v>
      </c>
      <c r="K8" s="2386">
        <v>9.2094873219664848</v>
      </c>
      <c r="L8" s="2387">
        <v>2030</v>
      </c>
      <c r="M8" s="2382">
        <v>12.415902140672783</v>
      </c>
    </row>
    <row r="9" spans="1:13" ht="18.75" customHeight="1">
      <c r="A9" s="2380" t="s">
        <v>359</v>
      </c>
      <c r="B9" s="2258">
        <v>9647</v>
      </c>
      <c r="C9" s="2259">
        <v>18.758628735878041</v>
      </c>
      <c r="D9" s="2388">
        <v>764</v>
      </c>
      <c r="E9" s="2382">
        <v>9.0478446234012306</v>
      </c>
      <c r="F9" s="2389">
        <v>933</v>
      </c>
      <c r="G9" s="2257">
        <v>15.60722649715624</v>
      </c>
      <c r="H9" s="2390">
        <v>70</v>
      </c>
      <c r="I9" s="2257">
        <v>11.235955056179774</v>
      </c>
      <c r="J9" s="2385">
        <v>2920</v>
      </c>
      <c r="K9" s="2386">
        <v>8.4770365209313123</v>
      </c>
      <c r="L9" s="2387">
        <v>2224</v>
      </c>
      <c r="M9" s="2382">
        <v>12.643547470153496</v>
      </c>
    </row>
    <row r="10" spans="1:13" ht="18.75" customHeight="1">
      <c r="A10" s="2380" t="s">
        <v>360</v>
      </c>
      <c r="B10" s="2258">
        <v>9682</v>
      </c>
      <c r="C10" s="2259">
        <v>20.279412688771128</v>
      </c>
      <c r="D10" s="2388">
        <v>810</v>
      </c>
      <c r="E10" s="2382">
        <v>9.8372601408792804</v>
      </c>
      <c r="F10" s="2389">
        <v>979</v>
      </c>
      <c r="G10" s="2257">
        <v>14.579300074460164</v>
      </c>
      <c r="H10" s="2390">
        <v>90</v>
      </c>
      <c r="I10" s="2257">
        <v>14.0625</v>
      </c>
      <c r="J10" s="2385">
        <v>2915</v>
      </c>
      <c r="K10" s="2386">
        <v>8.5859032134546851</v>
      </c>
      <c r="L10" s="2387">
        <v>2368</v>
      </c>
      <c r="M10" s="2382">
        <v>13.524473128105546</v>
      </c>
    </row>
    <row r="11" spans="1:13" ht="18.75" customHeight="1">
      <c r="A11" s="2380" t="s">
        <v>361</v>
      </c>
      <c r="B11" s="2258">
        <v>8520</v>
      </c>
      <c r="C11" s="2259">
        <v>19.594314888919552</v>
      </c>
      <c r="D11" s="2388">
        <v>841</v>
      </c>
      <c r="E11" s="2382">
        <v>9.383019078433561</v>
      </c>
      <c r="F11" s="2389">
        <v>1060</v>
      </c>
      <c r="G11" s="2257">
        <v>13.741249675913922</v>
      </c>
      <c r="H11" s="2390">
        <v>82</v>
      </c>
      <c r="I11" s="2257">
        <v>11.549295774647888</v>
      </c>
      <c r="J11" s="2385">
        <v>3094</v>
      </c>
      <c r="K11" s="2386">
        <v>8.9458162262187013</v>
      </c>
      <c r="L11" s="2387">
        <v>2490</v>
      </c>
      <c r="M11" s="2382">
        <v>12.922310446831698</v>
      </c>
    </row>
    <row r="12" spans="1:13" ht="18.75" customHeight="1">
      <c r="A12" s="2380" t="s">
        <v>362</v>
      </c>
      <c r="B12" s="2258">
        <v>8570</v>
      </c>
      <c r="C12" s="2259">
        <v>18.304925456021188</v>
      </c>
      <c r="D12" s="2388">
        <v>736</v>
      </c>
      <c r="E12" s="2382">
        <v>8.8175392356535287</v>
      </c>
      <c r="F12" s="2389">
        <v>1007</v>
      </c>
      <c r="G12" s="2257">
        <v>14.985119047619047</v>
      </c>
      <c r="H12" s="2390">
        <v>95</v>
      </c>
      <c r="I12" s="2257">
        <v>15.32258064516129</v>
      </c>
      <c r="J12" s="2385">
        <v>3397</v>
      </c>
      <c r="K12" s="2386">
        <v>9.3586423494407409</v>
      </c>
      <c r="L12" s="2387">
        <v>2366</v>
      </c>
      <c r="M12" s="2382">
        <v>13.195761293920802</v>
      </c>
    </row>
    <row r="13" spans="1:13" ht="18.75" customHeight="1">
      <c r="A13" s="2380" t="s">
        <v>363</v>
      </c>
      <c r="B13" s="2258">
        <v>8798</v>
      </c>
      <c r="C13" s="2259">
        <v>19.138152313414981</v>
      </c>
      <c r="D13" s="2388">
        <v>881</v>
      </c>
      <c r="E13" s="2382">
        <v>10.186148687709562</v>
      </c>
      <c r="F13" s="2389">
        <v>751</v>
      </c>
      <c r="G13" s="2257">
        <v>14.987028537218119</v>
      </c>
      <c r="H13" s="2390">
        <v>66</v>
      </c>
      <c r="I13" s="2257">
        <v>13.721413721413722</v>
      </c>
      <c r="J13" s="2385">
        <v>3469</v>
      </c>
      <c r="K13" s="2386">
        <v>9.5932081524294119</v>
      </c>
      <c r="L13" s="2387">
        <v>2129</v>
      </c>
      <c r="M13" s="2382">
        <v>12.992005858302313</v>
      </c>
    </row>
    <row r="14" spans="1:13" ht="18.75" customHeight="1">
      <c r="A14" s="2380" t="s">
        <v>765</v>
      </c>
      <c r="B14" s="2258">
        <v>8293</v>
      </c>
      <c r="C14" s="2259">
        <v>19.38160231840703</v>
      </c>
      <c r="D14" s="2391">
        <v>750</v>
      </c>
      <c r="E14" s="2382">
        <v>9.2092337917485256</v>
      </c>
      <c r="F14" s="2392">
        <v>536</v>
      </c>
      <c r="G14" s="2257">
        <v>14.157422081352349</v>
      </c>
      <c r="H14" s="2390">
        <v>49</v>
      </c>
      <c r="I14" s="2257">
        <v>12.342569269521411</v>
      </c>
      <c r="J14" s="2385">
        <v>3343</v>
      </c>
      <c r="K14" s="2386">
        <v>9.614333783900376</v>
      </c>
      <c r="L14" s="2387">
        <v>2418</v>
      </c>
      <c r="M14" s="2382">
        <v>13.528786437643372</v>
      </c>
    </row>
    <row r="15" spans="1:13" s="2275" customFormat="1" ht="14.25">
      <c r="A15" s="3990" t="s">
        <v>846</v>
      </c>
      <c r="B15" s="3990"/>
      <c r="C15" s="3990"/>
      <c r="D15" s="3990"/>
      <c r="E15" s="3990"/>
      <c r="F15" s="3990"/>
      <c r="G15" s="3990"/>
      <c r="H15" s="3990"/>
      <c r="I15" s="3990"/>
      <c r="J15" s="3990"/>
      <c r="K15" s="3990"/>
      <c r="L15" s="3990"/>
      <c r="M15" s="3990"/>
    </row>
    <row r="16" spans="1:13" s="2277" customFormat="1">
      <c r="A16" s="3991" t="s">
        <v>3614</v>
      </c>
      <c r="B16" s="3991"/>
      <c r="C16" s="3991"/>
      <c r="D16" s="3991"/>
      <c r="E16" s="3991"/>
      <c r="F16" s="3991"/>
      <c r="G16" s="3991"/>
      <c r="H16" s="3991"/>
      <c r="I16" s="3991"/>
      <c r="J16" s="3991"/>
      <c r="K16" s="3991"/>
      <c r="L16" s="3991"/>
      <c r="M16" s="3991"/>
    </row>
    <row r="17" spans="1:13">
      <c r="A17" s="3991" t="s">
        <v>3615</v>
      </c>
      <c r="B17" s="3991"/>
      <c r="C17" s="3991"/>
      <c r="D17" s="3991"/>
      <c r="E17" s="3991"/>
      <c r="F17" s="3991"/>
      <c r="G17" s="3991"/>
      <c r="H17" s="3991"/>
      <c r="I17" s="3991"/>
      <c r="J17" s="3991"/>
      <c r="K17" s="3991"/>
      <c r="L17" s="3991"/>
      <c r="M17" s="3991"/>
    </row>
    <row r="18" spans="1:13">
      <c r="A18" s="3991" t="s">
        <v>3616</v>
      </c>
      <c r="B18" s="3991"/>
      <c r="C18" s="3991"/>
      <c r="D18" s="3991"/>
      <c r="E18" s="3991"/>
      <c r="F18" s="3991"/>
      <c r="G18" s="3991"/>
      <c r="H18" s="3991"/>
      <c r="I18" s="3991"/>
      <c r="J18" s="3991"/>
      <c r="K18" s="3991"/>
      <c r="L18" s="3991"/>
      <c r="M18" s="3991"/>
    </row>
  </sheetData>
  <mergeCells count="15">
    <mergeCell ref="A15:M15"/>
    <mergeCell ref="A16:M16"/>
    <mergeCell ref="A17:M17"/>
    <mergeCell ref="A18:M18"/>
    <mergeCell ref="A1:M1"/>
    <mergeCell ref="A2:A4"/>
    <mergeCell ref="B2:E2"/>
    <mergeCell ref="F2:K2"/>
    <mergeCell ref="L2:M2"/>
    <mergeCell ref="B3:C3"/>
    <mergeCell ref="D3:E3"/>
    <mergeCell ref="F3:G3"/>
    <mergeCell ref="H3:I3"/>
    <mergeCell ref="J3:K3"/>
    <mergeCell ref="L3:M3"/>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71" firstPageNumber="262" orientation="landscape" r:id="rId1"/>
  <headerFooter differentOddEven="1" scaleWithDoc="0">
    <oddHeader>&amp;L&amp;"Times New Roman,標準"&amp;8 107&amp;"標楷體,標準"年犯罪狀況及其分析</oddHeader>
    <evenHeader>&amp;R&amp;"標楷體,標準"&amp;8第四篇　特定類型犯罪者之犯罪趨勢與處遇</evenHead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K19"/>
  <sheetViews>
    <sheetView showGridLines="0" zoomScaleNormal="100" workbookViewId="0">
      <selection activeCell="A18" sqref="A18:H18"/>
    </sheetView>
  </sheetViews>
  <sheetFormatPr defaultRowHeight="15.75"/>
  <cols>
    <col min="1" max="1" width="13.5" style="849" customWidth="1"/>
    <col min="2" max="2" width="15.625" style="849" customWidth="1"/>
    <col min="3" max="3" width="9.125" style="849" customWidth="1"/>
    <col min="4" max="4" width="9.25" style="849" customWidth="1"/>
    <col min="5" max="5" width="14" style="849" customWidth="1"/>
    <col min="6" max="6" width="11.25" style="849" customWidth="1"/>
    <col min="7" max="7" width="10.75" style="849" customWidth="1"/>
    <col min="8" max="9" width="11.25" style="849" customWidth="1"/>
    <col min="10" max="10" width="10.75" style="849" customWidth="1"/>
    <col min="11" max="11" width="10.375" style="849" customWidth="1"/>
    <col min="12" max="249" width="9" style="849"/>
    <col min="250" max="250" width="13.5" style="849" customWidth="1"/>
    <col min="251" max="251" width="15.625" style="849" customWidth="1"/>
    <col min="252" max="252" width="9.125" style="849" customWidth="1"/>
    <col min="253" max="253" width="9.25" style="849" customWidth="1"/>
    <col min="254" max="254" width="14" style="849" customWidth="1"/>
    <col min="255" max="255" width="10.75" style="849" customWidth="1"/>
    <col min="256" max="256" width="11.25" style="849" customWidth="1"/>
    <col min="257" max="257" width="10.75" style="849" customWidth="1"/>
    <col min="258" max="258" width="10.375" style="849" customWidth="1"/>
    <col min="259" max="505" width="9" style="849"/>
    <col min="506" max="506" width="13.5" style="849" customWidth="1"/>
    <col min="507" max="507" width="15.625" style="849" customWidth="1"/>
    <col min="508" max="508" width="9.125" style="849" customWidth="1"/>
    <col min="509" max="509" width="9.25" style="849" customWidth="1"/>
    <col min="510" max="510" width="14" style="849" customWidth="1"/>
    <col min="511" max="511" width="10.75" style="849" customWidth="1"/>
    <col min="512" max="512" width="11.25" style="849" customWidth="1"/>
    <col min="513" max="513" width="10.75" style="849" customWidth="1"/>
    <col min="514" max="514" width="10.375" style="849" customWidth="1"/>
    <col min="515" max="761" width="9" style="849"/>
    <col min="762" max="762" width="13.5" style="849" customWidth="1"/>
    <col min="763" max="763" width="15.625" style="849" customWidth="1"/>
    <col min="764" max="764" width="9.125" style="849" customWidth="1"/>
    <col min="765" max="765" width="9.25" style="849" customWidth="1"/>
    <col min="766" max="766" width="14" style="849" customWidth="1"/>
    <col min="767" max="767" width="10.75" style="849" customWidth="1"/>
    <col min="768" max="768" width="11.25" style="849" customWidth="1"/>
    <col min="769" max="769" width="10.75" style="849" customWidth="1"/>
    <col min="770" max="770" width="10.375" style="849" customWidth="1"/>
    <col min="771" max="1017" width="9" style="849"/>
    <col min="1018" max="1018" width="13.5" style="849" customWidth="1"/>
    <col min="1019" max="1019" width="15.625" style="849" customWidth="1"/>
    <col min="1020" max="1020" width="9.125" style="849" customWidth="1"/>
    <col min="1021" max="1021" width="9.25" style="849" customWidth="1"/>
    <col min="1022" max="1022" width="14" style="849" customWidth="1"/>
    <col min="1023" max="1023" width="10.75" style="849" customWidth="1"/>
    <col min="1024" max="1024" width="11.25" style="849" customWidth="1"/>
    <col min="1025" max="1025" width="10.75" style="849" customWidth="1"/>
    <col min="1026" max="1026" width="10.375" style="849" customWidth="1"/>
    <col min="1027" max="1273" width="9" style="849"/>
    <col min="1274" max="1274" width="13.5" style="849" customWidth="1"/>
    <col min="1275" max="1275" width="15.625" style="849" customWidth="1"/>
    <col min="1276" max="1276" width="9.125" style="849" customWidth="1"/>
    <col min="1277" max="1277" width="9.25" style="849" customWidth="1"/>
    <col min="1278" max="1278" width="14" style="849" customWidth="1"/>
    <col min="1279" max="1279" width="10.75" style="849" customWidth="1"/>
    <col min="1280" max="1280" width="11.25" style="849" customWidth="1"/>
    <col min="1281" max="1281" width="10.75" style="849" customWidth="1"/>
    <col min="1282" max="1282" width="10.375" style="849" customWidth="1"/>
    <col min="1283" max="1529" width="9" style="849"/>
    <col min="1530" max="1530" width="13.5" style="849" customWidth="1"/>
    <col min="1531" max="1531" width="15.625" style="849" customWidth="1"/>
    <col min="1532" max="1532" width="9.125" style="849" customWidth="1"/>
    <col min="1533" max="1533" width="9.25" style="849" customWidth="1"/>
    <col min="1534" max="1534" width="14" style="849" customWidth="1"/>
    <col min="1535" max="1535" width="10.75" style="849" customWidth="1"/>
    <col min="1536" max="1536" width="11.25" style="849" customWidth="1"/>
    <col min="1537" max="1537" width="10.75" style="849" customWidth="1"/>
    <col min="1538" max="1538" width="10.375" style="849" customWidth="1"/>
    <col min="1539" max="1785" width="9" style="849"/>
    <col min="1786" max="1786" width="13.5" style="849" customWidth="1"/>
    <col min="1787" max="1787" width="15.625" style="849" customWidth="1"/>
    <col min="1788" max="1788" width="9.125" style="849" customWidth="1"/>
    <col min="1789" max="1789" width="9.25" style="849" customWidth="1"/>
    <col min="1790" max="1790" width="14" style="849" customWidth="1"/>
    <col min="1791" max="1791" width="10.75" style="849" customWidth="1"/>
    <col min="1792" max="1792" width="11.25" style="849" customWidth="1"/>
    <col min="1793" max="1793" width="10.75" style="849" customWidth="1"/>
    <col min="1794" max="1794" width="10.375" style="849" customWidth="1"/>
    <col min="1795" max="2041" width="9" style="849"/>
    <col min="2042" max="2042" width="13.5" style="849" customWidth="1"/>
    <col min="2043" max="2043" width="15.625" style="849" customWidth="1"/>
    <col min="2044" max="2044" width="9.125" style="849" customWidth="1"/>
    <col min="2045" max="2045" width="9.25" style="849" customWidth="1"/>
    <col min="2046" max="2046" width="14" style="849" customWidth="1"/>
    <col min="2047" max="2047" width="10.75" style="849" customWidth="1"/>
    <col min="2048" max="2048" width="11.25" style="849" customWidth="1"/>
    <col min="2049" max="2049" width="10.75" style="849" customWidth="1"/>
    <col min="2050" max="2050" width="10.375" style="849" customWidth="1"/>
    <col min="2051" max="2297" width="9" style="849"/>
    <col min="2298" max="2298" width="13.5" style="849" customWidth="1"/>
    <col min="2299" max="2299" width="15.625" style="849" customWidth="1"/>
    <col min="2300" max="2300" width="9.125" style="849" customWidth="1"/>
    <col min="2301" max="2301" width="9.25" style="849" customWidth="1"/>
    <col min="2302" max="2302" width="14" style="849" customWidth="1"/>
    <col min="2303" max="2303" width="10.75" style="849" customWidth="1"/>
    <col min="2304" max="2304" width="11.25" style="849" customWidth="1"/>
    <col min="2305" max="2305" width="10.75" style="849" customWidth="1"/>
    <col min="2306" max="2306" width="10.375" style="849" customWidth="1"/>
    <col min="2307" max="2553" width="9" style="849"/>
    <col min="2554" max="2554" width="13.5" style="849" customWidth="1"/>
    <col min="2555" max="2555" width="15.625" style="849" customWidth="1"/>
    <col min="2556" max="2556" width="9.125" style="849" customWidth="1"/>
    <col min="2557" max="2557" width="9.25" style="849" customWidth="1"/>
    <col min="2558" max="2558" width="14" style="849" customWidth="1"/>
    <col min="2559" max="2559" width="10.75" style="849" customWidth="1"/>
    <col min="2560" max="2560" width="11.25" style="849" customWidth="1"/>
    <col min="2561" max="2561" width="10.75" style="849" customWidth="1"/>
    <col min="2562" max="2562" width="10.375" style="849" customWidth="1"/>
    <col min="2563" max="2809" width="9" style="849"/>
    <col min="2810" max="2810" width="13.5" style="849" customWidth="1"/>
    <col min="2811" max="2811" width="15.625" style="849" customWidth="1"/>
    <col min="2812" max="2812" width="9.125" style="849" customWidth="1"/>
    <col min="2813" max="2813" width="9.25" style="849" customWidth="1"/>
    <col min="2814" max="2814" width="14" style="849" customWidth="1"/>
    <col min="2815" max="2815" width="10.75" style="849" customWidth="1"/>
    <col min="2816" max="2816" width="11.25" style="849" customWidth="1"/>
    <col min="2817" max="2817" width="10.75" style="849" customWidth="1"/>
    <col min="2818" max="2818" width="10.375" style="849" customWidth="1"/>
    <col min="2819" max="3065" width="9" style="849"/>
    <col min="3066" max="3066" width="13.5" style="849" customWidth="1"/>
    <col min="3067" max="3067" width="15.625" style="849" customWidth="1"/>
    <col min="3068" max="3068" width="9.125" style="849" customWidth="1"/>
    <col min="3069" max="3069" width="9.25" style="849" customWidth="1"/>
    <col min="3070" max="3070" width="14" style="849" customWidth="1"/>
    <col min="3071" max="3071" width="10.75" style="849" customWidth="1"/>
    <col min="3072" max="3072" width="11.25" style="849" customWidth="1"/>
    <col min="3073" max="3073" width="10.75" style="849" customWidth="1"/>
    <col min="3074" max="3074" width="10.375" style="849" customWidth="1"/>
    <col min="3075" max="3321" width="9" style="849"/>
    <col min="3322" max="3322" width="13.5" style="849" customWidth="1"/>
    <col min="3323" max="3323" width="15.625" style="849" customWidth="1"/>
    <col min="3324" max="3324" width="9.125" style="849" customWidth="1"/>
    <col min="3325" max="3325" width="9.25" style="849" customWidth="1"/>
    <col min="3326" max="3326" width="14" style="849" customWidth="1"/>
    <col min="3327" max="3327" width="10.75" style="849" customWidth="1"/>
    <col min="3328" max="3328" width="11.25" style="849" customWidth="1"/>
    <col min="3329" max="3329" width="10.75" style="849" customWidth="1"/>
    <col min="3330" max="3330" width="10.375" style="849" customWidth="1"/>
    <col min="3331" max="3577" width="9" style="849"/>
    <col min="3578" max="3578" width="13.5" style="849" customWidth="1"/>
    <col min="3579" max="3579" width="15.625" style="849" customWidth="1"/>
    <col min="3580" max="3580" width="9.125" style="849" customWidth="1"/>
    <col min="3581" max="3581" width="9.25" style="849" customWidth="1"/>
    <col min="3582" max="3582" width="14" style="849" customWidth="1"/>
    <col min="3583" max="3583" width="10.75" style="849" customWidth="1"/>
    <col min="3584" max="3584" width="11.25" style="849" customWidth="1"/>
    <col min="3585" max="3585" width="10.75" style="849" customWidth="1"/>
    <col min="3586" max="3586" width="10.375" style="849" customWidth="1"/>
    <col min="3587" max="3833" width="9" style="849"/>
    <col min="3834" max="3834" width="13.5" style="849" customWidth="1"/>
    <col min="3835" max="3835" width="15.625" style="849" customWidth="1"/>
    <col min="3836" max="3836" width="9.125" style="849" customWidth="1"/>
    <col min="3837" max="3837" width="9.25" style="849" customWidth="1"/>
    <col min="3838" max="3838" width="14" style="849" customWidth="1"/>
    <col min="3839" max="3839" width="10.75" style="849" customWidth="1"/>
    <col min="3840" max="3840" width="11.25" style="849" customWidth="1"/>
    <col min="3841" max="3841" width="10.75" style="849" customWidth="1"/>
    <col min="3842" max="3842" width="10.375" style="849" customWidth="1"/>
    <col min="3843" max="4089" width="9" style="849"/>
    <col min="4090" max="4090" width="13.5" style="849" customWidth="1"/>
    <col min="4091" max="4091" width="15.625" style="849" customWidth="1"/>
    <col min="4092" max="4092" width="9.125" style="849" customWidth="1"/>
    <col min="4093" max="4093" width="9.25" style="849" customWidth="1"/>
    <col min="4094" max="4094" width="14" style="849" customWidth="1"/>
    <col min="4095" max="4095" width="10.75" style="849" customWidth="1"/>
    <col min="4096" max="4096" width="11.25" style="849" customWidth="1"/>
    <col min="4097" max="4097" width="10.75" style="849" customWidth="1"/>
    <col min="4098" max="4098" width="10.375" style="849" customWidth="1"/>
    <col min="4099" max="4345" width="9" style="849"/>
    <col min="4346" max="4346" width="13.5" style="849" customWidth="1"/>
    <col min="4347" max="4347" width="15.625" style="849" customWidth="1"/>
    <col min="4348" max="4348" width="9.125" style="849" customWidth="1"/>
    <col min="4349" max="4349" width="9.25" style="849" customWidth="1"/>
    <col min="4350" max="4350" width="14" style="849" customWidth="1"/>
    <col min="4351" max="4351" width="10.75" style="849" customWidth="1"/>
    <col min="4352" max="4352" width="11.25" style="849" customWidth="1"/>
    <col min="4353" max="4353" width="10.75" style="849" customWidth="1"/>
    <col min="4354" max="4354" width="10.375" style="849" customWidth="1"/>
    <col min="4355" max="4601" width="9" style="849"/>
    <col min="4602" max="4602" width="13.5" style="849" customWidth="1"/>
    <col min="4603" max="4603" width="15.625" style="849" customWidth="1"/>
    <col min="4604" max="4604" width="9.125" style="849" customWidth="1"/>
    <col min="4605" max="4605" width="9.25" style="849" customWidth="1"/>
    <col min="4606" max="4606" width="14" style="849" customWidth="1"/>
    <col min="4607" max="4607" width="10.75" style="849" customWidth="1"/>
    <col min="4608" max="4608" width="11.25" style="849" customWidth="1"/>
    <col min="4609" max="4609" width="10.75" style="849" customWidth="1"/>
    <col min="4610" max="4610" width="10.375" style="849" customWidth="1"/>
    <col min="4611" max="4857" width="9" style="849"/>
    <col min="4858" max="4858" width="13.5" style="849" customWidth="1"/>
    <col min="4859" max="4859" width="15.625" style="849" customWidth="1"/>
    <col min="4860" max="4860" width="9.125" style="849" customWidth="1"/>
    <col min="4861" max="4861" width="9.25" style="849" customWidth="1"/>
    <col min="4862" max="4862" width="14" style="849" customWidth="1"/>
    <col min="4863" max="4863" width="10.75" style="849" customWidth="1"/>
    <col min="4864" max="4864" width="11.25" style="849" customWidth="1"/>
    <col min="4865" max="4865" width="10.75" style="849" customWidth="1"/>
    <col min="4866" max="4866" width="10.375" style="849" customWidth="1"/>
    <col min="4867" max="5113" width="9" style="849"/>
    <col min="5114" max="5114" width="13.5" style="849" customWidth="1"/>
    <col min="5115" max="5115" width="15.625" style="849" customWidth="1"/>
    <col min="5116" max="5116" width="9.125" style="849" customWidth="1"/>
    <col min="5117" max="5117" width="9.25" style="849" customWidth="1"/>
    <col min="5118" max="5118" width="14" style="849" customWidth="1"/>
    <col min="5119" max="5119" width="10.75" style="849" customWidth="1"/>
    <col min="5120" max="5120" width="11.25" style="849" customWidth="1"/>
    <col min="5121" max="5121" width="10.75" style="849" customWidth="1"/>
    <col min="5122" max="5122" width="10.375" style="849" customWidth="1"/>
    <col min="5123" max="5369" width="9" style="849"/>
    <col min="5370" max="5370" width="13.5" style="849" customWidth="1"/>
    <col min="5371" max="5371" width="15.625" style="849" customWidth="1"/>
    <col min="5372" max="5372" width="9.125" style="849" customWidth="1"/>
    <col min="5373" max="5373" width="9.25" style="849" customWidth="1"/>
    <col min="5374" max="5374" width="14" style="849" customWidth="1"/>
    <col min="5375" max="5375" width="10.75" style="849" customWidth="1"/>
    <col min="5376" max="5376" width="11.25" style="849" customWidth="1"/>
    <col min="5377" max="5377" width="10.75" style="849" customWidth="1"/>
    <col min="5378" max="5378" width="10.375" style="849" customWidth="1"/>
    <col min="5379" max="5625" width="9" style="849"/>
    <col min="5626" max="5626" width="13.5" style="849" customWidth="1"/>
    <col min="5627" max="5627" width="15.625" style="849" customWidth="1"/>
    <col min="5628" max="5628" width="9.125" style="849" customWidth="1"/>
    <col min="5629" max="5629" width="9.25" style="849" customWidth="1"/>
    <col min="5630" max="5630" width="14" style="849" customWidth="1"/>
    <col min="5631" max="5631" width="10.75" style="849" customWidth="1"/>
    <col min="5632" max="5632" width="11.25" style="849" customWidth="1"/>
    <col min="5633" max="5633" width="10.75" style="849" customWidth="1"/>
    <col min="5634" max="5634" width="10.375" style="849" customWidth="1"/>
    <col min="5635" max="5881" width="9" style="849"/>
    <col min="5882" max="5882" width="13.5" style="849" customWidth="1"/>
    <col min="5883" max="5883" width="15.625" style="849" customWidth="1"/>
    <col min="5884" max="5884" width="9.125" style="849" customWidth="1"/>
    <col min="5885" max="5885" width="9.25" style="849" customWidth="1"/>
    <col min="5886" max="5886" width="14" style="849" customWidth="1"/>
    <col min="5887" max="5887" width="10.75" style="849" customWidth="1"/>
    <col min="5888" max="5888" width="11.25" style="849" customWidth="1"/>
    <col min="5889" max="5889" width="10.75" style="849" customWidth="1"/>
    <col min="5890" max="5890" width="10.375" style="849" customWidth="1"/>
    <col min="5891" max="6137" width="9" style="849"/>
    <col min="6138" max="6138" width="13.5" style="849" customWidth="1"/>
    <col min="6139" max="6139" width="15.625" style="849" customWidth="1"/>
    <col min="6140" max="6140" width="9.125" style="849" customWidth="1"/>
    <col min="6141" max="6141" width="9.25" style="849" customWidth="1"/>
    <col min="6142" max="6142" width="14" style="849" customWidth="1"/>
    <col min="6143" max="6143" width="10.75" style="849" customWidth="1"/>
    <col min="6144" max="6144" width="11.25" style="849" customWidth="1"/>
    <col min="6145" max="6145" width="10.75" style="849" customWidth="1"/>
    <col min="6146" max="6146" width="10.375" style="849" customWidth="1"/>
    <col min="6147" max="6393" width="9" style="849"/>
    <col min="6394" max="6394" width="13.5" style="849" customWidth="1"/>
    <col min="6395" max="6395" width="15.625" style="849" customWidth="1"/>
    <col min="6396" max="6396" width="9.125" style="849" customWidth="1"/>
    <col min="6397" max="6397" width="9.25" style="849" customWidth="1"/>
    <col min="6398" max="6398" width="14" style="849" customWidth="1"/>
    <col min="6399" max="6399" width="10.75" style="849" customWidth="1"/>
    <col min="6400" max="6400" width="11.25" style="849" customWidth="1"/>
    <col min="6401" max="6401" width="10.75" style="849" customWidth="1"/>
    <col min="6402" max="6402" width="10.375" style="849" customWidth="1"/>
    <col min="6403" max="6649" width="9" style="849"/>
    <col min="6650" max="6650" width="13.5" style="849" customWidth="1"/>
    <col min="6651" max="6651" width="15.625" style="849" customWidth="1"/>
    <col min="6652" max="6652" width="9.125" style="849" customWidth="1"/>
    <col min="6653" max="6653" width="9.25" style="849" customWidth="1"/>
    <col min="6654" max="6654" width="14" style="849" customWidth="1"/>
    <col min="6655" max="6655" width="10.75" style="849" customWidth="1"/>
    <col min="6656" max="6656" width="11.25" style="849" customWidth="1"/>
    <col min="6657" max="6657" width="10.75" style="849" customWidth="1"/>
    <col min="6658" max="6658" width="10.375" style="849" customWidth="1"/>
    <col min="6659" max="6905" width="9" style="849"/>
    <col min="6906" max="6906" width="13.5" style="849" customWidth="1"/>
    <col min="6907" max="6907" width="15.625" style="849" customWidth="1"/>
    <col min="6908" max="6908" width="9.125" style="849" customWidth="1"/>
    <col min="6909" max="6909" width="9.25" style="849" customWidth="1"/>
    <col min="6910" max="6910" width="14" style="849" customWidth="1"/>
    <col min="6911" max="6911" width="10.75" style="849" customWidth="1"/>
    <col min="6912" max="6912" width="11.25" style="849" customWidth="1"/>
    <col min="6913" max="6913" width="10.75" style="849" customWidth="1"/>
    <col min="6914" max="6914" width="10.375" style="849" customWidth="1"/>
    <col min="6915" max="7161" width="9" style="849"/>
    <col min="7162" max="7162" width="13.5" style="849" customWidth="1"/>
    <col min="7163" max="7163" width="15.625" style="849" customWidth="1"/>
    <col min="7164" max="7164" width="9.125" style="849" customWidth="1"/>
    <col min="7165" max="7165" width="9.25" style="849" customWidth="1"/>
    <col min="7166" max="7166" width="14" style="849" customWidth="1"/>
    <col min="7167" max="7167" width="10.75" style="849" customWidth="1"/>
    <col min="7168" max="7168" width="11.25" style="849" customWidth="1"/>
    <col min="7169" max="7169" width="10.75" style="849" customWidth="1"/>
    <col min="7170" max="7170" width="10.375" style="849" customWidth="1"/>
    <col min="7171" max="7417" width="9" style="849"/>
    <col min="7418" max="7418" width="13.5" style="849" customWidth="1"/>
    <col min="7419" max="7419" width="15.625" style="849" customWidth="1"/>
    <col min="7420" max="7420" width="9.125" style="849" customWidth="1"/>
    <col min="7421" max="7421" width="9.25" style="849" customWidth="1"/>
    <col min="7422" max="7422" width="14" style="849" customWidth="1"/>
    <col min="7423" max="7423" width="10.75" style="849" customWidth="1"/>
    <col min="7424" max="7424" width="11.25" style="849" customWidth="1"/>
    <col min="7425" max="7425" width="10.75" style="849" customWidth="1"/>
    <col min="7426" max="7426" width="10.375" style="849" customWidth="1"/>
    <col min="7427" max="7673" width="9" style="849"/>
    <col min="7674" max="7674" width="13.5" style="849" customWidth="1"/>
    <col min="7675" max="7675" width="15.625" style="849" customWidth="1"/>
    <col min="7676" max="7676" width="9.125" style="849" customWidth="1"/>
    <col min="7677" max="7677" width="9.25" style="849" customWidth="1"/>
    <col min="7678" max="7678" width="14" style="849" customWidth="1"/>
    <col min="7679" max="7679" width="10.75" style="849" customWidth="1"/>
    <col min="7680" max="7680" width="11.25" style="849" customWidth="1"/>
    <col min="7681" max="7681" width="10.75" style="849" customWidth="1"/>
    <col min="7682" max="7682" width="10.375" style="849" customWidth="1"/>
    <col min="7683" max="7929" width="9" style="849"/>
    <col min="7930" max="7930" width="13.5" style="849" customWidth="1"/>
    <col min="7931" max="7931" width="15.625" style="849" customWidth="1"/>
    <col min="7932" max="7932" width="9.125" style="849" customWidth="1"/>
    <col min="7933" max="7933" width="9.25" style="849" customWidth="1"/>
    <col min="7934" max="7934" width="14" style="849" customWidth="1"/>
    <col min="7935" max="7935" width="10.75" style="849" customWidth="1"/>
    <col min="7936" max="7936" width="11.25" style="849" customWidth="1"/>
    <col min="7937" max="7937" width="10.75" style="849" customWidth="1"/>
    <col min="7938" max="7938" width="10.375" style="849" customWidth="1"/>
    <col min="7939" max="8185" width="9" style="849"/>
    <col min="8186" max="8186" width="13.5" style="849" customWidth="1"/>
    <col min="8187" max="8187" width="15.625" style="849" customWidth="1"/>
    <col min="8188" max="8188" width="9.125" style="849" customWidth="1"/>
    <col min="8189" max="8189" width="9.25" style="849" customWidth="1"/>
    <col min="8190" max="8190" width="14" style="849" customWidth="1"/>
    <col min="8191" max="8191" width="10.75" style="849" customWidth="1"/>
    <col min="8192" max="8192" width="11.25" style="849" customWidth="1"/>
    <col min="8193" max="8193" width="10.75" style="849" customWidth="1"/>
    <col min="8194" max="8194" width="10.375" style="849" customWidth="1"/>
    <col min="8195" max="8441" width="9" style="849"/>
    <col min="8442" max="8442" width="13.5" style="849" customWidth="1"/>
    <col min="8443" max="8443" width="15.625" style="849" customWidth="1"/>
    <col min="8444" max="8444" width="9.125" style="849" customWidth="1"/>
    <col min="8445" max="8445" width="9.25" style="849" customWidth="1"/>
    <col min="8446" max="8446" width="14" style="849" customWidth="1"/>
    <col min="8447" max="8447" width="10.75" style="849" customWidth="1"/>
    <col min="8448" max="8448" width="11.25" style="849" customWidth="1"/>
    <col min="8449" max="8449" width="10.75" style="849" customWidth="1"/>
    <col min="8450" max="8450" width="10.375" style="849" customWidth="1"/>
    <col min="8451" max="8697" width="9" style="849"/>
    <col min="8698" max="8698" width="13.5" style="849" customWidth="1"/>
    <col min="8699" max="8699" width="15.625" style="849" customWidth="1"/>
    <col min="8700" max="8700" width="9.125" style="849" customWidth="1"/>
    <col min="8701" max="8701" width="9.25" style="849" customWidth="1"/>
    <col min="8702" max="8702" width="14" style="849" customWidth="1"/>
    <col min="8703" max="8703" width="10.75" style="849" customWidth="1"/>
    <col min="8704" max="8704" width="11.25" style="849" customWidth="1"/>
    <col min="8705" max="8705" width="10.75" style="849" customWidth="1"/>
    <col min="8706" max="8706" width="10.375" style="849" customWidth="1"/>
    <col min="8707" max="8953" width="9" style="849"/>
    <col min="8954" max="8954" width="13.5" style="849" customWidth="1"/>
    <col min="8955" max="8955" width="15.625" style="849" customWidth="1"/>
    <col min="8956" max="8956" width="9.125" style="849" customWidth="1"/>
    <col min="8957" max="8957" width="9.25" style="849" customWidth="1"/>
    <col min="8958" max="8958" width="14" style="849" customWidth="1"/>
    <col min="8959" max="8959" width="10.75" style="849" customWidth="1"/>
    <col min="8960" max="8960" width="11.25" style="849" customWidth="1"/>
    <col min="8961" max="8961" width="10.75" style="849" customWidth="1"/>
    <col min="8962" max="8962" width="10.375" style="849" customWidth="1"/>
    <col min="8963" max="9209" width="9" style="849"/>
    <col min="9210" max="9210" width="13.5" style="849" customWidth="1"/>
    <col min="9211" max="9211" width="15.625" style="849" customWidth="1"/>
    <col min="9212" max="9212" width="9.125" style="849" customWidth="1"/>
    <col min="9213" max="9213" width="9.25" style="849" customWidth="1"/>
    <col min="9214" max="9214" width="14" style="849" customWidth="1"/>
    <col min="9215" max="9215" width="10.75" style="849" customWidth="1"/>
    <col min="9216" max="9216" width="11.25" style="849" customWidth="1"/>
    <col min="9217" max="9217" width="10.75" style="849" customWidth="1"/>
    <col min="9218" max="9218" width="10.375" style="849" customWidth="1"/>
    <col min="9219" max="9465" width="9" style="849"/>
    <col min="9466" max="9466" width="13.5" style="849" customWidth="1"/>
    <col min="9467" max="9467" width="15.625" style="849" customWidth="1"/>
    <col min="9468" max="9468" width="9.125" style="849" customWidth="1"/>
    <col min="9469" max="9469" width="9.25" style="849" customWidth="1"/>
    <col min="9470" max="9470" width="14" style="849" customWidth="1"/>
    <col min="9471" max="9471" width="10.75" style="849" customWidth="1"/>
    <col min="9472" max="9472" width="11.25" style="849" customWidth="1"/>
    <col min="9473" max="9473" width="10.75" style="849" customWidth="1"/>
    <col min="9474" max="9474" width="10.375" style="849" customWidth="1"/>
    <col min="9475" max="9721" width="9" style="849"/>
    <col min="9722" max="9722" width="13.5" style="849" customWidth="1"/>
    <col min="9723" max="9723" width="15.625" style="849" customWidth="1"/>
    <col min="9724" max="9724" width="9.125" style="849" customWidth="1"/>
    <col min="9725" max="9725" width="9.25" style="849" customWidth="1"/>
    <col min="9726" max="9726" width="14" style="849" customWidth="1"/>
    <col min="9727" max="9727" width="10.75" style="849" customWidth="1"/>
    <col min="9728" max="9728" width="11.25" style="849" customWidth="1"/>
    <col min="9729" max="9729" width="10.75" style="849" customWidth="1"/>
    <col min="9730" max="9730" width="10.375" style="849" customWidth="1"/>
    <col min="9731" max="9977" width="9" style="849"/>
    <col min="9978" max="9978" width="13.5" style="849" customWidth="1"/>
    <col min="9979" max="9979" width="15.625" style="849" customWidth="1"/>
    <col min="9980" max="9980" width="9.125" style="849" customWidth="1"/>
    <col min="9981" max="9981" width="9.25" style="849" customWidth="1"/>
    <col min="9982" max="9982" width="14" style="849" customWidth="1"/>
    <col min="9983" max="9983" width="10.75" style="849" customWidth="1"/>
    <col min="9984" max="9984" width="11.25" style="849" customWidth="1"/>
    <col min="9985" max="9985" width="10.75" style="849" customWidth="1"/>
    <col min="9986" max="9986" width="10.375" style="849" customWidth="1"/>
    <col min="9987" max="10233" width="9" style="849"/>
    <col min="10234" max="10234" width="13.5" style="849" customWidth="1"/>
    <col min="10235" max="10235" width="15.625" style="849" customWidth="1"/>
    <col min="10236" max="10236" width="9.125" style="849" customWidth="1"/>
    <col min="10237" max="10237" width="9.25" style="849" customWidth="1"/>
    <col min="10238" max="10238" width="14" style="849" customWidth="1"/>
    <col min="10239" max="10239" width="10.75" style="849" customWidth="1"/>
    <col min="10240" max="10240" width="11.25" style="849" customWidth="1"/>
    <col min="10241" max="10241" width="10.75" style="849" customWidth="1"/>
    <col min="10242" max="10242" width="10.375" style="849" customWidth="1"/>
    <col min="10243" max="10489" width="9" style="849"/>
    <col min="10490" max="10490" width="13.5" style="849" customWidth="1"/>
    <col min="10491" max="10491" width="15.625" style="849" customWidth="1"/>
    <col min="10492" max="10492" width="9.125" style="849" customWidth="1"/>
    <col min="10493" max="10493" width="9.25" style="849" customWidth="1"/>
    <col min="10494" max="10494" width="14" style="849" customWidth="1"/>
    <col min="10495" max="10495" width="10.75" style="849" customWidth="1"/>
    <col min="10496" max="10496" width="11.25" style="849" customWidth="1"/>
    <col min="10497" max="10497" width="10.75" style="849" customWidth="1"/>
    <col min="10498" max="10498" width="10.375" style="849" customWidth="1"/>
    <col min="10499" max="10745" width="9" style="849"/>
    <col min="10746" max="10746" width="13.5" style="849" customWidth="1"/>
    <col min="10747" max="10747" width="15.625" style="849" customWidth="1"/>
    <col min="10748" max="10748" width="9.125" style="849" customWidth="1"/>
    <col min="10749" max="10749" width="9.25" style="849" customWidth="1"/>
    <col min="10750" max="10750" width="14" style="849" customWidth="1"/>
    <col min="10751" max="10751" width="10.75" style="849" customWidth="1"/>
    <col min="10752" max="10752" width="11.25" style="849" customWidth="1"/>
    <col min="10753" max="10753" width="10.75" style="849" customWidth="1"/>
    <col min="10754" max="10754" width="10.375" style="849" customWidth="1"/>
    <col min="10755" max="11001" width="9" style="849"/>
    <col min="11002" max="11002" width="13.5" style="849" customWidth="1"/>
    <col min="11003" max="11003" width="15.625" style="849" customWidth="1"/>
    <col min="11004" max="11004" width="9.125" style="849" customWidth="1"/>
    <col min="11005" max="11005" width="9.25" style="849" customWidth="1"/>
    <col min="11006" max="11006" width="14" style="849" customWidth="1"/>
    <col min="11007" max="11007" width="10.75" style="849" customWidth="1"/>
    <col min="11008" max="11008" width="11.25" style="849" customWidth="1"/>
    <col min="11009" max="11009" width="10.75" style="849" customWidth="1"/>
    <col min="11010" max="11010" width="10.375" style="849" customWidth="1"/>
    <col min="11011" max="11257" width="9" style="849"/>
    <col min="11258" max="11258" width="13.5" style="849" customWidth="1"/>
    <col min="11259" max="11259" width="15.625" style="849" customWidth="1"/>
    <col min="11260" max="11260" width="9.125" style="849" customWidth="1"/>
    <col min="11261" max="11261" width="9.25" style="849" customWidth="1"/>
    <col min="11262" max="11262" width="14" style="849" customWidth="1"/>
    <col min="11263" max="11263" width="10.75" style="849" customWidth="1"/>
    <col min="11264" max="11264" width="11.25" style="849" customWidth="1"/>
    <col min="11265" max="11265" width="10.75" style="849" customWidth="1"/>
    <col min="11266" max="11266" width="10.375" style="849" customWidth="1"/>
    <col min="11267" max="11513" width="9" style="849"/>
    <col min="11514" max="11514" width="13.5" style="849" customWidth="1"/>
    <col min="11515" max="11515" width="15.625" style="849" customWidth="1"/>
    <col min="11516" max="11516" width="9.125" style="849" customWidth="1"/>
    <col min="11517" max="11517" width="9.25" style="849" customWidth="1"/>
    <col min="11518" max="11518" width="14" style="849" customWidth="1"/>
    <col min="11519" max="11519" width="10.75" style="849" customWidth="1"/>
    <col min="11520" max="11520" width="11.25" style="849" customWidth="1"/>
    <col min="11521" max="11521" width="10.75" style="849" customWidth="1"/>
    <col min="11522" max="11522" width="10.375" style="849" customWidth="1"/>
    <col min="11523" max="11769" width="9" style="849"/>
    <col min="11770" max="11770" width="13.5" style="849" customWidth="1"/>
    <col min="11771" max="11771" width="15.625" style="849" customWidth="1"/>
    <col min="11772" max="11772" width="9.125" style="849" customWidth="1"/>
    <col min="11773" max="11773" width="9.25" style="849" customWidth="1"/>
    <col min="11774" max="11774" width="14" style="849" customWidth="1"/>
    <col min="11775" max="11775" width="10.75" style="849" customWidth="1"/>
    <col min="11776" max="11776" width="11.25" style="849" customWidth="1"/>
    <col min="11777" max="11777" width="10.75" style="849" customWidth="1"/>
    <col min="11778" max="11778" width="10.375" style="849" customWidth="1"/>
    <col min="11779" max="12025" width="9" style="849"/>
    <col min="12026" max="12026" width="13.5" style="849" customWidth="1"/>
    <col min="12027" max="12027" width="15.625" style="849" customWidth="1"/>
    <col min="12028" max="12028" width="9.125" style="849" customWidth="1"/>
    <col min="12029" max="12029" width="9.25" style="849" customWidth="1"/>
    <col min="12030" max="12030" width="14" style="849" customWidth="1"/>
    <col min="12031" max="12031" width="10.75" style="849" customWidth="1"/>
    <col min="12032" max="12032" width="11.25" style="849" customWidth="1"/>
    <col min="12033" max="12033" width="10.75" style="849" customWidth="1"/>
    <col min="12034" max="12034" width="10.375" style="849" customWidth="1"/>
    <col min="12035" max="12281" width="9" style="849"/>
    <col min="12282" max="12282" width="13.5" style="849" customWidth="1"/>
    <col min="12283" max="12283" width="15.625" style="849" customWidth="1"/>
    <col min="12284" max="12284" width="9.125" style="849" customWidth="1"/>
    <col min="12285" max="12285" width="9.25" style="849" customWidth="1"/>
    <col min="12286" max="12286" width="14" style="849" customWidth="1"/>
    <col min="12287" max="12287" width="10.75" style="849" customWidth="1"/>
    <col min="12288" max="12288" width="11.25" style="849" customWidth="1"/>
    <col min="12289" max="12289" width="10.75" style="849" customWidth="1"/>
    <col min="12290" max="12290" width="10.375" style="849" customWidth="1"/>
    <col min="12291" max="12537" width="9" style="849"/>
    <col min="12538" max="12538" width="13.5" style="849" customWidth="1"/>
    <col min="12539" max="12539" width="15.625" style="849" customWidth="1"/>
    <col min="12540" max="12540" width="9.125" style="849" customWidth="1"/>
    <col min="12541" max="12541" width="9.25" style="849" customWidth="1"/>
    <col min="12542" max="12542" width="14" style="849" customWidth="1"/>
    <col min="12543" max="12543" width="10.75" style="849" customWidth="1"/>
    <col min="12544" max="12544" width="11.25" style="849" customWidth="1"/>
    <col min="12545" max="12545" width="10.75" style="849" customWidth="1"/>
    <col min="12546" max="12546" width="10.375" style="849" customWidth="1"/>
    <col min="12547" max="12793" width="9" style="849"/>
    <col min="12794" max="12794" width="13.5" style="849" customWidth="1"/>
    <col min="12795" max="12795" width="15.625" style="849" customWidth="1"/>
    <col min="12796" max="12796" width="9.125" style="849" customWidth="1"/>
    <col min="12797" max="12797" width="9.25" style="849" customWidth="1"/>
    <col min="12798" max="12798" width="14" style="849" customWidth="1"/>
    <col min="12799" max="12799" width="10.75" style="849" customWidth="1"/>
    <col min="12800" max="12800" width="11.25" style="849" customWidth="1"/>
    <col min="12801" max="12801" width="10.75" style="849" customWidth="1"/>
    <col min="12802" max="12802" width="10.375" style="849" customWidth="1"/>
    <col min="12803" max="13049" width="9" style="849"/>
    <col min="13050" max="13050" width="13.5" style="849" customWidth="1"/>
    <col min="13051" max="13051" width="15.625" style="849" customWidth="1"/>
    <col min="13052" max="13052" width="9.125" style="849" customWidth="1"/>
    <col min="13053" max="13053" width="9.25" style="849" customWidth="1"/>
    <col min="13054" max="13054" width="14" style="849" customWidth="1"/>
    <col min="13055" max="13055" width="10.75" style="849" customWidth="1"/>
    <col min="13056" max="13056" width="11.25" style="849" customWidth="1"/>
    <col min="13057" max="13057" width="10.75" style="849" customWidth="1"/>
    <col min="13058" max="13058" width="10.375" style="849" customWidth="1"/>
    <col min="13059" max="13305" width="9" style="849"/>
    <col min="13306" max="13306" width="13.5" style="849" customWidth="1"/>
    <col min="13307" max="13307" width="15.625" style="849" customWidth="1"/>
    <col min="13308" max="13308" width="9.125" style="849" customWidth="1"/>
    <col min="13309" max="13309" width="9.25" style="849" customWidth="1"/>
    <col min="13310" max="13310" width="14" style="849" customWidth="1"/>
    <col min="13311" max="13311" width="10.75" style="849" customWidth="1"/>
    <col min="13312" max="13312" width="11.25" style="849" customWidth="1"/>
    <col min="13313" max="13313" width="10.75" style="849" customWidth="1"/>
    <col min="13314" max="13314" width="10.375" style="849" customWidth="1"/>
    <col min="13315" max="13561" width="9" style="849"/>
    <col min="13562" max="13562" width="13.5" style="849" customWidth="1"/>
    <col min="13563" max="13563" width="15.625" style="849" customWidth="1"/>
    <col min="13564" max="13564" width="9.125" style="849" customWidth="1"/>
    <col min="13565" max="13565" width="9.25" style="849" customWidth="1"/>
    <col min="13566" max="13566" width="14" style="849" customWidth="1"/>
    <col min="13567" max="13567" width="10.75" style="849" customWidth="1"/>
    <col min="13568" max="13568" width="11.25" style="849" customWidth="1"/>
    <col min="13569" max="13569" width="10.75" style="849" customWidth="1"/>
    <col min="13570" max="13570" width="10.375" style="849" customWidth="1"/>
    <col min="13571" max="13817" width="9" style="849"/>
    <col min="13818" max="13818" width="13.5" style="849" customWidth="1"/>
    <col min="13819" max="13819" width="15.625" style="849" customWidth="1"/>
    <col min="13820" max="13820" width="9.125" style="849" customWidth="1"/>
    <col min="13821" max="13821" width="9.25" style="849" customWidth="1"/>
    <col min="13822" max="13822" width="14" style="849" customWidth="1"/>
    <col min="13823" max="13823" width="10.75" style="849" customWidth="1"/>
    <col min="13824" max="13824" width="11.25" style="849" customWidth="1"/>
    <col min="13825" max="13825" width="10.75" style="849" customWidth="1"/>
    <col min="13826" max="13826" width="10.375" style="849" customWidth="1"/>
    <col min="13827" max="14073" width="9" style="849"/>
    <col min="14074" max="14074" width="13.5" style="849" customWidth="1"/>
    <col min="14075" max="14075" width="15.625" style="849" customWidth="1"/>
    <col min="14076" max="14076" width="9.125" style="849" customWidth="1"/>
    <col min="14077" max="14077" width="9.25" style="849" customWidth="1"/>
    <col min="14078" max="14078" width="14" style="849" customWidth="1"/>
    <col min="14079" max="14079" width="10.75" style="849" customWidth="1"/>
    <col min="14080" max="14080" width="11.25" style="849" customWidth="1"/>
    <col min="14081" max="14081" width="10.75" style="849" customWidth="1"/>
    <col min="14082" max="14082" width="10.375" style="849" customWidth="1"/>
    <col min="14083" max="14329" width="9" style="849"/>
    <col min="14330" max="14330" width="13.5" style="849" customWidth="1"/>
    <col min="14331" max="14331" width="15.625" style="849" customWidth="1"/>
    <col min="14332" max="14332" width="9.125" style="849" customWidth="1"/>
    <col min="14333" max="14333" width="9.25" style="849" customWidth="1"/>
    <col min="14334" max="14334" width="14" style="849" customWidth="1"/>
    <col min="14335" max="14335" width="10.75" style="849" customWidth="1"/>
    <col min="14336" max="14336" width="11.25" style="849" customWidth="1"/>
    <col min="14337" max="14337" width="10.75" style="849" customWidth="1"/>
    <col min="14338" max="14338" width="10.375" style="849" customWidth="1"/>
    <col min="14339" max="14585" width="9" style="849"/>
    <col min="14586" max="14586" width="13.5" style="849" customWidth="1"/>
    <col min="14587" max="14587" width="15.625" style="849" customWidth="1"/>
    <col min="14588" max="14588" width="9.125" style="849" customWidth="1"/>
    <col min="14589" max="14589" width="9.25" style="849" customWidth="1"/>
    <col min="14590" max="14590" width="14" style="849" customWidth="1"/>
    <col min="14591" max="14591" width="10.75" style="849" customWidth="1"/>
    <col min="14592" max="14592" width="11.25" style="849" customWidth="1"/>
    <col min="14593" max="14593" width="10.75" style="849" customWidth="1"/>
    <col min="14594" max="14594" width="10.375" style="849" customWidth="1"/>
    <col min="14595" max="14841" width="9" style="849"/>
    <col min="14842" max="14842" width="13.5" style="849" customWidth="1"/>
    <col min="14843" max="14843" width="15.625" style="849" customWidth="1"/>
    <col min="14844" max="14844" width="9.125" style="849" customWidth="1"/>
    <col min="14845" max="14845" width="9.25" style="849" customWidth="1"/>
    <col min="14846" max="14846" width="14" style="849" customWidth="1"/>
    <col min="14847" max="14847" width="10.75" style="849" customWidth="1"/>
    <col min="14848" max="14848" width="11.25" style="849" customWidth="1"/>
    <col min="14849" max="14849" width="10.75" style="849" customWidth="1"/>
    <col min="14850" max="14850" width="10.375" style="849" customWidth="1"/>
    <col min="14851" max="15097" width="9" style="849"/>
    <col min="15098" max="15098" width="13.5" style="849" customWidth="1"/>
    <col min="15099" max="15099" width="15.625" style="849" customWidth="1"/>
    <col min="15100" max="15100" width="9.125" style="849" customWidth="1"/>
    <col min="15101" max="15101" width="9.25" style="849" customWidth="1"/>
    <col min="15102" max="15102" width="14" style="849" customWidth="1"/>
    <col min="15103" max="15103" width="10.75" style="849" customWidth="1"/>
    <col min="15104" max="15104" width="11.25" style="849" customWidth="1"/>
    <col min="15105" max="15105" width="10.75" style="849" customWidth="1"/>
    <col min="15106" max="15106" width="10.375" style="849" customWidth="1"/>
    <col min="15107" max="15353" width="9" style="849"/>
    <col min="15354" max="15354" width="13.5" style="849" customWidth="1"/>
    <col min="15355" max="15355" width="15.625" style="849" customWidth="1"/>
    <col min="15356" max="15356" width="9.125" style="849" customWidth="1"/>
    <col min="15357" max="15357" width="9.25" style="849" customWidth="1"/>
    <col min="15358" max="15358" width="14" style="849" customWidth="1"/>
    <col min="15359" max="15359" width="10.75" style="849" customWidth="1"/>
    <col min="15360" max="15360" width="11.25" style="849" customWidth="1"/>
    <col min="15361" max="15361" width="10.75" style="849" customWidth="1"/>
    <col min="15362" max="15362" width="10.375" style="849" customWidth="1"/>
    <col min="15363" max="15609" width="9" style="849"/>
    <col min="15610" max="15610" width="13.5" style="849" customWidth="1"/>
    <col min="15611" max="15611" width="15.625" style="849" customWidth="1"/>
    <col min="15612" max="15612" width="9.125" style="849" customWidth="1"/>
    <col min="15613" max="15613" width="9.25" style="849" customWidth="1"/>
    <col min="15614" max="15614" width="14" style="849" customWidth="1"/>
    <col min="15615" max="15615" width="10.75" style="849" customWidth="1"/>
    <col min="15616" max="15616" width="11.25" style="849" customWidth="1"/>
    <col min="15617" max="15617" width="10.75" style="849" customWidth="1"/>
    <col min="15618" max="15618" width="10.375" style="849" customWidth="1"/>
    <col min="15619" max="15865" width="9" style="849"/>
    <col min="15866" max="15866" width="13.5" style="849" customWidth="1"/>
    <col min="15867" max="15867" width="15.625" style="849" customWidth="1"/>
    <col min="15868" max="15868" width="9.125" style="849" customWidth="1"/>
    <col min="15869" max="15869" width="9.25" style="849" customWidth="1"/>
    <col min="15870" max="15870" width="14" style="849" customWidth="1"/>
    <col min="15871" max="15871" width="10.75" style="849" customWidth="1"/>
    <col min="15872" max="15872" width="11.25" style="849" customWidth="1"/>
    <col min="15873" max="15873" width="10.75" style="849" customWidth="1"/>
    <col min="15874" max="15874" width="10.375" style="849" customWidth="1"/>
    <col min="15875" max="16121" width="9" style="849"/>
    <col min="16122" max="16122" width="13.5" style="849" customWidth="1"/>
    <col min="16123" max="16123" width="15.625" style="849" customWidth="1"/>
    <col min="16124" max="16124" width="9.125" style="849" customWidth="1"/>
    <col min="16125" max="16125" width="9.25" style="849" customWidth="1"/>
    <col min="16126" max="16126" width="14" style="849" customWidth="1"/>
    <col min="16127" max="16127" width="10.75" style="849" customWidth="1"/>
    <col min="16128" max="16128" width="11.25" style="849" customWidth="1"/>
    <col min="16129" max="16129" width="10.75" style="849" customWidth="1"/>
    <col min="16130" max="16130" width="10.375" style="849" customWidth="1"/>
    <col min="16131" max="16384" width="9" style="849"/>
  </cols>
  <sheetData>
    <row r="1" spans="1:11" ht="30.6" customHeight="1">
      <c r="A1" s="3936" t="s">
        <v>3617</v>
      </c>
      <c r="B1" s="3936"/>
      <c r="C1" s="3936"/>
      <c r="D1" s="3936"/>
      <c r="E1" s="3936"/>
      <c r="F1" s="3936"/>
      <c r="G1" s="3936"/>
      <c r="H1" s="3936"/>
      <c r="I1" s="3936"/>
      <c r="J1" s="3936"/>
      <c r="K1" s="3936"/>
    </row>
    <row r="2" spans="1:11" s="2393" customFormat="1" ht="30.6" customHeight="1">
      <c r="A2" s="3998" t="s">
        <v>3618</v>
      </c>
      <c r="B2" s="4001" t="s">
        <v>3619</v>
      </c>
      <c r="C2" s="4004" t="s">
        <v>3620</v>
      </c>
      <c r="D2" s="3998"/>
      <c r="E2" s="3998"/>
      <c r="F2" s="4007" t="s">
        <v>3621</v>
      </c>
      <c r="G2" s="4008"/>
      <c r="H2" s="4008"/>
      <c r="I2" s="4008"/>
      <c r="J2" s="4008"/>
      <c r="K2" s="4008"/>
    </row>
    <row r="3" spans="1:11" s="2393" customFormat="1" ht="30.6" customHeight="1">
      <c r="A3" s="3999"/>
      <c r="B3" s="4002"/>
      <c r="C3" s="4005"/>
      <c r="D3" s="4006"/>
      <c r="E3" s="4006"/>
      <c r="F3" s="4007" t="s">
        <v>3622</v>
      </c>
      <c r="G3" s="4008"/>
      <c r="H3" s="4008"/>
      <c r="I3" s="4009" t="s">
        <v>3623</v>
      </c>
      <c r="J3" s="4008"/>
      <c r="K3" s="4008"/>
    </row>
    <row r="4" spans="1:11" s="2393" customFormat="1" ht="30.6" customHeight="1">
      <c r="A4" s="4000"/>
      <c r="B4" s="4003"/>
      <c r="C4" s="2394" t="s">
        <v>3624</v>
      </c>
      <c r="D4" s="2395" t="s">
        <v>0</v>
      </c>
      <c r="E4" s="2396" t="s">
        <v>3625</v>
      </c>
      <c r="F4" s="2397" t="s">
        <v>3626</v>
      </c>
      <c r="G4" s="2394" t="s">
        <v>3627</v>
      </c>
      <c r="H4" s="2398" t="s">
        <v>0</v>
      </c>
      <c r="I4" s="2399" t="s">
        <v>3628</v>
      </c>
      <c r="J4" s="2394" t="s">
        <v>3629</v>
      </c>
      <c r="K4" s="2400" t="s">
        <v>0</v>
      </c>
    </row>
    <row r="5" spans="1:11" ht="18.75" customHeight="1">
      <c r="A5" s="2380" t="s">
        <v>3462</v>
      </c>
      <c r="B5" s="2401">
        <v>3515174</v>
      </c>
      <c r="C5" s="2402">
        <v>16264</v>
      </c>
      <c r="D5" s="2403">
        <v>6.0384643944456817</v>
      </c>
      <c r="E5" s="2404">
        <v>472.54453493993827</v>
      </c>
      <c r="F5" s="2405">
        <v>129550</v>
      </c>
      <c r="G5" s="2258">
        <v>6927</v>
      </c>
      <c r="H5" s="2257">
        <f>G5/F5*100</f>
        <v>5.3469702817445004</v>
      </c>
      <c r="I5" s="2406">
        <v>50147</v>
      </c>
      <c r="J5" s="2258">
        <v>1442</v>
      </c>
      <c r="K5" s="2407">
        <v>2.8755458950684987</v>
      </c>
    </row>
    <row r="6" spans="1:11" ht="18.75" customHeight="1">
      <c r="A6" s="2380" t="s">
        <v>356</v>
      </c>
      <c r="B6" s="2401">
        <v>3703570</v>
      </c>
      <c r="C6" s="2402">
        <v>14765</v>
      </c>
      <c r="D6" s="2403">
        <v>5.6710811350612245</v>
      </c>
      <c r="E6" s="2404">
        <v>409.07393308309594</v>
      </c>
      <c r="F6" s="2405">
        <v>123849</v>
      </c>
      <c r="G6" s="2258">
        <v>7608</v>
      </c>
      <c r="H6" s="2257">
        <f t="shared" ref="H6:H14" si="0">G6/F6*100</f>
        <v>6.1429644163457118</v>
      </c>
      <c r="I6" s="2406">
        <v>51080</v>
      </c>
      <c r="J6" s="2258">
        <v>1576</v>
      </c>
      <c r="K6" s="2259">
        <v>3.0853563038371181</v>
      </c>
    </row>
    <row r="7" spans="1:11" ht="18.75" customHeight="1">
      <c r="A7" s="2380" t="s">
        <v>357</v>
      </c>
      <c r="B7" s="2401">
        <v>3884472</v>
      </c>
      <c r="C7" s="2402">
        <v>16743</v>
      </c>
      <c r="D7" s="2403">
        <v>6.3890436468262752</v>
      </c>
      <c r="E7" s="2404">
        <v>441.29961325991604</v>
      </c>
      <c r="F7" s="2405">
        <v>124017</v>
      </c>
      <c r="G7" s="2258">
        <v>8471</v>
      </c>
      <c r="H7" s="2257">
        <f t="shared" si="0"/>
        <v>6.8305151713071597</v>
      </c>
      <c r="I7" s="2406">
        <v>49465</v>
      </c>
      <c r="J7" s="2258">
        <v>1256</v>
      </c>
      <c r="K7" s="2259">
        <v>2.5391691094713433</v>
      </c>
    </row>
    <row r="8" spans="1:11" ht="18.75" customHeight="1">
      <c r="A8" s="2380" t="s">
        <v>358</v>
      </c>
      <c r="B8" s="2401">
        <v>4068353</v>
      </c>
      <c r="C8" s="2402">
        <v>18392</v>
      </c>
      <c r="D8" s="2403">
        <v>7.2037914691943126</v>
      </c>
      <c r="E8" s="2404">
        <v>462.52746665493083</v>
      </c>
      <c r="F8" s="2405">
        <v>120445</v>
      </c>
      <c r="G8" s="2258">
        <v>8916</v>
      </c>
      <c r="H8" s="2257">
        <f t="shared" si="0"/>
        <v>7.4025488812320974</v>
      </c>
      <c r="I8" s="2406">
        <v>47821</v>
      </c>
      <c r="J8" s="2258">
        <v>1212</v>
      </c>
      <c r="K8" s="2259">
        <v>2.5345043914680052</v>
      </c>
    </row>
    <row r="9" spans="1:11" ht="18.75" customHeight="1">
      <c r="A9" s="2380" t="s">
        <v>359</v>
      </c>
      <c r="B9" s="2401">
        <v>4256064</v>
      </c>
      <c r="C9" s="2402">
        <v>22437</v>
      </c>
      <c r="D9" s="2403">
        <v>8.5767365053153064</v>
      </c>
      <c r="E9" s="2404">
        <v>539.06477774960092</v>
      </c>
      <c r="F9" s="2405">
        <v>142412</v>
      </c>
      <c r="G9" s="2258">
        <v>11913</v>
      </c>
      <c r="H9" s="2257">
        <f t="shared" si="0"/>
        <v>8.3651658568098206</v>
      </c>
      <c r="I9" s="2406">
        <v>45794</v>
      </c>
      <c r="J9" s="2258">
        <v>1181</v>
      </c>
      <c r="K9" s="2259">
        <v>2.5789404725509892</v>
      </c>
    </row>
    <row r="10" spans="1:11" ht="18.75" customHeight="1">
      <c r="A10" s="2380" t="s">
        <v>360</v>
      </c>
      <c r="B10" s="2401">
        <v>4458252</v>
      </c>
      <c r="C10" s="2402">
        <v>22256</v>
      </c>
      <c r="D10" s="2403">
        <v>8.2645119125423321</v>
      </c>
      <c r="E10" s="2404">
        <v>510.79166741256569</v>
      </c>
      <c r="F10" s="2405">
        <v>137401</v>
      </c>
      <c r="G10" s="2258">
        <v>13071</v>
      </c>
      <c r="H10" s="2257">
        <f t="shared" si="0"/>
        <v>9.5130312006462834</v>
      </c>
      <c r="I10" s="2406">
        <v>47301</v>
      </c>
      <c r="J10" s="2258">
        <v>1574</v>
      </c>
      <c r="K10" s="2259">
        <v>3.3276252087693705</v>
      </c>
    </row>
    <row r="11" spans="1:11" ht="18.75" customHeight="1">
      <c r="A11" s="2380" t="s">
        <v>361</v>
      </c>
      <c r="B11" s="2401">
        <v>4660179</v>
      </c>
      <c r="C11" s="2402">
        <v>23060</v>
      </c>
      <c r="D11" s="2403">
        <v>8.4545119125423298</v>
      </c>
      <c r="E11" s="2404">
        <v>505.79166741256603</v>
      </c>
      <c r="F11" s="2405">
        <v>129680</v>
      </c>
      <c r="G11" s="2258">
        <v>13078</v>
      </c>
      <c r="H11" s="2257">
        <f t="shared" si="0"/>
        <v>10.084824182603331</v>
      </c>
      <c r="I11" s="2406">
        <v>51053</v>
      </c>
      <c r="J11" s="2258">
        <v>1591</v>
      </c>
      <c r="K11" s="2259">
        <v>3.1163692633145947</v>
      </c>
    </row>
    <row r="12" spans="1:11" ht="18.75" customHeight="1">
      <c r="A12" s="2380" t="s">
        <v>362</v>
      </c>
      <c r="B12" s="2401">
        <v>4849818</v>
      </c>
      <c r="C12" s="2402">
        <v>25344</v>
      </c>
      <c r="D12" s="2403">
        <v>8.8216252340800008</v>
      </c>
      <c r="E12" s="2404">
        <v>532.997013563</v>
      </c>
      <c r="F12" s="2405">
        <v>138080</v>
      </c>
      <c r="G12" s="2258">
        <v>13544</v>
      </c>
      <c r="H12" s="2257">
        <f t="shared" si="0"/>
        <v>9.8088064889918893</v>
      </c>
      <c r="I12" s="2406">
        <v>54078</v>
      </c>
      <c r="J12" s="2258">
        <v>1771</v>
      </c>
      <c r="K12" s="2259">
        <v>3.2748992196456967</v>
      </c>
    </row>
    <row r="13" spans="1:11" ht="18.75" customHeight="1">
      <c r="A13" s="2380" t="s">
        <v>363</v>
      </c>
      <c r="B13" s="2401">
        <v>5053317</v>
      </c>
      <c r="C13" s="2402">
        <v>29622</v>
      </c>
      <c r="D13" s="2403">
        <v>10.157704691999999</v>
      </c>
      <c r="E13" s="2404">
        <v>598.23480140300001</v>
      </c>
      <c r="F13" s="2405">
        <v>136181</v>
      </c>
      <c r="G13" s="2258">
        <v>13325</v>
      </c>
      <c r="H13" s="2257">
        <f t="shared" si="0"/>
        <v>9.7847717376139105</v>
      </c>
      <c r="I13" s="2406">
        <v>56049</v>
      </c>
      <c r="J13" s="2258">
        <v>2015</v>
      </c>
      <c r="K13" s="2259">
        <v>3.5950686006886832</v>
      </c>
    </row>
    <row r="14" spans="1:11" ht="18.75" customHeight="1">
      <c r="A14" s="2380" t="s">
        <v>765</v>
      </c>
      <c r="B14" s="2401">
        <v>5264646</v>
      </c>
      <c r="C14" s="2402">
        <v>28442</v>
      </c>
      <c r="D14" s="2403">
        <v>10.243315662000001</v>
      </c>
      <c r="E14" s="2404">
        <v>551.31037007899999</v>
      </c>
      <c r="F14" s="2408">
        <v>128805</v>
      </c>
      <c r="G14" s="2258">
        <v>13450</v>
      </c>
      <c r="H14" s="2257">
        <f t="shared" si="0"/>
        <v>10.442141221225883</v>
      </c>
      <c r="I14" s="2406">
        <v>54024</v>
      </c>
      <c r="J14" s="2258">
        <v>2350</v>
      </c>
      <c r="K14" s="2382">
        <v>4.3499185547164227</v>
      </c>
    </row>
    <row r="15" spans="1:11" s="2275" customFormat="1" ht="19.5" customHeight="1">
      <c r="A15" s="3992" t="s">
        <v>3630</v>
      </c>
      <c r="B15" s="3993"/>
      <c r="C15" s="3993"/>
      <c r="D15" s="3993"/>
      <c r="E15" s="3993"/>
      <c r="F15" s="3993"/>
      <c r="G15" s="3993"/>
      <c r="H15" s="3994"/>
      <c r="I15" s="3994"/>
      <c r="J15" s="3994"/>
      <c r="K15" s="3994"/>
    </row>
    <row r="16" spans="1:11" s="2277" customFormat="1">
      <c r="A16" s="3995" t="s">
        <v>3631</v>
      </c>
      <c r="B16" s="3996"/>
      <c r="C16" s="3996"/>
      <c r="D16" s="3996"/>
      <c r="E16" s="3996"/>
      <c r="F16" s="3996"/>
      <c r="G16" s="3997"/>
      <c r="H16" s="3997"/>
      <c r="I16" s="2409"/>
      <c r="J16" s="2410"/>
      <c r="K16" s="2410"/>
    </row>
    <row r="17" spans="1:9">
      <c r="A17" s="2275" t="s">
        <v>3632</v>
      </c>
      <c r="B17" s="2411"/>
      <c r="C17" s="2411"/>
      <c r="D17" s="2411"/>
      <c r="E17" s="2411"/>
      <c r="F17" s="2411"/>
      <c r="G17" s="2411"/>
      <c r="H17" s="2411"/>
      <c r="I17" s="2411"/>
    </row>
    <row r="18" spans="1:9">
      <c r="A18" s="2275" t="s">
        <v>3633</v>
      </c>
      <c r="B18" s="2411"/>
      <c r="C18" s="2411"/>
      <c r="D18" s="2411"/>
      <c r="E18" s="2411"/>
      <c r="F18" s="2411"/>
      <c r="G18" s="2411"/>
      <c r="H18" s="2411"/>
      <c r="I18" s="2411"/>
    </row>
    <row r="19" spans="1:9">
      <c r="A19" s="2275" t="s">
        <v>3634</v>
      </c>
    </row>
  </sheetData>
  <mergeCells count="9">
    <mergeCell ref="A15:K15"/>
    <mergeCell ref="A16:H16"/>
    <mergeCell ref="A1:K1"/>
    <mergeCell ref="A2:A4"/>
    <mergeCell ref="B2:B4"/>
    <mergeCell ref="C2:E3"/>
    <mergeCell ref="F2:K2"/>
    <mergeCell ref="F3:H3"/>
    <mergeCell ref="I3:K3"/>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74" firstPageNumber="262" orientation="landscape" r:id="rId1"/>
  <headerFooter differentOddEven="1" scaleWithDoc="0">
    <oddHeader>&amp;L&amp;"Times New Roman,標準"&amp;8 107&amp;"標楷體,標準"年犯罪狀況及其分析</oddHeader>
    <evenHeader>&amp;R&amp;"標楷體,標準"&amp;8第四篇　特定類型犯罪者之犯罪趨勢與處遇</even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U38"/>
  <sheetViews>
    <sheetView showGridLines="0" workbookViewId="0">
      <selection activeCell="G12" sqref="G12"/>
    </sheetView>
  </sheetViews>
  <sheetFormatPr defaultColWidth="9" defaultRowHeight="15"/>
  <cols>
    <col min="1" max="1" width="13.375" style="71" customWidth="1"/>
    <col min="2" max="21" width="8.625" style="71" customWidth="1"/>
    <col min="22" max="16384" width="9" style="71"/>
  </cols>
  <sheetData>
    <row r="1" spans="1:21" s="159" customFormat="1" ht="20.25">
      <c r="A1" s="2923" t="s">
        <v>328</v>
      </c>
      <c r="B1" s="2923"/>
      <c r="C1" s="2923"/>
      <c r="D1" s="2923"/>
      <c r="E1" s="2923"/>
      <c r="F1" s="2923"/>
      <c r="G1" s="2923"/>
      <c r="H1" s="2923"/>
      <c r="I1" s="2923"/>
      <c r="J1" s="2923"/>
      <c r="K1" s="2923"/>
      <c r="L1" s="2923"/>
      <c r="M1" s="2923"/>
      <c r="N1" s="2923"/>
      <c r="O1" s="2923"/>
      <c r="P1" s="2923"/>
      <c r="Q1" s="2923"/>
      <c r="R1" s="2923"/>
      <c r="S1" s="2923"/>
      <c r="T1" s="2923"/>
      <c r="U1" s="2923"/>
    </row>
    <row r="2" spans="1:21" s="159" customFormat="1" ht="18" customHeight="1">
      <c r="A2" s="2918"/>
      <c r="B2" s="2920" t="s">
        <v>7</v>
      </c>
      <c r="C2" s="2917"/>
      <c r="D2" s="2916" t="s">
        <v>8</v>
      </c>
      <c r="E2" s="2917"/>
      <c r="F2" s="2916" t="s">
        <v>9</v>
      </c>
      <c r="G2" s="2917"/>
      <c r="H2" s="2916" t="s">
        <v>10</v>
      </c>
      <c r="I2" s="2917"/>
      <c r="J2" s="2916" t="s">
        <v>11</v>
      </c>
      <c r="K2" s="2917"/>
      <c r="L2" s="2916" t="s">
        <v>12</v>
      </c>
      <c r="M2" s="2917"/>
      <c r="N2" s="2916" t="s">
        <v>13</v>
      </c>
      <c r="O2" s="2917"/>
      <c r="P2" s="2916" t="s">
        <v>14</v>
      </c>
      <c r="Q2" s="2917"/>
      <c r="R2" s="2916" t="s">
        <v>15</v>
      </c>
      <c r="S2" s="2917"/>
      <c r="T2" s="2916" t="s">
        <v>16</v>
      </c>
      <c r="U2" s="2920"/>
    </row>
    <row r="3" spans="1:21" s="159" customFormat="1" ht="18" customHeight="1">
      <c r="A3" s="2919"/>
      <c r="B3" s="363" t="s">
        <v>329</v>
      </c>
      <c r="C3" s="160" t="s">
        <v>330</v>
      </c>
      <c r="D3" s="161" t="s">
        <v>329</v>
      </c>
      <c r="E3" s="160" t="s">
        <v>330</v>
      </c>
      <c r="F3" s="161" t="s">
        <v>329</v>
      </c>
      <c r="G3" s="160" t="s">
        <v>330</v>
      </c>
      <c r="H3" s="161" t="s">
        <v>329</v>
      </c>
      <c r="I3" s="160" t="s">
        <v>330</v>
      </c>
      <c r="J3" s="161" t="s">
        <v>329</v>
      </c>
      <c r="K3" s="160" t="s">
        <v>330</v>
      </c>
      <c r="L3" s="161" t="s">
        <v>329</v>
      </c>
      <c r="M3" s="160" t="s">
        <v>330</v>
      </c>
      <c r="N3" s="161" t="s">
        <v>329</v>
      </c>
      <c r="O3" s="312" t="s">
        <v>330</v>
      </c>
      <c r="P3" s="161" t="s">
        <v>329</v>
      </c>
      <c r="Q3" s="312" t="s">
        <v>330</v>
      </c>
      <c r="R3" s="161" t="s">
        <v>329</v>
      </c>
      <c r="S3" s="312" t="s">
        <v>330</v>
      </c>
      <c r="T3" s="161" t="s">
        <v>329</v>
      </c>
      <c r="U3" s="312" t="s">
        <v>330</v>
      </c>
    </row>
    <row r="4" spans="1:21" s="159" customFormat="1" ht="18" customHeight="1">
      <c r="A4" s="246" t="s">
        <v>331</v>
      </c>
      <c r="B4" s="162">
        <v>1749</v>
      </c>
      <c r="C4" s="163">
        <v>14434</v>
      </c>
      <c r="D4" s="164">
        <v>1885</v>
      </c>
      <c r="E4" s="163">
        <v>12826</v>
      </c>
      <c r="F4" s="164">
        <v>1729</v>
      </c>
      <c r="G4" s="163">
        <v>11574</v>
      </c>
      <c r="H4" s="164">
        <v>1576</v>
      </c>
      <c r="I4" s="163">
        <v>9044</v>
      </c>
      <c r="J4" s="164">
        <v>1413</v>
      </c>
      <c r="K4" s="165">
        <f>SUM(K5:K6)</f>
        <v>7886</v>
      </c>
      <c r="L4" s="164">
        <v>1610</v>
      </c>
      <c r="M4" s="165">
        <v>8841</v>
      </c>
      <c r="N4" s="164">
        <v>1564</v>
      </c>
      <c r="O4" s="165">
        <v>9234</v>
      </c>
      <c r="P4" s="164">
        <v>1708</v>
      </c>
      <c r="Q4" s="166">
        <v>8879</v>
      </c>
      <c r="R4" s="164">
        <v>1939</v>
      </c>
      <c r="S4" s="166">
        <v>9284</v>
      </c>
      <c r="T4" s="321">
        <v>1665</v>
      </c>
      <c r="U4" s="322">
        <v>8071</v>
      </c>
    </row>
    <row r="5" spans="1:21" s="159" customFormat="1" ht="18" customHeight="1">
      <c r="A5" s="247" t="s">
        <v>173</v>
      </c>
      <c r="B5" s="162">
        <v>1435</v>
      </c>
      <c r="C5" s="163">
        <v>12341</v>
      </c>
      <c r="D5" s="164">
        <v>1527</v>
      </c>
      <c r="E5" s="163">
        <v>11068</v>
      </c>
      <c r="F5" s="164">
        <v>1432</v>
      </c>
      <c r="G5" s="163">
        <v>10028</v>
      </c>
      <c r="H5" s="164">
        <v>1301</v>
      </c>
      <c r="I5" s="163">
        <v>7835</v>
      </c>
      <c r="J5" s="164">
        <v>1177</v>
      </c>
      <c r="K5" s="165">
        <v>6907</v>
      </c>
      <c r="L5" s="164">
        <v>1319</v>
      </c>
      <c r="M5" s="165">
        <v>7666</v>
      </c>
      <c r="N5" s="164">
        <v>1283</v>
      </c>
      <c r="O5" s="165">
        <v>8030</v>
      </c>
      <c r="P5" s="164">
        <v>1424</v>
      </c>
      <c r="Q5" s="166">
        <v>7693</v>
      </c>
      <c r="R5" s="164">
        <v>1622</v>
      </c>
      <c r="S5" s="166">
        <v>8020</v>
      </c>
      <c r="T5" s="321">
        <v>1407</v>
      </c>
      <c r="U5" s="322">
        <v>6948</v>
      </c>
    </row>
    <row r="6" spans="1:21" s="159" customFormat="1" ht="18" customHeight="1">
      <c r="A6" s="247" t="s">
        <v>229</v>
      </c>
      <c r="B6" s="162">
        <v>314</v>
      </c>
      <c r="C6" s="163">
        <v>2093</v>
      </c>
      <c r="D6" s="164">
        <v>358</v>
      </c>
      <c r="E6" s="163">
        <v>1758</v>
      </c>
      <c r="F6" s="164">
        <v>297</v>
      </c>
      <c r="G6" s="163">
        <v>1546</v>
      </c>
      <c r="H6" s="164">
        <v>275</v>
      </c>
      <c r="I6" s="163">
        <v>1209</v>
      </c>
      <c r="J6" s="164">
        <v>236</v>
      </c>
      <c r="K6" s="165">
        <v>979</v>
      </c>
      <c r="L6" s="164">
        <v>291</v>
      </c>
      <c r="M6" s="165">
        <v>1175</v>
      </c>
      <c r="N6" s="164">
        <v>281</v>
      </c>
      <c r="O6" s="165">
        <v>1204</v>
      </c>
      <c r="P6" s="164">
        <v>284</v>
      </c>
      <c r="Q6" s="166">
        <v>1186</v>
      </c>
      <c r="R6" s="164">
        <v>317</v>
      </c>
      <c r="S6" s="166">
        <v>1264</v>
      </c>
      <c r="T6" s="321">
        <v>258</v>
      </c>
      <c r="U6" s="322">
        <v>1123</v>
      </c>
    </row>
    <row r="7" spans="1:21" s="159" customFormat="1" ht="18" customHeight="1">
      <c r="A7" s="246" t="s">
        <v>332</v>
      </c>
      <c r="B7" s="162">
        <v>0</v>
      </c>
      <c r="C7" s="163">
        <v>0</v>
      </c>
      <c r="D7" s="164">
        <v>0</v>
      </c>
      <c r="E7" s="163">
        <v>0</v>
      </c>
      <c r="F7" s="164">
        <v>0</v>
      </c>
      <c r="G7" s="163">
        <v>0</v>
      </c>
      <c r="H7" s="164">
        <v>0</v>
      </c>
      <c r="I7" s="163">
        <v>0</v>
      </c>
      <c r="J7" s="164">
        <v>0</v>
      </c>
      <c r="K7" s="163">
        <v>0</v>
      </c>
      <c r="L7" s="164">
        <v>0</v>
      </c>
      <c r="M7" s="163">
        <v>0</v>
      </c>
      <c r="N7" s="164">
        <v>0</v>
      </c>
      <c r="O7" s="163">
        <v>0</v>
      </c>
      <c r="P7" s="164">
        <v>0</v>
      </c>
      <c r="Q7" s="166">
        <v>0</v>
      </c>
      <c r="R7" s="164">
        <v>0</v>
      </c>
      <c r="S7" s="166">
        <v>0</v>
      </c>
      <c r="T7" s="321">
        <v>0</v>
      </c>
      <c r="U7" s="322">
        <v>0</v>
      </c>
    </row>
    <row r="8" spans="1:21" s="159" customFormat="1" ht="18" customHeight="1">
      <c r="A8" s="246" t="s">
        <v>333</v>
      </c>
      <c r="B8" s="162">
        <v>0</v>
      </c>
      <c r="C8" s="163">
        <v>0</v>
      </c>
      <c r="D8" s="164">
        <v>0</v>
      </c>
      <c r="E8" s="163">
        <v>0</v>
      </c>
      <c r="F8" s="164">
        <v>0</v>
      </c>
      <c r="G8" s="163">
        <v>0</v>
      </c>
      <c r="H8" s="164">
        <v>0</v>
      </c>
      <c r="I8" s="163">
        <v>0</v>
      </c>
      <c r="J8" s="164">
        <v>1</v>
      </c>
      <c r="K8" s="163">
        <v>0</v>
      </c>
      <c r="L8" s="164">
        <v>0</v>
      </c>
      <c r="M8" s="163">
        <v>0</v>
      </c>
      <c r="N8" s="164">
        <v>0</v>
      </c>
      <c r="O8" s="163">
        <v>0</v>
      </c>
      <c r="P8" s="164">
        <v>0</v>
      </c>
      <c r="Q8" s="166">
        <v>0</v>
      </c>
      <c r="R8" s="164">
        <v>0</v>
      </c>
      <c r="S8" s="166">
        <v>0</v>
      </c>
      <c r="T8" s="321">
        <v>0</v>
      </c>
      <c r="U8" s="322">
        <v>2</v>
      </c>
    </row>
    <row r="9" spans="1:21" s="159" customFormat="1" ht="18" customHeight="1">
      <c r="A9" s="246" t="s">
        <v>334</v>
      </c>
      <c r="B9" s="162">
        <v>6</v>
      </c>
      <c r="C9" s="163">
        <v>24</v>
      </c>
      <c r="D9" s="164">
        <v>11</v>
      </c>
      <c r="E9" s="163">
        <v>33</v>
      </c>
      <c r="F9" s="164">
        <v>12</v>
      </c>
      <c r="G9" s="163">
        <v>10</v>
      </c>
      <c r="H9" s="164">
        <v>2</v>
      </c>
      <c r="I9" s="163">
        <v>8</v>
      </c>
      <c r="J9" s="164">
        <v>2</v>
      </c>
      <c r="K9" s="163">
        <v>15</v>
      </c>
      <c r="L9" s="164">
        <v>14</v>
      </c>
      <c r="M9" s="163">
        <v>18</v>
      </c>
      <c r="N9" s="164">
        <v>4</v>
      </c>
      <c r="O9" s="163">
        <v>15</v>
      </c>
      <c r="P9" s="164">
        <v>6</v>
      </c>
      <c r="Q9" s="166">
        <v>8</v>
      </c>
      <c r="R9" s="164">
        <v>2</v>
      </c>
      <c r="S9" s="166">
        <v>9</v>
      </c>
      <c r="T9" s="321">
        <v>3</v>
      </c>
      <c r="U9" s="322">
        <v>3</v>
      </c>
    </row>
    <row r="10" spans="1:21" s="159" customFormat="1" ht="18" customHeight="1">
      <c r="A10" s="246" t="s">
        <v>335</v>
      </c>
      <c r="B10" s="162">
        <v>95</v>
      </c>
      <c r="C10" s="163">
        <v>412</v>
      </c>
      <c r="D10" s="164">
        <v>69</v>
      </c>
      <c r="E10" s="163">
        <v>303</v>
      </c>
      <c r="F10" s="164">
        <v>69</v>
      </c>
      <c r="G10" s="163">
        <v>216</v>
      </c>
      <c r="H10" s="164">
        <v>46</v>
      </c>
      <c r="I10" s="163">
        <v>166</v>
      </c>
      <c r="J10" s="164">
        <v>39</v>
      </c>
      <c r="K10" s="163">
        <v>115</v>
      </c>
      <c r="L10" s="164">
        <v>68</v>
      </c>
      <c r="M10" s="163">
        <v>175</v>
      </c>
      <c r="N10" s="164">
        <v>40</v>
      </c>
      <c r="O10" s="163">
        <v>106</v>
      </c>
      <c r="P10" s="164">
        <v>44</v>
      </c>
      <c r="Q10" s="166">
        <v>107</v>
      </c>
      <c r="R10" s="164">
        <v>48</v>
      </c>
      <c r="S10" s="166">
        <v>90</v>
      </c>
      <c r="T10" s="321">
        <v>23</v>
      </c>
      <c r="U10" s="322">
        <v>56</v>
      </c>
    </row>
    <row r="11" spans="1:21" s="159" customFormat="1" ht="18" customHeight="1">
      <c r="A11" s="246" t="s">
        <v>336</v>
      </c>
      <c r="B11" s="162">
        <v>301</v>
      </c>
      <c r="C11" s="163">
        <v>2339</v>
      </c>
      <c r="D11" s="164">
        <v>267</v>
      </c>
      <c r="E11" s="163">
        <v>1661</v>
      </c>
      <c r="F11" s="164">
        <v>196</v>
      </c>
      <c r="G11" s="163">
        <v>1200</v>
      </c>
      <c r="H11" s="164">
        <v>120</v>
      </c>
      <c r="I11" s="163">
        <v>692</v>
      </c>
      <c r="J11" s="164">
        <v>102</v>
      </c>
      <c r="K11" s="163">
        <v>471</v>
      </c>
      <c r="L11" s="164">
        <v>118</v>
      </c>
      <c r="M11" s="163">
        <v>425</v>
      </c>
      <c r="N11" s="164">
        <v>74</v>
      </c>
      <c r="O11" s="163">
        <v>323</v>
      </c>
      <c r="P11" s="164">
        <v>80</v>
      </c>
      <c r="Q11" s="166">
        <v>292</v>
      </c>
      <c r="R11" s="164">
        <v>82</v>
      </c>
      <c r="S11" s="166">
        <v>299</v>
      </c>
      <c r="T11" s="321">
        <v>80</v>
      </c>
      <c r="U11" s="322">
        <v>218</v>
      </c>
    </row>
    <row r="12" spans="1:21" s="159" customFormat="1" ht="18" customHeight="1">
      <c r="A12" s="246" t="s">
        <v>337</v>
      </c>
      <c r="B12" s="162">
        <v>765</v>
      </c>
      <c r="C12" s="163">
        <v>6829</v>
      </c>
      <c r="D12" s="164">
        <v>865</v>
      </c>
      <c r="E12" s="163">
        <v>6127</v>
      </c>
      <c r="F12" s="164">
        <v>776</v>
      </c>
      <c r="G12" s="163">
        <v>5527</v>
      </c>
      <c r="H12" s="164">
        <v>722</v>
      </c>
      <c r="I12" s="163">
        <v>4299</v>
      </c>
      <c r="J12" s="164">
        <v>635</v>
      </c>
      <c r="K12" s="163">
        <v>3745</v>
      </c>
      <c r="L12" s="164">
        <v>690</v>
      </c>
      <c r="M12" s="163">
        <v>3904</v>
      </c>
      <c r="N12" s="164">
        <v>716</v>
      </c>
      <c r="O12" s="163">
        <v>3836</v>
      </c>
      <c r="P12" s="164">
        <v>590</v>
      </c>
      <c r="Q12" s="166">
        <v>3238</v>
      </c>
      <c r="R12" s="164">
        <v>577</v>
      </c>
      <c r="S12" s="166">
        <v>2828</v>
      </c>
      <c r="T12" s="321">
        <v>452</v>
      </c>
      <c r="U12" s="322">
        <v>2018</v>
      </c>
    </row>
    <row r="13" spans="1:21" s="159" customFormat="1" ht="18" customHeight="1">
      <c r="A13" s="246" t="s">
        <v>338</v>
      </c>
      <c r="B13" s="162">
        <v>426</v>
      </c>
      <c r="C13" s="163">
        <v>3717</v>
      </c>
      <c r="D13" s="164">
        <v>504</v>
      </c>
      <c r="E13" s="163">
        <v>3578</v>
      </c>
      <c r="F13" s="164">
        <v>453</v>
      </c>
      <c r="G13" s="163">
        <v>3409</v>
      </c>
      <c r="H13" s="164">
        <v>493</v>
      </c>
      <c r="I13" s="163">
        <v>2857</v>
      </c>
      <c r="J13" s="164">
        <v>434</v>
      </c>
      <c r="K13" s="163">
        <v>2529</v>
      </c>
      <c r="L13" s="164">
        <v>480</v>
      </c>
      <c r="M13" s="163">
        <v>3077</v>
      </c>
      <c r="N13" s="164">
        <v>488</v>
      </c>
      <c r="O13" s="163">
        <v>3482</v>
      </c>
      <c r="P13" s="164">
        <v>662</v>
      </c>
      <c r="Q13" s="166">
        <v>3580</v>
      </c>
      <c r="R13" s="164">
        <v>775</v>
      </c>
      <c r="S13" s="166">
        <v>4129</v>
      </c>
      <c r="T13" s="321">
        <v>676</v>
      </c>
      <c r="U13" s="322">
        <v>3839</v>
      </c>
    </row>
    <row r="14" spans="1:21" s="159" customFormat="1" ht="18" customHeight="1">
      <c r="A14" s="246" t="s">
        <v>339</v>
      </c>
      <c r="B14" s="162">
        <v>137</v>
      </c>
      <c r="C14" s="163">
        <v>994</v>
      </c>
      <c r="D14" s="164">
        <v>151</v>
      </c>
      <c r="E14" s="163">
        <v>999</v>
      </c>
      <c r="F14" s="164">
        <v>189</v>
      </c>
      <c r="G14" s="163">
        <v>1037</v>
      </c>
      <c r="H14" s="164">
        <v>166</v>
      </c>
      <c r="I14" s="163">
        <v>895</v>
      </c>
      <c r="J14" s="164">
        <v>180</v>
      </c>
      <c r="K14" s="163">
        <v>899</v>
      </c>
      <c r="L14" s="164">
        <v>209</v>
      </c>
      <c r="M14" s="163">
        <v>1072</v>
      </c>
      <c r="N14" s="164">
        <v>204</v>
      </c>
      <c r="O14" s="163">
        <v>1252</v>
      </c>
      <c r="P14" s="164">
        <v>262</v>
      </c>
      <c r="Q14" s="166">
        <v>1388</v>
      </c>
      <c r="R14" s="164">
        <v>363</v>
      </c>
      <c r="S14" s="166">
        <v>1626</v>
      </c>
      <c r="T14" s="321">
        <v>332</v>
      </c>
      <c r="U14" s="322">
        <v>1626</v>
      </c>
    </row>
    <row r="15" spans="1:21" s="159" customFormat="1" ht="18" customHeight="1">
      <c r="A15" s="246" t="s">
        <v>340</v>
      </c>
      <c r="B15" s="162">
        <v>15</v>
      </c>
      <c r="C15" s="163">
        <v>78</v>
      </c>
      <c r="D15" s="164">
        <v>13</v>
      </c>
      <c r="E15" s="163">
        <v>83</v>
      </c>
      <c r="F15" s="164">
        <v>16</v>
      </c>
      <c r="G15" s="163">
        <v>97</v>
      </c>
      <c r="H15" s="164">
        <v>19</v>
      </c>
      <c r="I15" s="163">
        <v>91</v>
      </c>
      <c r="J15" s="164">
        <v>17</v>
      </c>
      <c r="K15" s="163">
        <v>88</v>
      </c>
      <c r="L15" s="164">
        <v>26</v>
      </c>
      <c r="M15" s="163">
        <v>136</v>
      </c>
      <c r="N15" s="164">
        <v>34</v>
      </c>
      <c r="O15" s="163">
        <v>166</v>
      </c>
      <c r="P15" s="164">
        <v>51</v>
      </c>
      <c r="Q15" s="166">
        <v>199</v>
      </c>
      <c r="R15" s="164">
        <v>64</v>
      </c>
      <c r="S15" s="166">
        <v>222</v>
      </c>
      <c r="T15" s="321">
        <v>65</v>
      </c>
      <c r="U15" s="322">
        <v>227</v>
      </c>
    </row>
    <row r="16" spans="1:21" s="159" customFormat="1" ht="18" customHeight="1">
      <c r="A16" s="246" t="s">
        <v>341</v>
      </c>
      <c r="B16" s="162">
        <v>3</v>
      </c>
      <c r="C16" s="163">
        <v>26</v>
      </c>
      <c r="D16" s="164">
        <v>4</v>
      </c>
      <c r="E16" s="163">
        <v>20</v>
      </c>
      <c r="F16" s="164">
        <v>7</v>
      </c>
      <c r="G16" s="163">
        <v>21</v>
      </c>
      <c r="H16" s="164">
        <v>5</v>
      </c>
      <c r="I16" s="163">
        <v>24</v>
      </c>
      <c r="J16" s="164">
        <v>3</v>
      </c>
      <c r="K16" s="163">
        <v>15</v>
      </c>
      <c r="L16" s="164">
        <v>4</v>
      </c>
      <c r="M16" s="163">
        <v>25</v>
      </c>
      <c r="N16" s="164">
        <v>1</v>
      </c>
      <c r="O16" s="163">
        <v>38</v>
      </c>
      <c r="P16" s="164">
        <v>12</v>
      </c>
      <c r="Q16" s="166">
        <v>56</v>
      </c>
      <c r="R16" s="164">
        <v>20</v>
      </c>
      <c r="S16" s="166">
        <v>69</v>
      </c>
      <c r="T16" s="321">
        <v>20</v>
      </c>
      <c r="U16" s="322">
        <v>68</v>
      </c>
    </row>
    <row r="17" spans="1:21" s="159" customFormat="1" ht="18" customHeight="1">
      <c r="A17" s="246" t="s">
        <v>342</v>
      </c>
      <c r="B17" s="162">
        <v>1</v>
      </c>
      <c r="C17" s="163">
        <v>15</v>
      </c>
      <c r="D17" s="164">
        <v>1</v>
      </c>
      <c r="E17" s="163">
        <v>22</v>
      </c>
      <c r="F17" s="164">
        <v>11</v>
      </c>
      <c r="G17" s="163">
        <v>57</v>
      </c>
      <c r="H17" s="164">
        <v>3</v>
      </c>
      <c r="I17" s="163">
        <v>10</v>
      </c>
      <c r="J17" s="164">
        <v>0</v>
      </c>
      <c r="K17" s="163">
        <v>9</v>
      </c>
      <c r="L17" s="164">
        <v>1</v>
      </c>
      <c r="M17" s="163">
        <v>9</v>
      </c>
      <c r="N17" s="164">
        <v>3</v>
      </c>
      <c r="O17" s="163">
        <v>15</v>
      </c>
      <c r="P17" s="164">
        <v>1</v>
      </c>
      <c r="Q17" s="166">
        <v>11</v>
      </c>
      <c r="R17" s="164">
        <v>8</v>
      </c>
      <c r="S17" s="166">
        <v>12</v>
      </c>
      <c r="T17" s="321">
        <v>14</v>
      </c>
      <c r="U17" s="322">
        <v>14</v>
      </c>
    </row>
    <row r="18" spans="1:21" s="159" customFormat="1" ht="18" customHeight="1">
      <c r="A18" s="248" t="s">
        <v>343</v>
      </c>
      <c r="B18" s="175">
        <v>0</v>
      </c>
      <c r="C18" s="176">
        <v>0</v>
      </c>
      <c r="D18" s="177">
        <v>0</v>
      </c>
      <c r="E18" s="176">
        <v>0</v>
      </c>
      <c r="F18" s="177">
        <v>0</v>
      </c>
      <c r="G18" s="176">
        <v>0</v>
      </c>
      <c r="H18" s="177">
        <v>0</v>
      </c>
      <c r="I18" s="176">
        <v>2</v>
      </c>
      <c r="J18" s="177">
        <v>0</v>
      </c>
      <c r="K18" s="176">
        <v>0</v>
      </c>
      <c r="L18" s="177">
        <v>0</v>
      </c>
      <c r="M18" s="176">
        <v>0</v>
      </c>
      <c r="N18" s="177">
        <v>0</v>
      </c>
      <c r="O18" s="176">
        <v>1</v>
      </c>
      <c r="P18" s="177">
        <v>0</v>
      </c>
      <c r="Q18" s="178">
        <v>0</v>
      </c>
      <c r="R18" s="177">
        <v>0</v>
      </c>
      <c r="S18" s="178">
        <v>0</v>
      </c>
      <c r="T18" s="323">
        <v>0</v>
      </c>
      <c r="U18" s="324">
        <v>0</v>
      </c>
    </row>
    <row r="19" spans="1:21" s="159" customFormat="1" ht="15.75">
      <c r="A19" s="2921" t="s">
        <v>344</v>
      </c>
      <c r="B19" s="2921"/>
      <c r="C19" s="2921"/>
      <c r="D19" s="2921"/>
      <c r="Q19" s="155"/>
      <c r="R19" s="155"/>
    </row>
    <row r="20" spans="1:21" ht="20.25">
      <c r="A20" s="2924" t="s">
        <v>345</v>
      </c>
      <c r="B20" s="2924"/>
      <c r="C20" s="2924"/>
      <c r="D20" s="2924"/>
      <c r="E20" s="2924"/>
      <c r="F20" s="2924"/>
      <c r="G20" s="2924"/>
      <c r="H20" s="2924"/>
      <c r="I20" s="2924"/>
      <c r="J20" s="2924"/>
      <c r="K20" s="2924"/>
      <c r="L20" s="2924"/>
      <c r="M20" s="2924"/>
      <c r="N20" s="2924"/>
      <c r="O20" s="2924"/>
      <c r="P20" s="2924"/>
      <c r="Q20" s="2924"/>
      <c r="R20" s="2924"/>
      <c r="S20" s="2924"/>
      <c r="T20" s="2924"/>
      <c r="U20" s="2924"/>
    </row>
    <row r="21" spans="1:21" ht="18" customHeight="1">
      <c r="A21" s="2925"/>
      <c r="B21" s="2910" t="s">
        <v>7</v>
      </c>
      <c r="C21" s="2910"/>
      <c r="D21" s="2909" t="s">
        <v>8</v>
      </c>
      <c r="E21" s="2910"/>
      <c r="F21" s="2909" t="s">
        <v>9</v>
      </c>
      <c r="G21" s="2910"/>
      <c r="H21" s="2909" t="s">
        <v>10</v>
      </c>
      <c r="I21" s="2910"/>
      <c r="J21" s="2909" t="s">
        <v>11</v>
      </c>
      <c r="K21" s="2910"/>
      <c r="L21" s="2909" t="s">
        <v>12</v>
      </c>
      <c r="M21" s="2910"/>
      <c r="N21" s="2927" t="s">
        <v>13</v>
      </c>
      <c r="O21" s="2914"/>
      <c r="P21" s="2909" t="s">
        <v>14</v>
      </c>
      <c r="Q21" s="2910"/>
      <c r="R21" s="2909" t="s">
        <v>15</v>
      </c>
      <c r="S21" s="2910"/>
      <c r="T21" s="2916" t="s">
        <v>16</v>
      </c>
      <c r="U21" s="2920"/>
    </row>
    <row r="22" spans="1:21" ht="18" customHeight="1">
      <c r="A22" s="2926"/>
      <c r="B22" s="360" t="s">
        <v>329</v>
      </c>
      <c r="C22" s="311" t="s">
        <v>330</v>
      </c>
      <c r="D22" s="26" t="s">
        <v>329</v>
      </c>
      <c r="E22" s="311" t="s">
        <v>330</v>
      </c>
      <c r="F22" s="26" t="s">
        <v>329</v>
      </c>
      <c r="G22" s="311" t="s">
        <v>330</v>
      </c>
      <c r="H22" s="26" t="s">
        <v>329</v>
      </c>
      <c r="I22" s="311" t="s">
        <v>330</v>
      </c>
      <c r="J22" s="26" t="s">
        <v>329</v>
      </c>
      <c r="K22" s="311" t="s">
        <v>330</v>
      </c>
      <c r="L22" s="26" t="s">
        <v>329</v>
      </c>
      <c r="M22" s="311" t="s">
        <v>330</v>
      </c>
      <c r="N22" s="26" t="s">
        <v>329</v>
      </c>
      <c r="O22" s="310" t="s">
        <v>330</v>
      </c>
      <c r="P22" s="26" t="s">
        <v>329</v>
      </c>
      <c r="Q22" s="310" t="s">
        <v>330</v>
      </c>
      <c r="R22" s="26" t="s">
        <v>329</v>
      </c>
      <c r="S22" s="310" t="s">
        <v>330</v>
      </c>
      <c r="T22" s="161" t="s">
        <v>329</v>
      </c>
      <c r="U22" s="312" t="s">
        <v>330</v>
      </c>
    </row>
    <row r="23" spans="1:21" ht="18" customHeight="1">
      <c r="A23" s="290" t="s">
        <v>331</v>
      </c>
      <c r="B23" s="76">
        <v>1808</v>
      </c>
      <c r="C23" s="75">
        <v>22122</v>
      </c>
      <c r="D23" s="76">
        <v>1995</v>
      </c>
      <c r="E23" s="75">
        <v>21158</v>
      </c>
      <c r="F23" s="76">
        <v>2076</v>
      </c>
      <c r="G23" s="75">
        <v>19823</v>
      </c>
      <c r="H23" s="76">
        <v>1989</v>
      </c>
      <c r="I23" s="75">
        <v>18109</v>
      </c>
      <c r="J23" s="96">
        <f>SUM(J24:J25)</f>
        <v>1824</v>
      </c>
      <c r="K23" s="77">
        <f>SUM(K24:K25)</f>
        <v>17523</v>
      </c>
      <c r="L23" s="76">
        <v>2185</v>
      </c>
      <c r="M23" s="78">
        <v>23075</v>
      </c>
      <c r="N23" s="76">
        <v>2678</v>
      </c>
      <c r="O23" s="75">
        <v>26675</v>
      </c>
      <c r="P23" s="84">
        <f>SUM(P26:P37)</f>
        <v>3618</v>
      </c>
      <c r="Q23" s="85">
        <f>SUM(Q26:Q37)</f>
        <v>28455</v>
      </c>
      <c r="R23" s="164">
        <v>4038</v>
      </c>
      <c r="S23" s="166">
        <v>25947</v>
      </c>
      <c r="T23" s="325">
        <f t="shared" ref="T23:U23" si="0">SUM(T26:T37)</f>
        <v>3804</v>
      </c>
      <c r="U23" s="326">
        <f t="shared" si="0"/>
        <v>20485</v>
      </c>
    </row>
    <row r="24" spans="1:21" ht="18" customHeight="1">
      <c r="A24" s="247" t="s">
        <v>173</v>
      </c>
      <c r="B24" s="76">
        <v>1575</v>
      </c>
      <c r="C24" s="75">
        <v>18505</v>
      </c>
      <c r="D24" s="76">
        <v>1692</v>
      </c>
      <c r="E24" s="75">
        <v>17669</v>
      </c>
      <c r="F24" s="76">
        <v>1762</v>
      </c>
      <c r="G24" s="75">
        <v>16526</v>
      </c>
      <c r="H24" s="76">
        <v>1693</v>
      </c>
      <c r="I24" s="75">
        <v>15140</v>
      </c>
      <c r="J24" s="96">
        <v>1576</v>
      </c>
      <c r="K24" s="77">
        <v>15012</v>
      </c>
      <c r="L24" s="76">
        <v>1923</v>
      </c>
      <c r="M24" s="78">
        <v>19772</v>
      </c>
      <c r="N24" s="76">
        <v>2321</v>
      </c>
      <c r="O24" s="75">
        <v>22987</v>
      </c>
      <c r="P24" s="84">
        <v>3167</v>
      </c>
      <c r="Q24" s="85">
        <v>24464</v>
      </c>
      <c r="R24" s="164">
        <v>3501</v>
      </c>
      <c r="S24" s="166">
        <v>22367</v>
      </c>
      <c r="T24" s="325">
        <v>3312</v>
      </c>
      <c r="U24" s="326">
        <v>17459</v>
      </c>
    </row>
    <row r="25" spans="1:21" ht="18" customHeight="1">
      <c r="A25" s="247" t="s">
        <v>229</v>
      </c>
      <c r="B25" s="76">
        <v>233</v>
      </c>
      <c r="C25" s="75">
        <v>3617</v>
      </c>
      <c r="D25" s="76">
        <v>303</v>
      </c>
      <c r="E25" s="75">
        <v>3489</v>
      </c>
      <c r="F25" s="76">
        <v>314</v>
      </c>
      <c r="G25" s="75">
        <v>3297</v>
      </c>
      <c r="H25" s="76">
        <v>296</v>
      </c>
      <c r="I25" s="75">
        <v>2969</v>
      </c>
      <c r="J25" s="96">
        <v>248</v>
      </c>
      <c r="K25" s="77">
        <v>2511</v>
      </c>
      <c r="L25" s="76">
        <v>262</v>
      </c>
      <c r="M25" s="78">
        <v>3303</v>
      </c>
      <c r="N25" s="76">
        <v>357</v>
      </c>
      <c r="O25" s="75">
        <v>3688</v>
      </c>
      <c r="P25" s="84">
        <v>451</v>
      </c>
      <c r="Q25" s="85">
        <v>3991</v>
      </c>
      <c r="R25" s="164">
        <v>537</v>
      </c>
      <c r="S25" s="166">
        <v>3580</v>
      </c>
      <c r="T25" s="325">
        <v>492</v>
      </c>
      <c r="U25" s="326">
        <v>3026</v>
      </c>
    </row>
    <row r="26" spans="1:21" ht="18" customHeight="1">
      <c r="A26" s="246" t="s">
        <v>332</v>
      </c>
      <c r="B26" s="76">
        <v>0</v>
      </c>
      <c r="C26" s="75">
        <v>0</v>
      </c>
      <c r="D26" s="76">
        <v>0</v>
      </c>
      <c r="E26" s="75">
        <v>0</v>
      </c>
      <c r="F26" s="76">
        <v>0</v>
      </c>
      <c r="G26" s="75">
        <v>0</v>
      </c>
      <c r="H26" s="76">
        <v>0</v>
      </c>
      <c r="I26" s="75">
        <v>0</v>
      </c>
      <c r="J26" s="76">
        <v>0</v>
      </c>
      <c r="K26" s="75">
        <v>0</v>
      </c>
      <c r="L26" s="76">
        <v>0</v>
      </c>
      <c r="M26" s="78">
        <v>0</v>
      </c>
      <c r="N26" s="76">
        <v>0</v>
      </c>
      <c r="O26" s="75">
        <v>0</v>
      </c>
      <c r="P26" s="84">
        <v>0</v>
      </c>
      <c r="Q26" s="85">
        <v>0</v>
      </c>
      <c r="R26" s="164">
        <v>0</v>
      </c>
      <c r="S26" s="166">
        <v>0</v>
      </c>
      <c r="T26" s="325">
        <v>0</v>
      </c>
      <c r="U26" s="326">
        <v>0</v>
      </c>
    </row>
    <row r="27" spans="1:21" ht="18" customHeight="1">
      <c r="A27" s="246" t="s">
        <v>333</v>
      </c>
      <c r="B27" s="76">
        <v>0</v>
      </c>
      <c r="C27" s="75">
        <v>0</v>
      </c>
      <c r="D27" s="76">
        <v>0</v>
      </c>
      <c r="E27" s="75">
        <v>0</v>
      </c>
      <c r="F27" s="76">
        <v>0</v>
      </c>
      <c r="G27" s="75">
        <v>1</v>
      </c>
      <c r="H27" s="76">
        <v>0</v>
      </c>
      <c r="I27" s="75">
        <v>1</v>
      </c>
      <c r="J27" s="76">
        <v>0</v>
      </c>
      <c r="K27" s="75">
        <v>2</v>
      </c>
      <c r="L27" s="76">
        <v>0</v>
      </c>
      <c r="M27" s="78">
        <v>1</v>
      </c>
      <c r="N27" s="76">
        <v>0</v>
      </c>
      <c r="O27" s="75">
        <v>0</v>
      </c>
      <c r="P27" s="84">
        <v>0</v>
      </c>
      <c r="Q27" s="85">
        <v>0</v>
      </c>
      <c r="R27" s="164">
        <v>0</v>
      </c>
      <c r="S27" s="166">
        <v>2</v>
      </c>
      <c r="T27" s="325">
        <v>0</v>
      </c>
      <c r="U27" s="326">
        <v>1</v>
      </c>
    </row>
    <row r="28" spans="1:21" ht="18" customHeight="1">
      <c r="A28" s="246" t="s">
        <v>334</v>
      </c>
      <c r="B28" s="76">
        <v>82</v>
      </c>
      <c r="C28" s="75">
        <v>645</v>
      </c>
      <c r="D28" s="76">
        <v>91</v>
      </c>
      <c r="E28" s="75">
        <v>576</v>
      </c>
      <c r="F28" s="76">
        <v>86</v>
      </c>
      <c r="G28" s="75">
        <v>558</v>
      </c>
      <c r="H28" s="76">
        <v>47</v>
      </c>
      <c r="I28" s="75">
        <v>460</v>
      </c>
      <c r="J28" s="76">
        <v>55</v>
      </c>
      <c r="K28" s="75">
        <v>483</v>
      </c>
      <c r="L28" s="76">
        <v>95</v>
      </c>
      <c r="M28" s="78">
        <v>698</v>
      </c>
      <c r="N28" s="76">
        <v>123</v>
      </c>
      <c r="O28" s="75">
        <v>763</v>
      </c>
      <c r="P28" s="84">
        <v>293</v>
      </c>
      <c r="Q28" s="85">
        <v>474</v>
      </c>
      <c r="R28" s="164">
        <v>104</v>
      </c>
      <c r="S28" s="166">
        <v>197</v>
      </c>
      <c r="T28" s="325">
        <v>175</v>
      </c>
      <c r="U28" s="326">
        <v>163</v>
      </c>
    </row>
    <row r="29" spans="1:21" ht="18" customHeight="1">
      <c r="A29" s="246" t="s">
        <v>335</v>
      </c>
      <c r="B29" s="76">
        <v>371</v>
      </c>
      <c r="C29" s="75">
        <v>3246</v>
      </c>
      <c r="D29" s="76">
        <v>384</v>
      </c>
      <c r="E29" s="75">
        <v>3237</v>
      </c>
      <c r="F29" s="76">
        <v>404</v>
      </c>
      <c r="G29" s="75">
        <v>2961</v>
      </c>
      <c r="H29" s="76">
        <v>436</v>
      </c>
      <c r="I29" s="75">
        <v>2683</v>
      </c>
      <c r="J29" s="76">
        <v>309</v>
      </c>
      <c r="K29" s="75">
        <v>2348</v>
      </c>
      <c r="L29" s="76">
        <v>413</v>
      </c>
      <c r="M29" s="78">
        <v>3422</v>
      </c>
      <c r="N29" s="76">
        <v>503</v>
      </c>
      <c r="O29" s="75">
        <v>3898</v>
      </c>
      <c r="P29" s="84">
        <v>726</v>
      </c>
      <c r="Q29" s="85">
        <v>3649</v>
      </c>
      <c r="R29" s="164">
        <v>649</v>
      </c>
      <c r="S29" s="166">
        <v>2580</v>
      </c>
      <c r="T29" s="325">
        <v>612</v>
      </c>
      <c r="U29" s="326">
        <v>1798</v>
      </c>
    </row>
    <row r="30" spans="1:21" ht="18" customHeight="1">
      <c r="A30" s="246" t="s">
        <v>336</v>
      </c>
      <c r="B30" s="76">
        <v>511</v>
      </c>
      <c r="C30" s="75">
        <v>5182</v>
      </c>
      <c r="D30" s="76">
        <v>441</v>
      </c>
      <c r="E30" s="75">
        <v>4655</v>
      </c>
      <c r="F30" s="76">
        <v>416</v>
      </c>
      <c r="G30" s="75">
        <v>3947</v>
      </c>
      <c r="H30" s="76">
        <v>402</v>
      </c>
      <c r="I30" s="75">
        <v>3517</v>
      </c>
      <c r="J30" s="76">
        <v>331</v>
      </c>
      <c r="K30" s="75">
        <v>2976</v>
      </c>
      <c r="L30" s="76">
        <v>384</v>
      </c>
      <c r="M30" s="78">
        <v>3909</v>
      </c>
      <c r="N30" s="76">
        <v>461</v>
      </c>
      <c r="O30" s="75">
        <v>4617</v>
      </c>
      <c r="P30" s="84">
        <v>617</v>
      </c>
      <c r="Q30" s="85">
        <v>5139</v>
      </c>
      <c r="R30" s="164">
        <v>774</v>
      </c>
      <c r="S30" s="166">
        <v>4643</v>
      </c>
      <c r="T30" s="325">
        <v>725</v>
      </c>
      <c r="U30" s="326">
        <v>3551</v>
      </c>
    </row>
    <row r="31" spans="1:21" ht="18" customHeight="1">
      <c r="A31" s="246" t="s">
        <v>337</v>
      </c>
      <c r="B31" s="76">
        <v>548</v>
      </c>
      <c r="C31" s="75">
        <v>8561</v>
      </c>
      <c r="D31" s="76">
        <v>720</v>
      </c>
      <c r="E31" s="75">
        <v>8356</v>
      </c>
      <c r="F31" s="76">
        <v>753</v>
      </c>
      <c r="G31" s="75">
        <v>7936</v>
      </c>
      <c r="H31" s="76">
        <v>712</v>
      </c>
      <c r="I31" s="75">
        <v>7126</v>
      </c>
      <c r="J31" s="76">
        <v>694</v>
      </c>
      <c r="K31" s="75">
        <v>6921</v>
      </c>
      <c r="L31" s="76">
        <v>810</v>
      </c>
      <c r="M31" s="78">
        <v>8521</v>
      </c>
      <c r="N31" s="76">
        <v>946</v>
      </c>
      <c r="O31" s="75">
        <v>9572</v>
      </c>
      <c r="P31" s="84">
        <v>1056</v>
      </c>
      <c r="Q31" s="85">
        <v>9710</v>
      </c>
      <c r="R31" s="164">
        <v>1299</v>
      </c>
      <c r="S31" s="166">
        <v>8777</v>
      </c>
      <c r="T31" s="325">
        <v>1113</v>
      </c>
      <c r="U31" s="326">
        <v>6713</v>
      </c>
    </row>
    <row r="32" spans="1:21" ht="18" customHeight="1">
      <c r="A32" s="246" t="s">
        <v>338</v>
      </c>
      <c r="B32" s="76">
        <v>214</v>
      </c>
      <c r="C32" s="75">
        <v>3396</v>
      </c>
      <c r="D32" s="76">
        <v>269</v>
      </c>
      <c r="E32" s="75">
        <v>3237</v>
      </c>
      <c r="F32" s="76">
        <v>285</v>
      </c>
      <c r="G32" s="75">
        <v>3235</v>
      </c>
      <c r="H32" s="76">
        <v>272</v>
      </c>
      <c r="I32" s="75">
        <v>3213</v>
      </c>
      <c r="J32" s="76">
        <v>316</v>
      </c>
      <c r="K32" s="75">
        <v>3549</v>
      </c>
      <c r="L32" s="76">
        <v>341</v>
      </c>
      <c r="M32" s="78">
        <v>4770</v>
      </c>
      <c r="N32" s="76">
        <v>439</v>
      </c>
      <c r="O32" s="75">
        <v>5708</v>
      </c>
      <c r="P32" s="84">
        <v>639</v>
      </c>
      <c r="Q32" s="85">
        <v>6851</v>
      </c>
      <c r="R32" s="164">
        <v>862</v>
      </c>
      <c r="S32" s="166">
        <v>6972</v>
      </c>
      <c r="T32" s="325">
        <v>804</v>
      </c>
      <c r="U32" s="326">
        <v>5838</v>
      </c>
    </row>
    <row r="33" spans="1:21" ht="18" customHeight="1">
      <c r="A33" s="246" t="s">
        <v>339</v>
      </c>
      <c r="B33" s="76">
        <v>74</v>
      </c>
      <c r="C33" s="75">
        <v>986</v>
      </c>
      <c r="D33" s="76">
        <v>75</v>
      </c>
      <c r="E33" s="75">
        <v>962</v>
      </c>
      <c r="F33" s="76">
        <v>114</v>
      </c>
      <c r="G33" s="75">
        <v>1009</v>
      </c>
      <c r="H33" s="76">
        <v>104</v>
      </c>
      <c r="I33" s="75">
        <v>972</v>
      </c>
      <c r="J33" s="76">
        <v>101</v>
      </c>
      <c r="K33" s="75">
        <v>1081</v>
      </c>
      <c r="L33" s="76">
        <v>116</v>
      </c>
      <c r="M33" s="78">
        <v>1549</v>
      </c>
      <c r="N33" s="76">
        <v>172</v>
      </c>
      <c r="O33" s="75">
        <v>1821</v>
      </c>
      <c r="P33" s="84">
        <v>225</v>
      </c>
      <c r="Q33" s="85">
        <v>2175</v>
      </c>
      <c r="R33" s="164">
        <v>281</v>
      </c>
      <c r="S33" s="166">
        <v>2302</v>
      </c>
      <c r="T33" s="325">
        <v>291</v>
      </c>
      <c r="U33" s="326">
        <v>1996</v>
      </c>
    </row>
    <row r="34" spans="1:21" ht="18" customHeight="1">
      <c r="A34" s="246" t="s">
        <v>340</v>
      </c>
      <c r="B34" s="76">
        <v>8</v>
      </c>
      <c r="C34" s="75">
        <v>77</v>
      </c>
      <c r="D34" s="76">
        <v>10</v>
      </c>
      <c r="E34" s="75">
        <v>100</v>
      </c>
      <c r="F34" s="76">
        <v>9</v>
      </c>
      <c r="G34" s="75">
        <v>85</v>
      </c>
      <c r="H34" s="76">
        <v>14</v>
      </c>
      <c r="I34" s="75">
        <v>109</v>
      </c>
      <c r="J34" s="76">
        <v>8</v>
      </c>
      <c r="K34" s="75">
        <v>127</v>
      </c>
      <c r="L34" s="76">
        <v>21</v>
      </c>
      <c r="M34" s="78">
        <v>162</v>
      </c>
      <c r="N34" s="76">
        <v>23</v>
      </c>
      <c r="O34" s="75">
        <v>216</v>
      </c>
      <c r="P34" s="84">
        <v>51</v>
      </c>
      <c r="Q34" s="85">
        <v>348</v>
      </c>
      <c r="R34" s="164">
        <v>51</v>
      </c>
      <c r="S34" s="166">
        <v>340</v>
      </c>
      <c r="T34" s="325">
        <v>55</v>
      </c>
      <c r="U34" s="326">
        <v>283</v>
      </c>
    </row>
    <row r="35" spans="1:21" ht="18" customHeight="1">
      <c r="A35" s="246" t="s">
        <v>341</v>
      </c>
      <c r="B35" s="76">
        <v>0</v>
      </c>
      <c r="C35" s="75">
        <v>16</v>
      </c>
      <c r="D35" s="76">
        <v>5</v>
      </c>
      <c r="E35" s="75">
        <v>16</v>
      </c>
      <c r="F35" s="76">
        <v>2</v>
      </c>
      <c r="G35" s="75">
        <v>19</v>
      </c>
      <c r="H35" s="76">
        <v>2</v>
      </c>
      <c r="I35" s="75">
        <v>21</v>
      </c>
      <c r="J35" s="76">
        <v>6</v>
      </c>
      <c r="K35" s="75">
        <v>24</v>
      </c>
      <c r="L35" s="76">
        <v>2</v>
      </c>
      <c r="M35" s="78">
        <v>32</v>
      </c>
      <c r="N35" s="76">
        <v>7</v>
      </c>
      <c r="O35" s="75">
        <v>69</v>
      </c>
      <c r="P35" s="84">
        <v>10</v>
      </c>
      <c r="Q35" s="85">
        <v>90</v>
      </c>
      <c r="R35" s="164">
        <v>17</v>
      </c>
      <c r="S35" s="166">
        <v>114</v>
      </c>
      <c r="T35" s="325">
        <v>19</v>
      </c>
      <c r="U35" s="326">
        <v>109</v>
      </c>
    </row>
    <row r="36" spans="1:21" ht="18" customHeight="1">
      <c r="A36" s="246" t="s">
        <v>342</v>
      </c>
      <c r="B36" s="76">
        <v>0</v>
      </c>
      <c r="C36" s="78">
        <v>13</v>
      </c>
      <c r="D36" s="76">
        <v>0</v>
      </c>
      <c r="E36" s="78">
        <v>19</v>
      </c>
      <c r="F36" s="76">
        <v>7</v>
      </c>
      <c r="G36" s="78">
        <v>70</v>
      </c>
      <c r="H36" s="76">
        <v>0</v>
      </c>
      <c r="I36" s="78">
        <v>6</v>
      </c>
      <c r="J36" s="76">
        <v>4</v>
      </c>
      <c r="K36" s="78">
        <v>12</v>
      </c>
      <c r="L36" s="76">
        <v>1</v>
      </c>
      <c r="M36" s="78">
        <v>10</v>
      </c>
      <c r="N36" s="76">
        <v>3</v>
      </c>
      <c r="O36" s="78">
        <v>10</v>
      </c>
      <c r="P36" s="84">
        <v>0</v>
      </c>
      <c r="Q36" s="85">
        <v>17</v>
      </c>
      <c r="R36" s="164">
        <v>1</v>
      </c>
      <c r="S36" s="166">
        <v>20</v>
      </c>
      <c r="T36" s="325">
        <v>10</v>
      </c>
      <c r="U36" s="326">
        <v>30</v>
      </c>
    </row>
    <row r="37" spans="1:21" ht="18" customHeight="1">
      <c r="A37" s="248" t="s">
        <v>343</v>
      </c>
      <c r="B37" s="179">
        <v>0</v>
      </c>
      <c r="C37" s="180">
        <v>0</v>
      </c>
      <c r="D37" s="179">
        <v>0</v>
      </c>
      <c r="E37" s="180">
        <v>0</v>
      </c>
      <c r="F37" s="179">
        <v>0</v>
      </c>
      <c r="G37" s="180">
        <v>2</v>
      </c>
      <c r="H37" s="179">
        <v>0</v>
      </c>
      <c r="I37" s="180">
        <v>1</v>
      </c>
      <c r="J37" s="179">
        <v>0</v>
      </c>
      <c r="K37" s="180">
        <v>0</v>
      </c>
      <c r="L37" s="179">
        <v>2</v>
      </c>
      <c r="M37" s="180">
        <v>1</v>
      </c>
      <c r="N37" s="179">
        <v>1</v>
      </c>
      <c r="O37" s="180">
        <v>1</v>
      </c>
      <c r="P37" s="181">
        <v>1</v>
      </c>
      <c r="Q37" s="182">
        <v>2</v>
      </c>
      <c r="R37" s="177">
        <v>0</v>
      </c>
      <c r="S37" s="178">
        <v>0</v>
      </c>
      <c r="T37" s="327">
        <v>0</v>
      </c>
      <c r="U37" s="328">
        <v>3</v>
      </c>
    </row>
    <row r="38" spans="1:21" ht="15.75">
      <c r="A38" s="2922" t="s">
        <v>344</v>
      </c>
      <c r="B38" s="2922"/>
      <c r="C38" s="2922"/>
      <c r="D38" s="2922"/>
      <c r="E38" s="24"/>
      <c r="F38" s="24"/>
      <c r="G38" s="24"/>
      <c r="H38" s="24"/>
      <c r="I38" s="24"/>
      <c r="J38" s="24"/>
      <c r="K38" s="24"/>
      <c r="L38" s="24"/>
      <c r="M38" s="24"/>
      <c r="N38" s="24"/>
      <c r="O38" s="24"/>
      <c r="P38" s="24"/>
      <c r="Q38" s="24"/>
      <c r="R38" s="25"/>
      <c r="S38" s="25"/>
      <c r="T38" s="25"/>
      <c r="U38" s="25"/>
    </row>
  </sheetData>
  <mergeCells count="26">
    <mergeCell ref="T2:U2"/>
    <mergeCell ref="A19:D19"/>
    <mergeCell ref="A38:D38"/>
    <mergeCell ref="T21:U21"/>
    <mergeCell ref="A1:U1"/>
    <mergeCell ref="A20:U20"/>
    <mergeCell ref="A21:A22"/>
    <mergeCell ref="B21:C21"/>
    <mergeCell ref="D21:E21"/>
    <mergeCell ref="F21:G21"/>
    <mergeCell ref="H21:I21"/>
    <mergeCell ref="J21:K21"/>
    <mergeCell ref="L21:M21"/>
    <mergeCell ref="N21:O21"/>
    <mergeCell ref="P21:Q21"/>
    <mergeCell ref="R21:S21"/>
    <mergeCell ref="R2:S2"/>
    <mergeCell ref="P2:Q2"/>
    <mergeCell ref="N2:O2"/>
    <mergeCell ref="A2:A3"/>
    <mergeCell ref="L2:M2"/>
    <mergeCell ref="J2:K2"/>
    <mergeCell ref="B2:C2"/>
    <mergeCell ref="D2:E2"/>
    <mergeCell ref="F2:G2"/>
    <mergeCell ref="H2:I2"/>
  </mergeCells>
  <phoneticPr fontId="6" type="noConversion"/>
  <printOptions horizontalCentered="1" verticalCentered="1"/>
  <pageMargins left="0.70866141732283472" right="0.70866141732283472" top="0.74803149606299213" bottom="0.74803149606299213" header="0.31496062992125984" footer="0.31496062992125984"/>
  <pageSetup paperSize="11" scale="47" orientation="landscape" r:id="rId1"/>
  <headerFooter differentOddEven="1" scaleWithDoc="0">
    <oddHeader>&amp;L&amp;"Times New Roman,標準"&amp;8 107&amp;"標楷體,標準"年犯罪狀況及其分析</oddHeader>
    <evenHeader>&amp;R&amp;"標楷體,標準"&amp;8第一篇　&amp;"Times New Roman,標準"107&amp;"標楷體,標準"年犯罪狀況及近&amp;"Times New Roman,標準"10&amp;"標楷體,標準"年犯罪趨勢分析</evenHead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G27"/>
  <sheetViews>
    <sheetView showGridLines="0" zoomScaleNormal="100" workbookViewId="0">
      <selection activeCell="A18" sqref="A18:H18"/>
    </sheetView>
  </sheetViews>
  <sheetFormatPr defaultRowHeight="15.75"/>
  <cols>
    <col min="1" max="1" width="35.375" style="2413" customWidth="1"/>
    <col min="2" max="7" width="12.875" style="2413" customWidth="1"/>
    <col min="8" max="252" width="9" style="2413"/>
    <col min="253" max="253" width="35.375" style="2413" customWidth="1"/>
    <col min="254" max="259" width="12.875" style="2413" customWidth="1"/>
    <col min="260" max="508" width="9" style="2413"/>
    <col min="509" max="509" width="35.375" style="2413" customWidth="1"/>
    <col min="510" max="515" width="12.875" style="2413" customWidth="1"/>
    <col min="516" max="764" width="9" style="2413"/>
    <col min="765" max="765" width="35.375" style="2413" customWidth="1"/>
    <col min="766" max="771" width="12.875" style="2413" customWidth="1"/>
    <col min="772" max="1020" width="9" style="2413"/>
    <col min="1021" max="1021" width="35.375" style="2413" customWidth="1"/>
    <col min="1022" max="1027" width="12.875" style="2413" customWidth="1"/>
    <col min="1028" max="1276" width="9" style="2413"/>
    <col min="1277" max="1277" width="35.375" style="2413" customWidth="1"/>
    <col min="1278" max="1283" width="12.875" style="2413" customWidth="1"/>
    <col min="1284" max="1532" width="9" style="2413"/>
    <col min="1533" max="1533" width="35.375" style="2413" customWidth="1"/>
    <col min="1534" max="1539" width="12.875" style="2413" customWidth="1"/>
    <col min="1540" max="1788" width="9" style="2413"/>
    <col min="1789" max="1789" width="35.375" style="2413" customWidth="1"/>
    <col min="1790" max="1795" width="12.875" style="2413" customWidth="1"/>
    <col min="1796" max="2044" width="9" style="2413"/>
    <col min="2045" max="2045" width="35.375" style="2413" customWidth="1"/>
    <col min="2046" max="2051" width="12.875" style="2413" customWidth="1"/>
    <col min="2052" max="2300" width="9" style="2413"/>
    <col min="2301" max="2301" width="35.375" style="2413" customWidth="1"/>
    <col min="2302" max="2307" width="12.875" style="2413" customWidth="1"/>
    <col min="2308" max="2556" width="9" style="2413"/>
    <col min="2557" max="2557" width="35.375" style="2413" customWidth="1"/>
    <col min="2558" max="2563" width="12.875" style="2413" customWidth="1"/>
    <col min="2564" max="2812" width="9" style="2413"/>
    <col min="2813" max="2813" width="35.375" style="2413" customWidth="1"/>
    <col min="2814" max="2819" width="12.875" style="2413" customWidth="1"/>
    <col min="2820" max="3068" width="9" style="2413"/>
    <col min="3069" max="3069" width="35.375" style="2413" customWidth="1"/>
    <col min="3070" max="3075" width="12.875" style="2413" customWidth="1"/>
    <col min="3076" max="3324" width="9" style="2413"/>
    <col min="3325" max="3325" width="35.375" style="2413" customWidth="1"/>
    <col min="3326" max="3331" width="12.875" style="2413" customWidth="1"/>
    <col min="3332" max="3580" width="9" style="2413"/>
    <col min="3581" max="3581" width="35.375" style="2413" customWidth="1"/>
    <col min="3582" max="3587" width="12.875" style="2413" customWidth="1"/>
    <col min="3588" max="3836" width="9" style="2413"/>
    <col min="3837" max="3837" width="35.375" style="2413" customWidth="1"/>
    <col min="3838" max="3843" width="12.875" style="2413" customWidth="1"/>
    <col min="3844" max="4092" width="9" style="2413"/>
    <col min="4093" max="4093" width="35.375" style="2413" customWidth="1"/>
    <col min="4094" max="4099" width="12.875" style="2413" customWidth="1"/>
    <col min="4100" max="4348" width="9" style="2413"/>
    <col min="4349" max="4349" width="35.375" style="2413" customWidth="1"/>
    <col min="4350" max="4355" width="12.875" style="2413" customWidth="1"/>
    <col min="4356" max="4604" width="9" style="2413"/>
    <col min="4605" max="4605" width="35.375" style="2413" customWidth="1"/>
    <col min="4606" max="4611" width="12.875" style="2413" customWidth="1"/>
    <col min="4612" max="4860" width="9" style="2413"/>
    <col min="4861" max="4861" width="35.375" style="2413" customWidth="1"/>
    <col min="4862" max="4867" width="12.875" style="2413" customWidth="1"/>
    <col min="4868" max="5116" width="9" style="2413"/>
    <col min="5117" max="5117" width="35.375" style="2413" customWidth="1"/>
    <col min="5118" max="5123" width="12.875" style="2413" customWidth="1"/>
    <col min="5124" max="5372" width="9" style="2413"/>
    <col min="5373" max="5373" width="35.375" style="2413" customWidth="1"/>
    <col min="5374" max="5379" width="12.875" style="2413" customWidth="1"/>
    <col min="5380" max="5628" width="9" style="2413"/>
    <col min="5629" max="5629" width="35.375" style="2413" customWidth="1"/>
    <col min="5630" max="5635" width="12.875" style="2413" customWidth="1"/>
    <col min="5636" max="5884" width="9" style="2413"/>
    <col min="5885" max="5885" width="35.375" style="2413" customWidth="1"/>
    <col min="5886" max="5891" width="12.875" style="2413" customWidth="1"/>
    <col min="5892" max="6140" width="9" style="2413"/>
    <col min="6141" max="6141" width="35.375" style="2413" customWidth="1"/>
    <col min="6142" max="6147" width="12.875" style="2413" customWidth="1"/>
    <col min="6148" max="6396" width="9" style="2413"/>
    <col min="6397" max="6397" width="35.375" style="2413" customWidth="1"/>
    <col min="6398" max="6403" width="12.875" style="2413" customWidth="1"/>
    <col min="6404" max="6652" width="9" style="2413"/>
    <col min="6653" max="6653" width="35.375" style="2413" customWidth="1"/>
    <col min="6654" max="6659" width="12.875" style="2413" customWidth="1"/>
    <col min="6660" max="6908" width="9" style="2413"/>
    <col min="6909" max="6909" width="35.375" style="2413" customWidth="1"/>
    <col min="6910" max="6915" width="12.875" style="2413" customWidth="1"/>
    <col min="6916" max="7164" width="9" style="2413"/>
    <col min="7165" max="7165" width="35.375" style="2413" customWidth="1"/>
    <col min="7166" max="7171" width="12.875" style="2413" customWidth="1"/>
    <col min="7172" max="7420" width="9" style="2413"/>
    <col min="7421" max="7421" width="35.375" style="2413" customWidth="1"/>
    <col min="7422" max="7427" width="12.875" style="2413" customWidth="1"/>
    <col min="7428" max="7676" width="9" style="2413"/>
    <col min="7677" max="7677" width="35.375" style="2413" customWidth="1"/>
    <col min="7678" max="7683" width="12.875" style="2413" customWidth="1"/>
    <col min="7684" max="7932" width="9" style="2413"/>
    <col min="7933" max="7933" width="35.375" style="2413" customWidth="1"/>
    <col min="7934" max="7939" width="12.875" style="2413" customWidth="1"/>
    <col min="7940" max="8188" width="9" style="2413"/>
    <col min="8189" max="8189" width="35.375" style="2413" customWidth="1"/>
    <col min="8190" max="8195" width="12.875" style="2413" customWidth="1"/>
    <col min="8196" max="8444" width="9" style="2413"/>
    <col min="8445" max="8445" width="35.375" style="2413" customWidth="1"/>
    <col min="8446" max="8451" width="12.875" style="2413" customWidth="1"/>
    <col min="8452" max="8700" width="9" style="2413"/>
    <col min="8701" max="8701" width="35.375" style="2413" customWidth="1"/>
    <col min="8702" max="8707" width="12.875" style="2413" customWidth="1"/>
    <col min="8708" max="8956" width="9" style="2413"/>
    <col min="8957" max="8957" width="35.375" style="2413" customWidth="1"/>
    <col min="8958" max="8963" width="12.875" style="2413" customWidth="1"/>
    <col min="8964" max="9212" width="9" style="2413"/>
    <col min="9213" max="9213" width="35.375" style="2413" customWidth="1"/>
    <col min="9214" max="9219" width="12.875" style="2413" customWidth="1"/>
    <col min="9220" max="9468" width="9" style="2413"/>
    <col min="9469" max="9469" width="35.375" style="2413" customWidth="1"/>
    <col min="9470" max="9475" width="12.875" style="2413" customWidth="1"/>
    <col min="9476" max="9724" width="9" style="2413"/>
    <col min="9725" max="9725" width="35.375" style="2413" customWidth="1"/>
    <col min="9726" max="9731" width="12.875" style="2413" customWidth="1"/>
    <col min="9732" max="9980" width="9" style="2413"/>
    <col min="9981" max="9981" width="35.375" style="2413" customWidth="1"/>
    <col min="9982" max="9987" width="12.875" style="2413" customWidth="1"/>
    <col min="9988" max="10236" width="9" style="2413"/>
    <col min="10237" max="10237" width="35.375" style="2413" customWidth="1"/>
    <col min="10238" max="10243" width="12.875" style="2413" customWidth="1"/>
    <col min="10244" max="10492" width="9" style="2413"/>
    <col min="10493" max="10493" width="35.375" style="2413" customWidth="1"/>
    <col min="10494" max="10499" width="12.875" style="2413" customWidth="1"/>
    <col min="10500" max="10748" width="9" style="2413"/>
    <col min="10749" max="10749" width="35.375" style="2413" customWidth="1"/>
    <col min="10750" max="10755" width="12.875" style="2413" customWidth="1"/>
    <col min="10756" max="11004" width="9" style="2413"/>
    <col min="11005" max="11005" width="35.375" style="2413" customWidth="1"/>
    <col min="11006" max="11011" width="12.875" style="2413" customWidth="1"/>
    <col min="11012" max="11260" width="9" style="2413"/>
    <col min="11261" max="11261" width="35.375" style="2413" customWidth="1"/>
    <col min="11262" max="11267" width="12.875" style="2413" customWidth="1"/>
    <col min="11268" max="11516" width="9" style="2413"/>
    <col min="11517" max="11517" width="35.375" style="2413" customWidth="1"/>
    <col min="11518" max="11523" width="12.875" style="2413" customWidth="1"/>
    <col min="11524" max="11772" width="9" style="2413"/>
    <col min="11773" max="11773" width="35.375" style="2413" customWidth="1"/>
    <col min="11774" max="11779" width="12.875" style="2413" customWidth="1"/>
    <col min="11780" max="12028" width="9" style="2413"/>
    <col min="12029" max="12029" width="35.375" style="2413" customWidth="1"/>
    <col min="12030" max="12035" width="12.875" style="2413" customWidth="1"/>
    <col min="12036" max="12284" width="9" style="2413"/>
    <col min="12285" max="12285" width="35.375" style="2413" customWidth="1"/>
    <col min="12286" max="12291" width="12.875" style="2413" customWidth="1"/>
    <col min="12292" max="12540" width="9" style="2413"/>
    <col min="12541" max="12541" width="35.375" style="2413" customWidth="1"/>
    <col min="12542" max="12547" width="12.875" style="2413" customWidth="1"/>
    <col min="12548" max="12796" width="9" style="2413"/>
    <col min="12797" max="12797" width="35.375" style="2413" customWidth="1"/>
    <col min="12798" max="12803" width="12.875" style="2413" customWidth="1"/>
    <col min="12804" max="13052" width="9" style="2413"/>
    <col min="13053" max="13053" width="35.375" style="2413" customWidth="1"/>
    <col min="13054" max="13059" width="12.875" style="2413" customWidth="1"/>
    <col min="13060" max="13308" width="9" style="2413"/>
    <col min="13309" max="13309" width="35.375" style="2413" customWidth="1"/>
    <col min="13310" max="13315" width="12.875" style="2413" customWidth="1"/>
    <col min="13316" max="13564" width="9" style="2413"/>
    <col min="13565" max="13565" width="35.375" style="2413" customWidth="1"/>
    <col min="13566" max="13571" width="12.875" style="2413" customWidth="1"/>
    <col min="13572" max="13820" width="9" style="2413"/>
    <col min="13821" max="13821" width="35.375" style="2413" customWidth="1"/>
    <col min="13822" max="13827" width="12.875" style="2413" customWidth="1"/>
    <col min="13828" max="14076" width="9" style="2413"/>
    <col min="14077" max="14077" width="35.375" style="2413" customWidth="1"/>
    <col min="14078" max="14083" width="12.875" style="2413" customWidth="1"/>
    <col min="14084" max="14332" width="9" style="2413"/>
    <col min="14333" max="14333" width="35.375" style="2413" customWidth="1"/>
    <col min="14334" max="14339" width="12.875" style="2413" customWidth="1"/>
    <col min="14340" max="14588" width="9" style="2413"/>
    <col min="14589" max="14589" width="35.375" style="2413" customWidth="1"/>
    <col min="14590" max="14595" width="12.875" style="2413" customWidth="1"/>
    <col min="14596" max="14844" width="9" style="2413"/>
    <col min="14845" max="14845" width="35.375" style="2413" customWidth="1"/>
    <col min="14846" max="14851" width="12.875" style="2413" customWidth="1"/>
    <col min="14852" max="15100" width="9" style="2413"/>
    <col min="15101" max="15101" width="35.375" style="2413" customWidth="1"/>
    <col min="15102" max="15107" width="12.875" style="2413" customWidth="1"/>
    <col min="15108" max="15356" width="9" style="2413"/>
    <col min="15357" max="15357" width="35.375" style="2413" customWidth="1"/>
    <col min="15358" max="15363" width="12.875" style="2413" customWidth="1"/>
    <col min="15364" max="15612" width="9" style="2413"/>
    <col min="15613" max="15613" width="35.375" style="2413" customWidth="1"/>
    <col min="15614" max="15619" width="12.875" style="2413" customWidth="1"/>
    <col min="15620" max="15868" width="9" style="2413"/>
    <col min="15869" max="15869" width="35.375" style="2413" customWidth="1"/>
    <col min="15870" max="15875" width="12.875" style="2413" customWidth="1"/>
    <col min="15876" max="16124" width="9" style="2413"/>
    <col min="16125" max="16125" width="35.375" style="2413" customWidth="1"/>
    <col min="16126" max="16131" width="12.875" style="2413" customWidth="1"/>
    <col min="16132" max="16384" width="9" style="2413"/>
  </cols>
  <sheetData>
    <row r="1" spans="1:7" s="2412" customFormat="1" ht="30.6" customHeight="1">
      <c r="A1" s="3961" t="s">
        <v>3635</v>
      </c>
      <c r="B1" s="3961"/>
      <c r="C1" s="3961"/>
      <c r="D1" s="3961"/>
      <c r="E1" s="3961"/>
      <c r="F1" s="3961"/>
      <c r="G1" s="3961"/>
    </row>
    <row r="2" spans="1:7" ht="30.6" customHeight="1">
      <c r="A2" s="3962" t="s">
        <v>3636</v>
      </c>
      <c r="B2" s="4010" t="s">
        <v>3467</v>
      </c>
      <c r="C2" s="4011"/>
      <c r="D2" s="4012" t="s">
        <v>3637</v>
      </c>
      <c r="E2" s="4011"/>
      <c r="F2" s="4012" t="s">
        <v>3638</v>
      </c>
      <c r="G2" s="4010"/>
    </row>
    <row r="3" spans="1:7" ht="21.75" customHeight="1">
      <c r="A3" s="3963"/>
      <c r="B3" s="2414" t="s">
        <v>3639</v>
      </c>
      <c r="C3" s="2415" t="s">
        <v>3458</v>
      </c>
      <c r="D3" s="2415" t="s">
        <v>3640</v>
      </c>
      <c r="E3" s="2415" t="s">
        <v>3458</v>
      </c>
      <c r="F3" s="2415" t="s">
        <v>2290</v>
      </c>
      <c r="G3" s="2415" t="s">
        <v>3458</v>
      </c>
    </row>
    <row r="4" spans="1:7" ht="16.149999999999999" customHeight="1">
      <c r="A4" s="2416" t="s">
        <v>3522</v>
      </c>
      <c r="B4" s="2417">
        <v>13544</v>
      </c>
      <c r="C4" s="2418">
        <v>100</v>
      </c>
      <c r="D4" s="2417">
        <v>13325</v>
      </c>
      <c r="E4" s="2418">
        <v>100</v>
      </c>
      <c r="F4" s="2417">
        <v>13450</v>
      </c>
      <c r="G4" s="2418">
        <v>100</v>
      </c>
    </row>
    <row r="5" spans="1:7" ht="16.149999999999999" customHeight="1">
      <c r="A5" s="2314" t="s">
        <v>3641</v>
      </c>
      <c r="B5" s="2417">
        <v>6208</v>
      </c>
      <c r="C5" s="2418">
        <v>45.835794447725931</v>
      </c>
      <c r="D5" s="2417">
        <v>6220</v>
      </c>
      <c r="E5" s="2418">
        <v>46.679174484052531</v>
      </c>
      <c r="F5" s="2417">
        <v>5884</v>
      </c>
      <c r="G5" s="2418">
        <v>43.74721189591078</v>
      </c>
    </row>
    <row r="6" spans="1:7" ht="16.149999999999999" customHeight="1">
      <c r="A6" s="2314" t="s">
        <v>3642</v>
      </c>
      <c r="B6" s="2417">
        <v>1813</v>
      </c>
      <c r="C6" s="2418">
        <v>13.386001181334908</v>
      </c>
      <c r="D6" s="2417">
        <v>2051</v>
      </c>
      <c r="E6" s="2418">
        <v>15.392120075046906</v>
      </c>
      <c r="F6" s="2417">
        <v>2200</v>
      </c>
      <c r="G6" s="2418">
        <v>16.356877323420075</v>
      </c>
    </row>
    <row r="7" spans="1:7" ht="16.149999999999999" customHeight="1">
      <c r="A7" s="2419" t="s">
        <v>3643</v>
      </c>
      <c r="B7" s="2417">
        <v>1178</v>
      </c>
      <c r="C7" s="2418">
        <v>8.6975782634376841</v>
      </c>
      <c r="D7" s="2417">
        <v>1416</v>
      </c>
      <c r="E7" s="2418">
        <v>10.626641651031896</v>
      </c>
      <c r="F7" s="2417">
        <v>1476</v>
      </c>
      <c r="G7" s="2418">
        <v>10.973977695167287</v>
      </c>
    </row>
    <row r="8" spans="1:7" ht="16.149999999999999" customHeight="1">
      <c r="A8" s="2314" t="s">
        <v>3644</v>
      </c>
      <c r="B8" s="2417">
        <v>2104</v>
      </c>
      <c r="C8" s="2418">
        <v>15.53455404607206</v>
      </c>
      <c r="D8" s="2417">
        <v>1292</v>
      </c>
      <c r="E8" s="2418">
        <v>9.696060037523452</v>
      </c>
      <c r="F8" s="2417">
        <v>1335</v>
      </c>
      <c r="G8" s="2418">
        <v>9.925650557620818</v>
      </c>
    </row>
    <row r="9" spans="1:7" ht="16.149999999999999" customHeight="1">
      <c r="A9" s="2314" t="s">
        <v>862</v>
      </c>
      <c r="B9" s="2417">
        <v>291</v>
      </c>
      <c r="C9" s="2418">
        <v>2.148552864737153</v>
      </c>
      <c r="D9" s="2417">
        <v>290</v>
      </c>
      <c r="E9" s="2418">
        <v>2.176360225140713</v>
      </c>
      <c r="F9" s="2417">
        <v>338</v>
      </c>
      <c r="G9" s="2418">
        <v>2.513011152416357</v>
      </c>
    </row>
    <row r="10" spans="1:7" ht="16.149999999999999" customHeight="1">
      <c r="A10" s="2419" t="s">
        <v>3645</v>
      </c>
      <c r="B10" s="2417">
        <v>244</v>
      </c>
      <c r="C10" s="2418">
        <v>1.8015357353809804</v>
      </c>
      <c r="D10" s="2417">
        <v>319</v>
      </c>
      <c r="E10" s="2418">
        <v>2.3939962476547842</v>
      </c>
      <c r="F10" s="2417">
        <v>321</v>
      </c>
      <c r="G10" s="2418">
        <v>2.3866171003717471</v>
      </c>
    </row>
    <row r="11" spans="1:7" ht="16.149999999999999" customHeight="1">
      <c r="A11" s="2419" t="s">
        <v>3646</v>
      </c>
      <c r="B11" s="2417">
        <v>327</v>
      </c>
      <c r="C11" s="2418">
        <v>2.4143532191376256</v>
      </c>
      <c r="D11" s="2417">
        <v>311</v>
      </c>
      <c r="E11" s="2418">
        <v>2.3339587242026267</v>
      </c>
      <c r="F11" s="2417">
        <v>291</v>
      </c>
      <c r="G11" s="2418">
        <v>2.1635687732342008</v>
      </c>
    </row>
    <row r="12" spans="1:7" ht="16.149999999999999" customHeight="1">
      <c r="A12" s="2314" t="s">
        <v>3647</v>
      </c>
      <c r="B12" s="2417">
        <v>271</v>
      </c>
      <c r="C12" s="2418">
        <v>2.000886001181335</v>
      </c>
      <c r="D12" s="2417">
        <v>305</v>
      </c>
      <c r="E12" s="2418">
        <v>2.2889305816135086</v>
      </c>
      <c r="F12" s="2417">
        <v>287</v>
      </c>
      <c r="G12" s="2418">
        <v>2.1338289962825279</v>
      </c>
    </row>
    <row r="13" spans="1:7" ht="16.149999999999999" customHeight="1">
      <c r="A13" s="2314" t="s">
        <v>3648</v>
      </c>
      <c r="B13" s="2417">
        <v>204</v>
      </c>
      <c r="C13" s="2418">
        <v>1.5062020082693444</v>
      </c>
      <c r="D13" s="2417">
        <v>226</v>
      </c>
      <c r="E13" s="2418">
        <v>1.6960600375234522</v>
      </c>
      <c r="F13" s="2417">
        <v>252</v>
      </c>
      <c r="G13" s="2418">
        <v>1.8736059479553904</v>
      </c>
    </row>
    <row r="14" spans="1:7" ht="16.149999999999999" customHeight="1">
      <c r="A14" s="2419" t="s">
        <v>3649</v>
      </c>
      <c r="B14" s="2417">
        <v>192</v>
      </c>
      <c r="C14" s="2418">
        <v>1.4176018901358536</v>
      </c>
      <c r="D14" s="2417">
        <v>211</v>
      </c>
      <c r="E14" s="2418">
        <v>1.5834896810506565</v>
      </c>
      <c r="F14" s="2417">
        <v>206</v>
      </c>
      <c r="G14" s="2418">
        <v>1.5315985130111525</v>
      </c>
    </row>
    <row r="15" spans="1:7" ht="16.149999999999999" customHeight="1">
      <c r="A15" s="2314" t="s">
        <v>3650</v>
      </c>
      <c r="B15" s="2417">
        <v>143</v>
      </c>
      <c r="C15" s="2418">
        <v>1.0558180744240993</v>
      </c>
      <c r="D15" s="2417">
        <v>157</v>
      </c>
      <c r="E15" s="2418">
        <v>1.178236397748593</v>
      </c>
      <c r="F15" s="2417">
        <v>180</v>
      </c>
      <c r="G15" s="2418">
        <v>1.3382899628252789</v>
      </c>
    </row>
    <row r="16" spans="1:7" ht="16.149999999999999" customHeight="1">
      <c r="A16" s="2419" t="s">
        <v>868</v>
      </c>
      <c r="B16" s="2417">
        <v>107</v>
      </c>
      <c r="C16" s="2418">
        <v>0.79001772002362669</v>
      </c>
      <c r="D16" s="2417">
        <v>114</v>
      </c>
      <c r="E16" s="2418">
        <v>0.85553470919324581</v>
      </c>
      <c r="F16" s="2417">
        <v>136</v>
      </c>
      <c r="G16" s="2418">
        <v>1.0111524163568772</v>
      </c>
    </row>
    <row r="17" spans="1:7" ht="16.149999999999999" customHeight="1">
      <c r="A17" s="2314" t="s">
        <v>3651</v>
      </c>
      <c r="B17" s="2417">
        <v>41</v>
      </c>
      <c r="C17" s="2418">
        <v>0.30271707028942707</v>
      </c>
      <c r="D17" s="2417">
        <v>9</v>
      </c>
      <c r="E17" s="2418">
        <v>6.7542213883677302E-2</v>
      </c>
      <c r="F17" s="2417">
        <v>135</v>
      </c>
      <c r="G17" s="2418">
        <v>1.0037174721189592</v>
      </c>
    </row>
    <row r="18" spans="1:7" ht="16.149999999999999" customHeight="1">
      <c r="A18" s="2419" t="s">
        <v>865</v>
      </c>
      <c r="B18" s="2417">
        <v>85</v>
      </c>
      <c r="C18" s="2418">
        <v>0.62758417011222678</v>
      </c>
      <c r="D18" s="2417">
        <v>73</v>
      </c>
      <c r="E18" s="2418">
        <v>0.5478424015009381</v>
      </c>
      <c r="F18" s="2417">
        <v>105</v>
      </c>
      <c r="G18" s="2418">
        <v>0.7806691449814126</v>
      </c>
    </row>
    <row r="19" spans="1:7" ht="16.149999999999999" customHeight="1">
      <c r="A19" s="2419" t="s">
        <v>3652</v>
      </c>
      <c r="B19" s="2417">
        <v>118</v>
      </c>
      <c r="C19" s="2418">
        <v>0.8712344949793267</v>
      </c>
      <c r="D19" s="2417">
        <v>124</v>
      </c>
      <c r="E19" s="2418">
        <v>0.93058161350844282</v>
      </c>
      <c r="F19" s="2417">
        <v>83</v>
      </c>
      <c r="G19" s="2418">
        <v>0.61710037174721188</v>
      </c>
    </row>
    <row r="20" spans="1:7" ht="16.149999999999999" customHeight="1">
      <c r="A20" s="2419" t="s">
        <v>1087</v>
      </c>
      <c r="B20" s="2417">
        <v>75</v>
      </c>
      <c r="C20" s="2418">
        <v>0.55375073833431776</v>
      </c>
      <c r="D20" s="2417">
        <v>70</v>
      </c>
      <c r="E20" s="2418">
        <v>0.52532833020637903</v>
      </c>
      <c r="F20" s="2417">
        <v>70</v>
      </c>
      <c r="G20" s="2418">
        <v>0.5204460966542751</v>
      </c>
    </row>
    <row r="21" spans="1:7" ht="16.149999999999999" customHeight="1">
      <c r="A21" s="2314" t="s">
        <v>3653</v>
      </c>
      <c r="B21" s="2417">
        <v>27</v>
      </c>
      <c r="C21" s="2418">
        <v>0.19935026580035439</v>
      </c>
      <c r="D21" s="2417">
        <v>34</v>
      </c>
      <c r="E21" s="2418">
        <v>0.25515947467166977</v>
      </c>
      <c r="F21" s="2417">
        <v>33</v>
      </c>
      <c r="G21" s="2418">
        <v>0.2453531598513011</v>
      </c>
    </row>
    <row r="22" spans="1:7" ht="16.149999999999999" customHeight="1">
      <c r="A22" s="2314" t="s">
        <v>3654</v>
      </c>
      <c r="B22" s="2417">
        <v>29</v>
      </c>
      <c r="C22" s="2418">
        <v>0.21411695215593621</v>
      </c>
      <c r="D22" s="2417">
        <v>36</v>
      </c>
      <c r="E22" s="2418">
        <v>0.27016885553470921</v>
      </c>
      <c r="F22" s="2417">
        <v>32</v>
      </c>
      <c r="G22" s="2418">
        <v>0.23791821561338292</v>
      </c>
    </row>
    <row r="23" spans="1:7" ht="16.149999999999999" customHeight="1">
      <c r="A23" s="2314" t="s">
        <v>964</v>
      </c>
      <c r="B23" s="2417">
        <v>35</v>
      </c>
      <c r="C23" s="2418">
        <v>0.25841701122268163</v>
      </c>
      <c r="D23" s="2417">
        <v>24</v>
      </c>
      <c r="E23" s="2418">
        <v>0.1801125703564728</v>
      </c>
      <c r="F23" s="2417">
        <v>23</v>
      </c>
      <c r="G23" s="2418">
        <v>0.17100371747211895</v>
      </c>
    </row>
    <row r="24" spans="1:7" ht="16.149999999999999" customHeight="1">
      <c r="A24" s="2314" t="s">
        <v>871</v>
      </c>
      <c r="B24" s="2417">
        <v>15</v>
      </c>
      <c r="C24" s="2418">
        <v>0.11075014766686357</v>
      </c>
      <c r="D24" s="2417">
        <v>10</v>
      </c>
      <c r="E24" s="2418">
        <v>7.5046904315197005E-2</v>
      </c>
      <c r="F24" s="2417">
        <v>17</v>
      </c>
      <c r="G24" s="2418">
        <v>0.12639405204460966</v>
      </c>
    </row>
    <row r="25" spans="1:7" ht="16.350000000000001" customHeight="1">
      <c r="A25" s="2325" t="s">
        <v>829</v>
      </c>
      <c r="B25" s="2420">
        <v>37</v>
      </c>
      <c r="C25" s="2421">
        <v>0.27318369757830396</v>
      </c>
      <c r="D25" s="2420">
        <v>33</v>
      </c>
      <c r="E25" s="2421">
        <v>0.24765478424015441</v>
      </c>
      <c r="F25" s="2422">
        <v>46</v>
      </c>
      <c r="G25" s="2423">
        <v>0.3420074349442217</v>
      </c>
    </row>
    <row r="26" spans="1:7" ht="16.149999999999999" customHeight="1">
      <c r="A26" s="2424" t="s">
        <v>784</v>
      </c>
    </row>
    <row r="27" spans="1:7" ht="16.149999999999999" customHeight="1">
      <c r="A27" s="2425" t="s">
        <v>3655</v>
      </c>
    </row>
  </sheetData>
  <mergeCells count="5">
    <mergeCell ref="A1:G1"/>
    <mergeCell ref="A2:A3"/>
    <mergeCell ref="B2:C2"/>
    <mergeCell ref="D2:E2"/>
    <mergeCell ref="F2:G2"/>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8" firstPageNumber="262" orientation="landscape" r:id="rId1"/>
  <headerFooter differentOddEven="1" scaleWithDoc="0">
    <oddHeader>&amp;L&amp;"Times New Roman,標準"&amp;8 107&amp;"標楷體,標準"年犯罪狀況及其分析</oddHeader>
    <evenHeader>&amp;R&amp;"標楷體,標準"&amp;8第四篇　特定類型犯罪者之犯罪趨勢與處遇</evenHead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G24"/>
  <sheetViews>
    <sheetView showGridLines="0" zoomScaleNormal="100" workbookViewId="0">
      <selection activeCell="A18" sqref="A18:H18"/>
    </sheetView>
  </sheetViews>
  <sheetFormatPr defaultRowHeight="15.75"/>
  <cols>
    <col min="1" max="1" width="35.125" style="1058" customWidth="1"/>
    <col min="2" max="7" width="14" style="1058" customWidth="1"/>
    <col min="8" max="256" width="9" style="1058"/>
    <col min="257" max="257" width="35.125" style="1058" customWidth="1"/>
    <col min="258" max="263" width="14" style="1058" customWidth="1"/>
    <col min="264" max="512" width="9" style="1058"/>
    <col min="513" max="513" width="35.125" style="1058" customWidth="1"/>
    <col min="514" max="519" width="14" style="1058" customWidth="1"/>
    <col min="520" max="768" width="9" style="1058"/>
    <col min="769" max="769" width="35.125" style="1058" customWidth="1"/>
    <col min="770" max="775" width="14" style="1058" customWidth="1"/>
    <col min="776" max="1024" width="9" style="1058"/>
    <col min="1025" max="1025" width="35.125" style="1058" customWidth="1"/>
    <col min="1026" max="1031" width="14" style="1058" customWidth="1"/>
    <col min="1032" max="1280" width="9" style="1058"/>
    <col min="1281" max="1281" width="35.125" style="1058" customWidth="1"/>
    <col min="1282" max="1287" width="14" style="1058" customWidth="1"/>
    <col min="1288" max="1536" width="9" style="1058"/>
    <col min="1537" max="1537" width="35.125" style="1058" customWidth="1"/>
    <col min="1538" max="1543" width="14" style="1058" customWidth="1"/>
    <col min="1544" max="1792" width="9" style="1058"/>
    <col min="1793" max="1793" width="35.125" style="1058" customWidth="1"/>
    <col min="1794" max="1799" width="14" style="1058" customWidth="1"/>
    <col min="1800" max="2048" width="9" style="1058"/>
    <col min="2049" max="2049" width="35.125" style="1058" customWidth="1"/>
    <col min="2050" max="2055" width="14" style="1058" customWidth="1"/>
    <col min="2056" max="2304" width="9" style="1058"/>
    <col min="2305" max="2305" width="35.125" style="1058" customWidth="1"/>
    <col min="2306" max="2311" width="14" style="1058" customWidth="1"/>
    <col min="2312" max="2560" width="9" style="1058"/>
    <col min="2561" max="2561" width="35.125" style="1058" customWidth="1"/>
    <col min="2562" max="2567" width="14" style="1058" customWidth="1"/>
    <col min="2568" max="2816" width="9" style="1058"/>
    <col min="2817" max="2817" width="35.125" style="1058" customWidth="1"/>
    <col min="2818" max="2823" width="14" style="1058" customWidth="1"/>
    <col min="2824" max="3072" width="9" style="1058"/>
    <col min="3073" max="3073" width="35.125" style="1058" customWidth="1"/>
    <col min="3074" max="3079" width="14" style="1058" customWidth="1"/>
    <col min="3080" max="3328" width="9" style="1058"/>
    <col min="3329" max="3329" width="35.125" style="1058" customWidth="1"/>
    <col min="3330" max="3335" width="14" style="1058" customWidth="1"/>
    <col min="3336" max="3584" width="9" style="1058"/>
    <col min="3585" max="3585" width="35.125" style="1058" customWidth="1"/>
    <col min="3586" max="3591" width="14" style="1058" customWidth="1"/>
    <col min="3592" max="3840" width="9" style="1058"/>
    <col min="3841" max="3841" width="35.125" style="1058" customWidth="1"/>
    <col min="3842" max="3847" width="14" style="1058" customWidth="1"/>
    <col min="3848" max="4096" width="9" style="1058"/>
    <col min="4097" max="4097" width="35.125" style="1058" customWidth="1"/>
    <col min="4098" max="4103" width="14" style="1058" customWidth="1"/>
    <col min="4104" max="4352" width="9" style="1058"/>
    <col min="4353" max="4353" width="35.125" style="1058" customWidth="1"/>
    <col min="4354" max="4359" width="14" style="1058" customWidth="1"/>
    <col min="4360" max="4608" width="9" style="1058"/>
    <col min="4609" max="4609" width="35.125" style="1058" customWidth="1"/>
    <col min="4610" max="4615" width="14" style="1058" customWidth="1"/>
    <col min="4616" max="4864" width="9" style="1058"/>
    <col min="4865" max="4865" width="35.125" style="1058" customWidth="1"/>
    <col min="4866" max="4871" width="14" style="1058" customWidth="1"/>
    <col min="4872" max="5120" width="9" style="1058"/>
    <col min="5121" max="5121" width="35.125" style="1058" customWidth="1"/>
    <col min="5122" max="5127" width="14" style="1058" customWidth="1"/>
    <col min="5128" max="5376" width="9" style="1058"/>
    <col min="5377" max="5377" width="35.125" style="1058" customWidth="1"/>
    <col min="5378" max="5383" width="14" style="1058" customWidth="1"/>
    <col min="5384" max="5632" width="9" style="1058"/>
    <col min="5633" max="5633" width="35.125" style="1058" customWidth="1"/>
    <col min="5634" max="5639" width="14" style="1058" customWidth="1"/>
    <col min="5640" max="5888" width="9" style="1058"/>
    <col min="5889" max="5889" width="35.125" style="1058" customWidth="1"/>
    <col min="5890" max="5895" width="14" style="1058" customWidth="1"/>
    <col min="5896" max="6144" width="9" style="1058"/>
    <col min="6145" max="6145" width="35.125" style="1058" customWidth="1"/>
    <col min="6146" max="6151" width="14" style="1058" customWidth="1"/>
    <col min="6152" max="6400" width="9" style="1058"/>
    <col min="6401" max="6401" width="35.125" style="1058" customWidth="1"/>
    <col min="6402" max="6407" width="14" style="1058" customWidth="1"/>
    <col min="6408" max="6656" width="9" style="1058"/>
    <col min="6657" max="6657" width="35.125" style="1058" customWidth="1"/>
    <col min="6658" max="6663" width="14" style="1058" customWidth="1"/>
    <col min="6664" max="6912" width="9" style="1058"/>
    <col min="6913" max="6913" width="35.125" style="1058" customWidth="1"/>
    <col min="6914" max="6919" width="14" style="1058" customWidth="1"/>
    <col min="6920" max="7168" width="9" style="1058"/>
    <col min="7169" max="7169" width="35.125" style="1058" customWidth="1"/>
    <col min="7170" max="7175" width="14" style="1058" customWidth="1"/>
    <col min="7176" max="7424" width="9" style="1058"/>
    <col min="7425" max="7425" width="35.125" style="1058" customWidth="1"/>
    <col min="7426" max="7431" width="14" style="1058" customWidth="1"/>
    <col min="7432" max="7680" width="9" style="1058"/>
    <col min="7681" max="7681" width="35.125" style="1058" customWidth="1"/>
    <col min="7682" max="7687" width="14" style="1058" customWidth="1"/>
    <col min="7688" max="7936" width="9" style="1058"/>
    <col min="7937" max="7937" width="35.125" style="1058" customWidth="1"/>
    <col min="7938" max="7943" width="14" style="1058" customWidth="1"/>
    <col min="7944" max="8192" width="9" style="1058"/>
    <col min="8193" max="8193" width="35.125" style="1058" customWidth="1"/>
    <col min="8194" max="8199" width="14" style="1058" customWidth="1"/>
    <col min="8200" max="8448" width="9" style="1058"/>
    <col min="8449" max="8449" width="35.125" style="1058" customWidth="1"/>
    <col min="8450" max="8455" width="14" style="1058" customWidth="1"/>
    <col min="8456" max="8704" width="9" style="1058"/>
    <col min="8705" max="8705" width="35.125" style="1058" customWidth="1"/>
    <col min="8706" max="8711" width="14" style="1058" customWidth="1"/>
    <col min="8712" max="8960" width="9" style="1058"/>
    <col min="8961" max="8961" width="35.125" style="1058" customWidth="1"/>
    <col min="8962" max="8967" width="14" style="1058" customWidth="1"/>
    <col min="8968" max="9216" width="9" style="1058"/>
    <col min="9217" max="9217" width="35.125" style="1058" customWidth="1"/>
    <col min="9218" max="9223" width="14" style="1058" customWidth="1"/>
    <col min="9224" max="9472" width="9" style="1058"/>
    <col min="9473" max="9473" width="35.125" style="1058" customWidth="1"/>
    <col min="9474" max="9479" width="14" style="1058" customWidth="1"/>
    <col min="9480" max="9728" width="9" style="1058"/>
    <col min="9729" max="9729" width="35.125" style="1058" customWidth="1"/>
    <col min="9730" max="9735" width="14" style="1058" customWidth="1"/>
    <col min="9736" max="9984" width="9" style="1058"/>
    <col min="9985" max="9985" width="35.125" style="1058" customWidth="1"/>
    <col min="9986" max="9991" width="14" style="1058" customWidth="1"/>
    <col min="9992" max="10240" width="9" style="1058"/>
    <col min="10241" max="10241" width="35.125" style="1058" customWidth="1"/>
    <col min="10242" max="10247" width="14" style="1058" customWidth="1"/>
    <col min="10248" max="10496" width="9" style="1058"/>
    <col min="10497" max="10497" width="35.125" style="1058" customWidth="1"/>
    <col min="10498" max="10503" width="14" style="1058" customWidth="1"/>
    <col min="10504" max="10752" width="9" style="1058"/>
    <col min="10753" max="10753" width="35.125" style="1058" customWidth="1"/>
    <col min="10754" max="10759" width="14" style="1058" customWidth="1"/>
    <col min="10760" max="11008" width="9" style="1058"/>
    <col min="11009" max="11009" width="35.125" style="1058" customWidth="1"/>
    <col min="11010" max="11015" width="14" style="1058" customWidth="1"/>
    <col min="11016" max="11264" width="9" style="1058"/>
    <col min="11265" max="11265" width="35.125" style="1058" customWidth="1"/>
    <col min="11266" max="11271" width="14" style="1058" customWidth="1"/>
    <col min="11272" max="11520" width="9" style="1058"/>
    <col min="11521" max="11521" width="35.125" style="1058" customWidth="1"/>
    <col min="11522" max="11527" width="14" style="1058" customWidth="1"/>
    <col min="11528" max="11776" width="9" style="1058"/>
    <col min="11777" max="11777" width="35.125" style="1058" customWidth="1"/>
    <col min="11778" max="11783" width="14" style="1058" customWidth="1"/>
    <col min="11784" max="12032" width="9" style="1058"/>
    <col min="12033" max="12033" width="35.125" style="1058" customWidth="1"/>
    <col min="12034" max="12039" width="14" style="1058" customWidth="1"/>
    <col min="12040" max="12288" width="9" style="1058"/>
    <col min="12289" max="12289" width="35.125" style="1058" customWidth="1"/>
    <col min="12290" max="12295" width="14" style="1058" customWidth="1"/>
    <col min="12296" max="12544" width="9" style="1058"/>
    <col min="12545" max="12545" width="35.125" style="1058" customWidth="1"/>
    <col min="12546" max="12551" width="14" style="1058" customWidth="1"/>
    <col min="12552" max="12800" width="9" style="1058"/>
    <col min="12801" max="12801" width="35.125" style="1058" customWidth="1"/>
    <col min="12802" max="12807" width="14" style="1058" customWidth="1"/>
    <col min="12808" max="13056" width="9" style="1058"/>
    <col min="13057" max="13057" width="35.125" style="1058" customWidth="1"/>
    <col min="13058" max="13063" width="14" style="1058" customWidth="1"/>
    <col min="13064" max="13312" width="9" style="1058"/>
    <col min="13313" max="13313" width="35.125" style="1058" customWidth="1"/>
    <col min="13314" max="13319" width="14" style="1058" customWidth="1"/>
    <col min="13320" max="13568" width="9" style="1058"/>
    <col min="13569" max="13569" width="35.125" style="1058" customWidth="1"/>
    <col min="13570" max="13575" width="14" style="1058" customWidth="1"/>
    <col min="13576" max="13824" width="9" style="1058"/>
    <col min="13825" max="13825" width="35.125" style="1058" customWidth="1"/>
    <col min="13826" max="13831" width="14" style="1058" customWidth="1"/>
    <col min="13832" max="14080" width="9" style="1058"/>
    <col min="14081" max="14081" width="35.125" style="1058" customWidth="1"/>
    <col min="14082" max="14087" width="14" style="1058" customWidth="1"/>
    <col min="14088" max="14336" width="9" style="1058"/>
    <col min="14337" max="14337" width="35.125" style="1058" customWidth="1"/>
    <col min="14338" max="14343" width="14" style="1058" customWidth="1"/>
    <col min="14344" max="14592" width="9" style="1058"/>
    <col min="14593" max="14593" width="35.125" style="1058" customWidth="1"/>
    <col min="14594" max="14599" width="14" style="1058" customWidth="1"/>
    <col min="14600" max="14848" width="9" style="1058"/>
    <col min="14849" max="14849" width="35.125" style="1058" customWidth="1"/>
    <col min="14850" max="14855" width="14" style="1058" customWidth="1"/>
    <col min="14856" max="15104" width="9" style="1058"/>
    <col min="15105" max="15105" width="35.125" style="1058" customWidth="1"/>
    <col min="15106" max="15111" width="14" style="1058" customWidth="1"/>
    <col min="15112" max="15360" width="9" style="1058"/>
    <col min="15361" max="15361" width="35.125" style="1058" customWidth="1"/>
    <col min="15362" max="15367" width="14" style="1058" customWidth="1"/>
    <col min="15368" max="15616" width="9" style="1058"/>
    <col min="15617" max="15617" width="35.125" style="1058" customWidth="1"/>
    <col min="15618" max="15623" width="14" style="1058" customWidth="1"/>
    <col min="15624" max="15872" width="9" style="1058"/>
    <col min="15873" max="15873" width="35.125" style="1058" customWidth="1"/>
    <col min="15874" max="15879" width="14" style="1058" customWidth="1"/>
    <col min="15880" max="16128" width="9" style="1058"/>
    <col min="16129" max="16129" width="35.125" style="1058" customWidth="1"/>
    <col min="16130" max="16135" width="14" style="1058" customWidth="1"/>
    <col min="16136" max="16384" width="9" style="1058"/>
  </cols>
  <sheetData>
    <row r="1" spans="1:7" ht="30.6" customHeight="1">
      <c r="A1" s="3190" t="s">
        <v>3656</v>
      </c>
      <c r="B1" s="3190"/>
      <c r="C1" s="3190"/>
      <c r="D1" s="3190"/>
      <c r="E1" s="3190"/>
      <c r="F1" s="3190"/>
      <c r="G1" s="3190"/>
    </row>
    <row r="2" spans="1:7" ht="35.65" customHeight="1">
      <c r="A2" s="3192" t="s">
        <v>948</v>
      </c>
      <c r="B2" s="4010" t="s">
        <v>849</v>
      </c>
      <c r="C2" s="4011"/>
      <c r="D2" s="4012" t="s">
        <v>3657</v>
      </c>
      <c r="E2" s="4011"/>
      <c r="F2" s="4012" t="s">
        <v>364</v>
      </c>
      <c r="G2" s="4010"/>
    </row>
    <row r="3" spans="1:7" ht="21" customHeight="1">
      <c r="A3" s="3193"/>
      <c r="B3" s="2426" t="s">
        <v>3658</v>
      </c>
      <c r="C3" s="2427" t="s">
        <v>3458</v>
      </c>
      <c r="D3" s="2427" t="s">
        <v>3658</v>
      </c>
      <c r="E3" s="2427" t="s">
        <v>3458</v>
      </c>
      <c r="F3" s="2427" t="s">
        <v>1516</v>
      </c>
      <c r="G3" s="2427" t="s">
        <v>934</v>
      </c>
    </row>
    <row r="4" spans="1:7" ht="20.100000000000001" customHeight="1">
      <c r="A4" s="2428" t="s">
        <v>3659</v>
      </c>
      <c r="B4" s="2429">
        <v>1771</v>
      </c>
      <c r="C4" s="2430">
        <v>100</v>
      </c>
      <c r="D4" s="2429">
        <v>2015</v>
      </c>
      <c r="E4" s="2430">
        <v>100</v>
      </c>
      <c r="F4" s="2429">
        <v>2350</v>
      </c>
      <c r="G4" s="2430">
        <v>100</v>
      </c>
    </row>
    <row r="5" spans="1:7" ht="20.100000000000001" customHeight="1">
      <c r="A5" s="2428" t="s">
        <v>3660</v>
      </c>
      <c r="B5" s="2429">
        <v>788</v>
      </c>
      <c r="C5" s="2430">
        <v>44.494635798983623</v>
      </c>
      <c r="D5" s="2429">
        <v>934</v>
      </c>
      <c r="E5" s="2430">
        <v>46.352357320099259</v>
      </c>
      <c r="F5" s="2429">
        <v>919</v>
      </c>
      <c r="G5" s="2430">
        <v>39.106382978723403</v>
      </c>
    </row>
    <row r="6" spans="1:7" ht="20.100000000000001" customHeight="1">
      <c r="A6" s="2428" t="s">
        <v>3661</v>
      </c>
      <c r="B6" s="2429">
        <v>49</v>
      </c>
      <c r="C6" s="2430">
        <v>2.766798418972332</v>
      </c>
      <c r="D6" s="2429">
        <v>12</v>
      </c>
      <c r="E6" s="2430">
        <v>0.59553349875930517</v>
      </c>
      <c r="F6" s="2429">
        <v>302</v>
      </c>
      <c r="G6" s="2430">
        <v>12.851063829787234</v>
      </c>
    </row>
    <row r="7" spans="1:7" ht="20.100000000000001" customHeight="1">
      <c r="A7" s="2428" t="s">
        <v>3662</v>
      </c>
      <c r="B7" s="2429">
        <v>173</v>
      </c>
      <c r="C7" s="2430">
        <v>9.7684923771880285</v>
      </c>
      <c r="D7" s="2429">
        <v>147</v>
      </c>
      <c r="E7" s="2430">
        <v>7.2952853598014888</v>
      </c>
      <c r="F7" s="2429">
        <v>178</v>
      </c>
      <c r="G7" s="2430">
        <v>7.5744680851063828</v>
      </c>
    </row>
    <row r="8" spans="1:7" ht="20.100000000000001" customHeight="1">
      <c r="A8" s="2428" t="s">
        <v>1629</v>
      </c>
      <c r="B8" s="2429">
        <v>46</v>
      </c>
      <c r="C8" s="2430">
        <v>2.5974025974025974</v>
      </c>
      <c r="D8" s="2429">
        <v>87</v>
      </c>
      <c r="E8" s="2430">
        <v>4.3176178660049631</v>
      </c>
      <c r="F8" s="2429">
        <v>134</v>
      </c>
      <c r="G8" s="2430">
        <v>5.7021276595744679</v>
      </c>
    </row>
    <row r="9" spans="1:7" ht="20.100000000000001" customHeight="1">
      <c r="A9" s="2428" t="s">
        <v>3663</v>
      </c>
      <c r="B9" s="2429">
        <v>37</v>
      </c>
      <c r="C9" s="2430">
        <v>2.0892151326933934</v>
      </c>
      <c r="D9" s="2429">
        <v>52</v>
      </c>
      <c r="E9" s="2430">
        <v>2.5806451612903225</v>
      </c>
      <c r="F9" s="2429">
        <v>81</v>
      </c>
      <c r="G9" s="2430">
        <v>3.4468085106382982</v>
      </c>
    </row>
    <row r="10" spans="1:7" ht="20.100000000000001" customHeight="1">
      <c r="A10" s="2428" t="s">
        <v>3664</v>
      </c>
      <c r="B10" s="2429">
        <v>53</v>
      </c>
      <c r="C10" s="2430">
        <v>2.9926595143986447</v>
      </c>
      <c r="D10" s="2429">
        <v>48</v>
      </c>
      <c r="E10" s="2430">
        <v>2.3821339950372207</v>
      </c>
      <c r="F10" s="2429">
        <v>58</v>
      </c>
      <c r="G10" s="2430">
        <v>2.4680851063829787</v>
      </c>
    </row>
    <row r="11" spans="1:7" ht="20.100000000000001" customHeight="1">
      <c r="A11" s="2428" t="s">
        <v>3665</v>
      </c>
      <c r="B11" s="2429">
        <v>36</v>
      </c>
      <c r="C11" s="2430">
        <v>2.0327498588368154</v>
      </c>
      <c r="D11" s="2429">
        <v>37</v>
      </c>
      <c r="E11" s="2430">
        <v>1.8362282878411911</v>
      </c>
      <c r="F11" s="2429">
        <v>56</v>
      </c>
      <c r="G11" s="2430">
        <v>2.3829787234042552</v>
      </c>
    </row>
    <row r="12" spans="1:7" ht="20.100000000000001" customHeight="1">
      <c r="A12" s="2428" t="s">
        <v>3666</v>
      </c>
      <c r="B12" s="2429">
        <v>64</v>
      </c>
      <c r="C12" s="2430">
        <v>3.6137775268210048</v>
      </c>
      <c r="D12" s="2429">
        <v>49</v>
      </c>
      <c r="E12" s="2430">
        <v>2.4317617866004961</v>
      </c>
      <c r="F12" s="2429">
        <v>54</v>
      </c>
      <c r="G12" s="2430">
        <v>2.2978723404255321</v>
      </c>
    </row>
    <row r="13" spans="1:7" ht="20.100000000000001" customHeight="1">
      <c r="A13" s="2428" t="s">
        <v>3667</v>
      </c>
      <c r="B13" s="2429">
        <v>34</v>
      </c>
      <c r="C13" s="2430">
        <v>1.9198193111236588</v>
      </c>
      <c r="D13" s="2429">
        <v>59</v>
      </c>
      <c r="E13" s="2430">
        <v>2.9280397022332507</v>
      </c>
      <c r="F13" s="2429">
        <v>47</v>
      </c>
      <c r="G13" s="2430">
        <v>2</v>
      </c>
    </row>
    <row r="14" spans="1:7" ht="20.100000000000001" customHeight="1">
      <c r="A14" s="2428" t="s">
        <v>3668</v>
      </c>
      <c r="B14" s="2429">
        <v>16</v>
      </c>
      <c r="C14" s="2430">
        <v>0.90344438170525121</v>
      </c>
      <c r="D14" s="2429">
        <v>26</v>
      </c>
      <c r="E14" s="2430">
        <v>1.2903225806451613</v>
      </c>
      <c r="F14" s="2429">
        <v>38</v>
      </c>
      <c r="G14" s="2430">
        <v>1.6170212765957446</v>
      </c>
    </row>
    <row r="15" spans="1:7" ht="20.100000000000001" customHeight="1">
      <c r="A15" s="2428" t="s">
        <v>1045</v>
      </c>
      <c r="B15" s="2429">
        <v>36</v>
      </c>
      <c r="C15" s="2430">
        <v>2.0327498588368154</v>
      </c>
      <c r="D15" s="2429">
        <v>40</v>
      </c>
      <c r="E15" s="2430">
        <v>1.9851116625310175</v>
      </c>
      <c r="F15" s="2429">
        <v>37</v>
      </c>
      <c r="G15" s="2430">
        <v>1.574468085106383</v>
      </c>
    </row>
    <row r="16" spans="1:7" ht="20.100000000000001" customHeight="1">
      <c r="A16" s="2428" t="s">
        <v>3669</v>
      </c>
      <c r="B16" s="2429">
        <v>45</v>
      </c>
      <c r="C16" s="2430">
        <v>2.5409373235460193</v>
      </c>
      <c r="D16" s="2429">
        <v>36</v>
      </c>
      <c r="E16" s="2430">
        <v>1.7866004962779156</v>
      </c>
      <c r="F16" s="2429">
        <v>26</v>
      </c>
      <c r="G16" s="2430">
        <v>1.1063829787234043</v>
      </c>
    </row>
    <row r="17" spans="1:7" ht="20.100000000000001" customHeight="1">
      <c r="A17" s="2428" t="s">
        <v>3536</v>
      </c>
      <c r="B17" s="2429">
        <v>15</v>
      </c>
      <c r="C17" s="2430">
        <v>0.84697910784867303</v>
      </c>
      <c r="D17" s="2429">
        <v>21</v>
      </c>
      <c r="E17" s="2430">
        <v>1.0421836228287842</v>
      </c>
      <c r="F17" s="2429">
        <v>18</v>
      </c>
      <c r="G17" s="2430">
        <v>0.76595744680851063</v>
      </c>
    </row>
    <row r="18" spans="1:7" ht="20.100000000000001" customHeight="1">
      <c r="A18" s="2428" t="s">
        <v>3670</v>
      </c>
      <c r="B18" s="2429">
        <v>22</v>
      </c>
      <c r="C18" s="2430">
        <v>1.2422360248447204</v>
      </c>
      <c r="D18" s="2429">
        <v>21</v>
      </c>
      <c r="E18" s="2430">
        <v>1.0421836228287842</v>
      </c>
      <c r="F18" s="2429">
        <v>17</v>
      </c>
      <c r="G18" s="2430">
        <v>0.72340425531914898</v>
      </c>
    </row>
    <row r="19" spans="1:7" ht="20.100000000000001" customHeight="1">
      <c r="A19" s="2428" t="s">
        <v>3671</v>
      </c>
      <c r="B19" s="2429">
        <v>11</v>
      </c>
      <c r="C19" s="2430">
        <v>0.6211180124223602</v>
      </c>
      <c r="D19" s="2429">
        <v>14</v>
      </c>
      <c r="E19" s="2430">
        <v>0.69478908188585609</v>
      </c>
      <c r="F19" s="2429">
        <v>8</v>
      </c>
      <c r="G19" s="2430">
        <v>0.34042553191489361</v>
      </c>
    </row>
    <row r="20" spans="1:7" ht="21.75" customHeight="1">
      <c r="A20" s="2428" t="s">
        <v>3672</v>
      </c>
      <c r="B20" s="2429">
        <v>14</v>
      </c>
      <c r="C20" s="2430">
        <v>0.79051383399209485</v>
      </c>
      <c r="D20" s="2429">
        <v>22</v>
      </c>
      <c r="E20" s="2430">
        <v>1.0918114143920596</v>
      </c>
      <c r="F20" s="2429">
        <v>8</v>
      </c>
      <c r="G20" s="2430">
        <v>0.34042553191489361</v>
      </c>
    </row>
    <row r="21" spans="1:7" ht="20.100000000000001" customHeight="1">
      <c r="A21" s="2428" t="s">
        <v>3673</v>
      </c>
      <c r="B21" s="2429">
        <v>8</v>
      </c>
      <c r="C21" s="2430">
        <v>0.4517221908526256</v>
      </c>
      <c r="D21" s="2429">
        <v>11</v>
      </c>
      <c r="E21" s="2430">
        <v>0.54590570719602982</v>
      </c>
      <c r="F21" s="2429">
        <v>4</v>
      </c>
      <c r="G21" s="2430">
        <v>0.1702127659574468</v>
      </c>
    </row>
    <row r="22" spans="1:7" ht="20.100000000000001" customHeight="1">
      <c r="A22" s="2431" t="s">
        <v>829</v>
      </c>
      <c r="B22" s="2432">
        <v>324</v>
      </c>
      <c r="C22" s="2433">
        <v>18.294748729531339</v>
      </c>
      <c r="D22" s="2432">
        <v>399</v>
      </c>
      <c r="E22" s="2433">
        <v>19.801488833746898</v>
      </c>
      <c r="F22" s="2432">
        <v>365</v>
      </c>
      <c r="G22" s="2433">
        <v>15.531914893617021</v>
      </c>
    </row>
    <row r="23" spans="1:7">
      <c r="A23" s="2424" t="s">
        <v>3674</v>
      </c>
      <c r="B23" s="2434"/>
      <c r="C23" s="2434"/>
      <c r="D23" s="2434"/>
      <c r="E23" s="2434"/>
      <c r="F23" s="2434"/>
      <c r="G23" s="2434"/>
    </row>
    <row r="24" spans="1:7">
      <c r="A24" s="2425" t="s">
        <v>3675</v>
      </c>
    </row>
  </sheetData>
  <mergeCells count="5">
    <mergeCell ref="A1:G1"/>
    <mergeCell ref="A2:A3"/>
    <mergeCell ref="B2:C2"/>
    <mergeCell ref="D2:E2"/>
    <mergeCell ref="F2:G2"/>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9" firstPageNumber="262" orientation="landscape" r:id="rId1"/>
  <headerFooter differentOddEven="1" scaleWithDoc="0">
    <oddHeader>&amp;L&amp;"Times New Roman,標準"&amp;8 107&amp;"標楷體,標準"年犯罪狀況及其分析</oddHeader>
    <evenHeader>&amp;R&amp;"標楷體,標準"&amp;8第四篇　特定類型犯罪者之犯罪趨勢與處遇</evenHead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M30"/>
  <sheetViews>
    <sheetView showGridLines="0" workbookViewId="0">
      <selection activeCell="A18" sqref="A18:H18"/>
    </sheetView>
  </sheetViews>
  <sheetFormatPr defaultRowHeight="15.75"/>
  <cols>
    <col min="1" max="1" width="12.5" style="849" customWidth="1"/>
    <col min="2" max="5" width="9.625" style="849" customWidth="1"/>
    <col min="6" max="6" width="10.625" style="849" customWidth="1"/>
    <col min="7" max="7" width="10.375" style="849" customWidth="1"/>
    <col min="8" max="8" width="9.75" style="849" customWidth="1"/>
    <col min="9" max="9" width="9.625" style="849" customWidth="1"/>
    <col min="10" max="10" width="10.125" style="849" customWidth="1"/>
    <col min="11" max="11" width="9.625" style="849" bestFit="1" customWidth="1"/>
    <col min="12" max="12" width="10.375" style="849" bestFit="1" customWidth="1"/>
    <col min="13" max="13" width="9.625" style="849" bestFit="1" customWidth="1"/>
    <col min="14" max="254" width="9" style="849"/>
    <col min="255" max="255" width="12.5" style="849" customWidth="1"/>
    <col min="256" max="256" width="8.875" style="849" customWidth="1"/>
    <col min="257" max="257" width="8.375" style="849" customWidth="1"/>
    <col min="258" max="258" width="9.25" style="849" customWidth="1"/>
    <col min="259" max="259" width="10.375" style="849" customWidth="1"/>
    <col min="260" max="260" width="9.75" style="849" customWidth="1"/>
    <col min="261" max="261" width="9.625" style="849" customWidth="1"/>
    <col min="262" max="263" width="11.25" style="849" customWidth="1"/>
    <col min="264" max="264" width="9.125" style="849" customWidth="1"/>
    <col min="265" max="265" width="9.625" style="849" bestFit="1" customWidth="1"/>
    <col min="266" max="266" width="10.375" style="849" bestFit="1" customWidth="1"/>
    <col min="267" max="267" width="9.625" style="849" bestFit="1" customWidth="1"/>
    <col min="268" max="510" width="9" style="849"/>
    <col min="511" max="511" width="12.5" style="849" customWidth="1"/>
    <col min="512" max="512" width="8.875" style="849" customWidth="1"/>
    <col min="513" max="513" width="8.375" style="849" customWidth="1"/>
    <col min="514" max="514" width="9.25" style="849" customWidth="1"/>
    <col min="515" max="515" width="10.375" style="849" customWidth="1"/>
    <col min="516" max="516" width="9.75" style="849" customWidth="1"/>
    <col min="517" max="517" width="9.625" style="849" customWidth="1"/>
    <col min="518" max="519" width="11.25" style="849" customWidth="1"/>
    <col min="520" max="520" width="9.125" style="849" customWidth="1"/>
    <col min="521" max="521" width="9.625" style="849" bestFit="1" customWidth="1"/>
    <col min="522" max="522" width="10.375" style="849" bestFit="1" customWidth="1"/>
    <col min="523" max="523" width="9.625" style="849" bestFit="1" customWidth="1"/>
    <col min="524" max="766" width="9" style="849"/>
    <col min="767" max="767" width="12.5" style="849" customWidth="1"/>
    <col min="768" max="768" width="8.875" style="849" customWidth="1"/>
    <col min="769" max="769" width="8.375" style="849" customWidth="1"/>
    <col min="770" max="770" width="9.25" style="849" customWidth="1"/>
    <col min="771" max="771" width="10.375" style="849" customWidth="1"/>
    <col min="772" max="772" width="9.75" style="849" customWidth="1"/>
    <col min="773" max="773" width="9.625" style="849" customWidth="1"/>
    <col min="774" max="775" width="11.25" style="849" customWidth="1"/>
    <col min="776" max="776" width="9.125" style="849" customWidth="1"/>
    <col min="777" max="777" width="9.625" style="849" bestFit="1" customWidth="1"/>
    <col min="778" max="778" width="10.375" style="849" bestFit="1" customWidth="1"/>
    <col min="779" max="779" width="9.625" style="849" bestFit="1" customWidth="1"/>
    <col min="780" max="1022" width="9" style="849"/>
    <col min="1023" max="1023" width="12.5" style="849" customWidth="1"/>
    <col min="1024" max="1024" width="8.875" style="849" customWidth="1"/>
    <col min="1025" max="1025" width="8.375" style="849" customWidth="1"/>
    <col min="1026" max="1026" width="9.25" style="849" customWidth="1"/>
    <col min="1027" max="1027" width="10.375" style="849" customWidth="1"/>
    <col min="1028" max="1028" width="9.75" style="849" customWidth="1"/>
    <col min="1029" max="1029" width="9.625" style="849" customWidth="1"/>
    <col min="1030" max="1031" width="11.25" style="849" customWidth="1"/>
    <col min="1032" max="1032" width="9.125" style="849" customWidth="1"/>
    <col min="1033" max="1033" width="9.625" style="849" bestFit="1" customWidth="1"/>
    <col min="1034" max="1034" width="10.375" style="849" bestFit="1" customWidth="1"/>
    <col min="1035" max="1035" width="9.625" style="849" bestFit="1" customWidth="1"/>
    <col min="1036" max="1278" width="9" style="849"/>
    <col min="1279" max="1279" width="12.5" style="849" customWidth="1"/>
    <col min="1280" max="1280" width="8.875" style="849" customWidth="1"/>
    <col min="1281" max="1281" width="8.375" style="849" customWidth="1"/>
    <col min="1282" max="1282" width="9.25" style="849" customWidth="1"/>
    <col min="1283" max="1283" width="10.375" style="849" customWidth="1"/>
    <col min="1284" max="1284" width="9.75" style="849" customWidth="1"/>
    <col min="1285" max="1285" width="9.625" style="849" customWidth="1"/>
    <col min="1286" max="1287" width="11.25" style="849" customWidth="1"/>
    <col min="1288" max="1288" width="9.125" style="849" customWidth="1"/>
    <col min="1289" max="1289" width="9.625" style="849" bestFit="1" customWidth="1"/>
    <col min="1290" max="1290" width="10.375" style="849" bestFit="1" customWidth="1"/>
    <col min="1291" max="1291" width="9.625" style="849" bestFit="1" customWidth="1"/>
    <col min="1292" max="1534" width="9" style="849"/>
    <col min="1535" max="1535" width="12.5" style="849" customWidth="1"/>
    <col min="1536" max="1536" width="8.875" style="849" customWidth="1"/>
    <col min="1537" max="1537" width="8.375" style="849" customWidth="1"/>
    <col min="1538" max="1538" width="9.25" style="849" customWidth="1"/>
    <col min="1539" max="1539" width="10.375" style="849" customWidth="1"/>
    <col min="1540" max="1540" width="9.75" style="849" customWidth="1"/>
    <col min="1541" max="1541" width="9.625" style="849" customWidth="1"/>
    <col min="1542" max="1543" width="11.25" style="849" customWidth="1"/>
    <col min="1544" max="1544" width="9.125" style="849" customWidth="1"/>
    <col min="1545" max="1545" width="9.625" style="849" bestFit="1" customWidth="1"/>
    <col min="1546" max="1546" width="10.375" style="849" bestFit="1" customWidth="1"/>
    <col min="1547" max="1547" width="9.625" style="849" bestFit="1" customWidth="1"/>
    <col min="1548" max="1790" width="9" style="849"/>
    <col min="1791" max="1791" width="12.5" style="849" customWidth="1"/>
    <col min="1792" max="1792" width="8.875" style="849" customWidth="1"/>
    <col min="1793" max="1793" width="8.375" style="849" customWidth="1"/>
    <col min="1794" max="1794" width="9.25" style="849" customWidth="1"/>
    <col min="1795" max="1795" width="10.375" style="849" customWidth="1"/>
    <col min="1796" max="1796" width="9.75" style="849" customWidth="1"/>
    <col min="1797" max="1797" width="9.625" style="849" customWidth="1"/>
    <col min="1798" max="1799" width="11.25" style="849" customWidth="1"/>
    <col min="1800" max="1800" width="9.125" style="849" customWidth="1"/>
    <col min="1801" max="1801" width="9.625" style="849" bestFit="1" customWidth="1"/>
    <col min="1802" max="1802" width="10.375" style="849" bestFit="1" customWidth="1"/>
    <col min="1803" max="1803" width="9.625" style="849" bestFit="1" customWidth="1"/>
    <col min="1804" max="2046" width="9" style="849"/>
    <col min="2047" max="2047" width="12.5" style="849" customWidth="1"/>
    <col min="2048" max="2048" width="8.875" style="849" customWidth="1"/>
    <col min="2049" max="2049" width="8.375" style="849" customWidth="1"/>
    <col min="2050" max="2050" width="9.25" style="849" customWidth="1"/>
    <col min="2051" max="2051" width="10.375" style="849" customWidth="1"/>
    <col min="2052" max="2052" width="9.75" style="849" customWidth="1"/>
    <col min="2053" max="2053" width="9.625" style="849" customWidth="1"/>
    <col min="2054" max="2055" width="11.25" style="849" customWidth="1"/>
    <col min="2056" max="2056" width="9.125" style="849" customWidth="1"/>
    <col min="2057" max="2057" width="9.625" style="849" bestFit="1" customWidth="1"/>
    <col min="2058" max="2058" width="10.375" style="849" bestFit="1" customWidth="1"/>
    <col min="2059" max="2059" width="9.625" style="849" bestFit="1" customWidth="1"/>
    <col min="2060" max="2302" width="9" style="849"/>
    <col min="2303" max="2303" width="12.5" style="849" customWidth="1"/>
    <col min="2304" max="2304" width="8.875" style="849" customWidth="1"/>
    <col min="2305" max="2305" width="8.375" style="849" customWidth="1"/>
    <col min="2306" max="2306" width="9.25" style="849" customWidth="1"/>
    <col min="2307" max="2307" width="10.375" style="849" customWidth="1"/>
    <col min="2308" max="2308" width="9.75" style="849" customWidth="1"/>
    <col min="2309" max="2309" width="9.625" style="849" customWidth="1"/>
    <col min="2310" max="2311" width="11.25" style="849" customWidth="1"/>
    <col min="2312" max="2312" width="9.125" style="849" customWidth="1"/>
    <col min="2313" max="2313" width="9.625" style="849" bestFit="1" customWidth="1"/>
    <col min="2314" max="2314" width="10.375" style="849" bestFit="1" customWidth="1"/>
    <col min="2315" max="2315" width="9.625" style="849" bestFit="1" customWidth="1"/>
    <col min="2316" max="2558" width="9" style="849"/>
    <col min="2559" max="2559" width="12.5" style="849" customWidth="1"/>
    <col min="2560" max="2560" width="8.875" style="849" customWidth="1"/>
    <col min="2561" max="2561" width="8.375" style="849" customWidth="1"/>
    <col min="2562" max="2562" width="9.25" style="849" customWidth="1"/>
    <col min="2563" max="2563" width="10.375" style="849" customWidth="1"/>
    <col min="2564" max="2564" width="9.75" style="849" customWidth="1"/>
    <col min="2565" max="2565" width="9.625" style="849" customWidth="1"/>
    <col min="2566" max="2567" width="11.25" style="849" customWidth="1"/>
    <col min="2568" max="2568" width="9.125" style="849" customWidth="1"/>
    <col min="2569" max="2569" width="9.625" style="849" bestFit="1" customWidth="1"/>
    <col min="2570" max="2570" width="10.375" style="849" bestFit="1" customWidth="1"/>
    <col min="2571" max="2571" width="9.625" style="849" bestFit="1" customWidth="1"/>
    <col min="2572" max="2814" width="9" style="849"/>
    <col min="2815" max="2815" width="12.5" style="849" customWidth="1"/>
    <col min="2816" max="2816" width="8.875" style="849" customWidth="1"/>
    <col min="2817" max="2817" width="8.375" style="849" customWidth="1"/>
    <col min="2818" max="2818" width="9.25" style="849" customWidth="1"/>
    <col min="2819" max="2819" width="10.375" style="849" customWidth="1"/>
    <col min="2820" max="2820" width="9.75" style="849" customWidth="1"/>
    <col min="2821" max="2821" width="9.625" style="849" customWidth="1"/>
    <col min="2822" max="2823" width="11.25" style="849" customWidth="1"/>
    <col min="2824" max="2824" width="9.125" style="849" customWidth="1"/>
    <col min="2825" max="2825" width="9.625" style="849" bestFit="1" customWidth="1"/>
    <col min="2826" max="2826" width="10.375" style="849" bestFit="1" customWidth="1"/>
    <col min="2827" max="2827" width="9.625" style="849" bestFit="1" customWidth="1"/>
    <col min="2828" max="3070" width="9" style="849"/>
    <col min="3071" max="3071" width="12.5" style="849" customWidth="1"/>
    <col min="3072" max="3072" width="8.875" style="849" customWidth="1"/>
    <col min="3073" max="3073" width="8.375" style="849" customWidth="1"/>
    <col min="3074" max="3074" width="9.25" style="849" customWidth="1"/>
    <col min="3075" max="3075" width="10.375" style="849" customWidth="1"/>
    <col min="3076" max="3076" width="9.75" style="849" customWidth="1"/>
    <col min="3077" max="3077" width="9.625" style="849" customWidth="1"/>
    <col min="3078" max="3079" width="11.25" style="849" customWidth="1"/>
    <col min="3080" max="3080" width="9.125" style="849" customWidth="1"/>
    <col min="3081" max="3081" width="9.625" style="849" bestFit="1" customWidth="1"/>
    <col min="3082" max="3082" width="10.375" style="849" bestFit="1" customWidth="1"/>
    <col min="3083" max="3083" width="9.625" style="849" bestFit="1" customWidth="1"/>
    <col min="3084" max="3326" width="9" style="849"/>
    <col min="3327" max="3327" width="12.5" style="849" customWidth="1"/>
    <col min="3328" max="3328" width="8.875" style="849" customWidth="1"/>
    <col min="3329" max="3329" width="8.375" style="849" customWidth="1"/>
    <col min="3330" max="3330" width="9.25" style="849" customWidth="1"/>
    <col min="3331" max="3331" width="10.375" style="849" customWidth="1"/>
    <col min="3332" max="3332" width="9.75" style="849" customWidth="1"/>
    <col min="3333" max="3333" width="9.625" style="849" customWidth="1"/>
    <col min="3334" max="3335" width="11.25" style="849" customWidth="1"/>
    <col min="3336" max="3336" width="9.125" style="849" customWidth="1"/>
    <col min="3337" max="3337" width="9.625" style="849" bestFit="1" customWidth="1"/>
    <col min="3338" max="3338" width="10.375" style="849" bestFit="1" customWidth="1"/>
    <col min="3339" max="3339" width="9.625" style="849" bestFit="1" customWidth="1"/>
    <col min="3340" max="3582" width="9" style="849"/>
    <col min="3583" max="3583" width="12.5" style="849" customWidth="1"/>
    <col min="3584" max="3584" width="8.875" style="849" customWidth="1"/>
    <col min="3585" max="3585" width="8.375" style="849" customWidth="1"/>
    <col min="3586" max="3586" width="9.25" style="849" customWidth="1"/>
    <col min="3587" max="3587" width="10.375" style="849" customWidth="1"/>
    <col min="3588" max="3588" width="9.75" style="849" customWidth="1"/>
    <col min="3589" max="3589" width="9.625" style="849" customWidth="1"/>
    <col min="3590" max="3591" width="11.25" style="849" customWidth="1"/>
    <col min="3592" max="3592" width="9.125" style="849" customWidth="1"/>
    <col min="3593" max="3593" width="9.625" style="849" bestFit="1" customWidth="1"/>
    <col min="3594" max="3594" width="10.375" style="849" bestFit="1" customWidth="1"/>
    <col min="3595" max="3595" width="9.625" style="849" bestFit="1" customWidth="1"/>
    <col min="3596" max="3838" width="9" style="849"/>
    <col min="3839" max="3839" width="12.5" style="849" customWidth="1"/>
    <col min="3840" max="3840" width="8.875" style="849" customWidth="1"/>
    <col min="3841" max="3841" width="8.375" style="849" customWidth="1"/>
    <col min="3842" max="3842" width="9.25" style="849" customWidth="1"/>
    <col min="3843" max="3843" width="10.375" style="849" customWidth="1"/>
    <col min="3844" max="3844" width="9.75" style="849" customWidth="1"/>
    <col min="3845" max="3845" width="9.625" style="849" customWidth="1"/>
    <col min="3846" max="3847" width="11.25" style="849" customWidth="1"/>
    <col min="3848" max="3848" width="9.125" style="849" customWidth="1"/>
    <col min="3849" max="3849" width="9.625" style="849" bestFit="1" customWidth="1"/>
    <col min="3850" max="3850" width="10.375" style="849" bestFit="1" customWidth="1"/>
    <col min="3851" max="3851" width="9.625" style="849" bestFit="1" customWidth="1"/>
    <col min="3852" max="4094" width="9" style="849"/>
    <col min="4095" max="4095" width="12.5" style="849" customWidth="1"/>
    <col min="4096" max="4096" width="8.875" style="849" customWidth="1"/>
    <col min="4097" max="4097" width="8.375" style="849" customWidth="1"/>
    <col min="4098" max="4098" width="9.25" style="849" customWidth="1"/>
    <col min="4099" max="4099" width="10.375" style="849" customWidth="1"/>
    <col min="4100" max="4100" width="9.75" style="849" customWidth="1"/>
    <col min="4101" max="4101" width="9.625" style="849" customWidth="1"/>
    <col min="4102" max="4103" width="11.25" style="849" customWidth="1"/>
    <col min="4104" max="4104" width="9.125" style="849" customWidth="1"/>
    <col min="4105" max="4105" width="9.625" style="849" bestFit="1" customWidth="1"/>
    <col min="4106" max="4106" width="10.375" style="849" bestFit="1" customWidth="1"/>
    <col min="4107" max="4107" width="9.625" style="849" bestFit="1" customWidth="1"/>
    <col min="4108" max="4350" width="9" style="849"/>
    <col min="4351" max="4351" width="12.5" style="849" customWidth="1"/>
    <col min="4352" max="4352" width="8.875" style="849" customWidth="1"/>
    <col min="4353" max="4353" width="8.375" style="849" customWidth="1"/>
    <col min="4354" max="4354" width="9.25" style="849" customWidth="1"/>
    <col min="4355" max="4355" width="10.375" style="849" customWidth="1"/>
    <col min="4356" max="4356" width="9.75" style="849" customWidth="1"/>
    <col min="4357" max="4357" width="9.625" style="849" customWidth="1"/>
    <col min="4358" max="4359" width="11.25" style="849" customWidth="1"/>
    <col min="4360" max="4360" width="9.125" style="849" customWidth="1"/>
    <col min="4361" max="4361" width="9.625" style="849" bestFit="1" customWidth="1"/>
    <col min="4362" max="4362" width="10.375" style="849" bestFit="1" customWidth="1"/>
    <col min="4363" max="4363" width="9.625" style="849" bestFit="1" customWidth="1"/>
    <col min="4364" max="4606" width="9" style="849"/>
    <col min="4607" max="4607" width="12.5" style="849" customWidth="1"/>
    <col min="4608" max="4608" width="8.875" style="849" customWidth="1"/>
    <col min="4609" max="4609" width="8.375" style="849" customWidth="1"/>
    <col min="4610" max="4610" width="9.25" style="849" customWidth="1"/>
    <col min="4611" max="4611" width="10.375" style="849" customWidth="1"/>
    <col min="4612" max="4612" width="9.75" style="849" customWidth="1"/>
    <col min="4613" max="4613" width="9.625" style="849" customWidth="1"/>
    <col min="4614" max="4615" width="11.25" style="849" customWidth="1"/>
    <col min="4616" max="4616" width="9.125" style="849" customWidth="1"/>
    <col min="4617" max="4617" width="9.625" style="849" bestFit="1" customWidth="1"/>
    <col min="4618" max="4618" width="10.375" style="849" bestFit="1" customWidth="1"/>
    <col min="4619" max="4619" width="9.625" style="849" bestFit="1" customWidth="1"/>
    <col min="4620" max="4862" width="9" style="849"/>
    <col min="4863" max="4863" width="12.5" style="849" customWidth="1"/>
    <col min="4864" max="4864" width="8.875" style="849" customWidth="1"/>
    <col min="4865" max="4865" width="8.375" style="849" customWidth="1"/>
    <col min="4866" max="4866" width="9.25" style="849" customWidth="1"/>
    <col min="4867" max="4867" width="10.375" style="849" customWidth="1"/>
    <col min="4868" max="4868" width="9.75" style="849" customWidth="1"/>
    <col min="4869" max="4869" width="9.625" style="849" customWidth="1"/>
    <col min="4870" max="4871" width="11.25" style="849" customWidth="1"/>
    <col min="4872" max="4872" width="9.125" style="849" customWidth="1"/>
    <col min="4873" max="4873" width="9.625" style="849" bestFit="1" customWidth="1"/>
    <col min="4874" max="4874" width="10.375" style="849" bestFit="1" customWidth="1"/>
    <col min="4875" max="4875" width="9.625" style="849" bestFit="1" customWidth="1"/>
    <col min="4876" max="5118" width="9" style="849"/>
    <col min="5119" max="5119" width="12.5" style="849" customWidth="1"/>
    <col min="5120" max="5120" width="8.875" style="849" customWidth="1"/>
    <col min="5121" max="5121" width="8.375" style="849" customWidth="1"/>
    <col min="5122" max="5122" width="9.25" style="849" customWidth="1"/>
    <col min="5123" max="5123" width="10.375" style="849" customWidth="1"/>
    <col min="5124" max="5124" width="9.75" style="849" customWidth="1"/>
    <col min="5125" max="5125" width="9.625" style="849" customWidth="1"/>
    <col min="5126" max="5127" width="11.25" style="849" customWidth="1"/>
    <col min="5128" max="5128" width="9.125" style="849" customWidth="1"/>
    <col min="5129" max="5129" width="9.625" style="849" bestFit="1" customWidth="1"/>
    <col min="5130" max="5130" width="10.375" style="849" bestFit="1" customWidth="1"/>
    <col min="5131" max="5131" width="9.625" style="849" bestFit="1" customWidth="1"/>
    <col min="5132" max="5374" width="9" style="849"/>
    <col min="5375" max="5375" width="12.5" style="849" customWidth="1"/>
    <col min="5376" max="5376" width="8.875" style="849" customWidth="1"/>
    <col min="5377" max="5377" width="8.375" style="849" customWidth="1"/>
    <col min="5378" max="5378" width="9.25" style="849" customWidth="1"/>
    <col min="5379" max="5379" width="10.375" style="849" customWidth="1"/>
    <col min="5380" max="5380" width="9.75" style="849" customWidth="1"/>
    <col min="5381" max="5381" width="9.625" style="849" customWidth="1"/>
    <col min="5382" max="5383" width="11.25" style="849" customWidth="1"/>
    <col min="5384" max="5384" width="9.125" style="849" customWidth="1"/>
    <col min="5385" max="5385" width="9.625" style="849" bestFit="1" customWidth="1"/>
    <col min="5386" max="5386" width="10.375" style="849" bestFit="1" customWidth="1"/>
    <col min="5387" max="5387" width="9.625" style="849" bestFit="1" customWidth="1"/>
    <col min="5388" max="5630" width="9" style="849"/>
    <col min="5631" max="5631" width="12.5" style="849" customWidth="1"/>
    <col min="5632" max="5632" width="8.875" style="849" customWidth="1"/>
    <col min="5633" max="5633" width="8.375" style="849" customWidth="1"/>
    <col min="5634" max="5634" width="9.25" style="849" customWidth="1"/>
    <col min="5635" max="5635" width="10.375" style="849" customWidth="1"/>
    <col min="5636" max="5636" width="9.75" style="849" customWidth="1"/>
    <col min="5637" max="5637" width="9.625" style="849" customWidth="1"/>
    <col min="5638" max="5639" width="11.25" style="849" customWidth="1"/>
    <col min="5640" max="5640" width="9.125" style="849" customWidth="1"/>
    <col min="5641" max="5641" width="9.625" style="849" bestFit="1" customWidth="1"/>
    <col min="5642" max="5642" width="10.375" style="849" bestFit="1" customWidth="1"/>
    <col min="5643" max="5643" width="9.625" style="849" bestFit="1" customWidth="1"/>
    <col min="5644" max="5886" width="9" style="849"/>
    <col min="5887" max="5887" width="12.5" style="849" customWidth="1"/>
    <col min="5888" max="5888" width="8.875" style="849" customWidth="1"/>
    <col min="5889" max="5889" width="8.375" style="849" customWidth="1"/>
    <col min="5890" max="5890" width="9.25" style="849" customWidth="1"/>
    <col min="5891" max="5891" width="10.375" style="849" customWidth="1"/>
    <col min="5892" max="5892" width="9.75" style="849" customWidth="1"/>
    <col min="5893" max="5893" width="9.625" style="849" customWidth="1"/>
    <col min="5894" max="5895" width="11.25" style="849" customWidth="1"/>
    <col min="5896" max="5896" width="9.125" style="849" customWidth="1"/>
    <col min="5897" max="5897" width="9.625" style="849" bestFit="1" customWidth="1"/>
    <col min="5898" max="5898" width="10.375" style="849" bestFit="1" customWidth="1"/>
    <col min="5899" max="5899" width="9.625" style="849" bestFit="1" customWidth="1"/>
    <col min="5900" max="6142" width="9" style="849"/>
    <col min="6143" max="6143" width="12.5" style="849" customWidth="1"/>
    <col min="6144" max="6144" width="8.875" style="849" customWidth="1"/>
    <col min="6145" max="6145" width="8.375" style="849" customWidth="1"/>
    <col min="6146" max="6146" width="9.25" style="849" customWidth="1"/>
    <col min="6147" max="6147" width="10.375" style="849" customWidth="1"/>
    <col min="6148" max="6148" width="9.75" style="849" customWidth="1"/>
    <col min="6149" max="6149" width="9.625" style="849" customWidth="1"/>
    <col min="6150" max="6151" width="11.25" style="849" customWidth="1"/>
    <col min="6152" max="6152" width="9.125" style="849" customWidth="1"/>
    <col min="6153" max="6153" width="9.625" style="849" bestFit="1" customWidth="1"/>
    <col min="6154" max="6154" width="10.375" style="849" bestFit="1" customWidth="1"/>
    <col min="6155" max="6155" width="9.625" style="849" bestFit="1" customWidth="1"/>
    <col min="6156" max="6398" width="9" style="849"/>
    <col min="6399" max="6399" width="12.5" style="849" customWidth="1"/>
    <col min="6400" max="6400" width="8.875" style="849" customWidth="1"/>
    <col min="6401" max="6401" width="8.375" style="849" customWidth="1"/>
    <col min="6402" max="6402" width="9.25" style="849" customWidth="1"/>
    <col min="6403" max="6403" width="10.375" style="849" customWidth="1"/>
    <col min="6404" max="6404" width="9.75" style="849" customWidth="1"/>
    <col min="6405" max="6405" width="9.625" style="849" customWidth="1"/>
    <col min="6406" max="6407" width="11.25" style="849" customWidth="1"/>
    <col min="6408" max="6408" width="9.125" style="849" customWidth="1"/>
    <col min="6409" max="6409" width="9.625" style="849" bestFit="1" customWidth="1"/>
    <col min="6410" max="6410" width="10.375" style="849" bestFit="1" customWidth="1"/>
    <col min="6411" max="6411" width="9.625" style="849" bestFit="1" customWidth="1"/>
    <col min="6412" max="6654" width="9" style="849"/>
    <col min="6655" max="6655" width="12.5" style="849" customWidth="1"/>
    <col min="6656" max="6656" width="8.875" style="849" customWidth="1"/>
    <col min="6657" max="6657" width="8.375" style="849" customWidth="1"/>
    <col min="6658" max="6658" width="9.25" style="849" customWidth="1"/>
    <col min="6659" max="6659" width="10.375" style="849" customWidth="1"/>
    <col min="6660" max="6660" width="9.75" style="849" customWidth="1"/>
    <col min="6661" max="6661" width="9.625" style="849" customWidth="1"/>
    <col min="6662" max="6663" width="11.25" style="849" customWidth="1"/>
    <col min="6664" max="6664" width="9.125" style="849" customWidth="1"/>
    <col min="6665" max="6665" width="9.625" style="849" bestFit="1" customWidth="1"/>
    <col min="6666" max="6666" width="10.375" style="849" bestFit="1" customWidth="1"/>
    <col min="6667" max="6667" width="9.625" style="849" bestFit="1" customWidth="1"/>
    <col min="6668" max="6910" width="9" style="849"/>
    <col min="6911" max="6911" width="12.5" style="849" customWidth="1"/>
    <col min="6912" max="6912" width="8.875" style="849" customWidth="1"/>
    <col min="6913" max="6913" width="8.375" style="849" customWidth="1"/>
    <col min="6914" max="6914" width="9.25" style="849" customWidth="1"/>
    <col min="6915" max="6915" width="10.375" style="849" customWidth="1"/>
    <col min="6916" max="6916" width="9.75" style="849" customWidth="1"/>
    <col min="6917" max="6917" width="9.625" style="849" customWidth="1"/>
    <col min="6918" max="6919" width="11.25" style="849" customWidth="1"/>
    <col min="6920" max="6920" width="9.125" style="849" customWidth="1"/>
    <col min="6921" max="6921" width="9.625" style="849" bestFit="1" customWidth="1"/>
    <col min="6922" max="6922" width="10.375" style="849" bestFit="1" customWidth="1"/>
    <col min="6923" max="6923" width="9.625" style="849" bestFit="1" customWidth="1"/>
    <col min="6924" max="7166" width="9" style="849"/>
    <col min="7167" max="7167" width="12.5" style="849" customWidth="1"/>
    <col min="7168" max="7168" width="8.875" style="849" customWidth="1"/>
    <col min="7169" max="7169" width="8.375" style="849" customWidth="1"/>
    <col min="7170" max="7170" width="9.25" style="849" customWidth="1"/>
    <col min="7171" max="7171" width="10.375" style="849" customWidth="1"/>
    <col min="7172" max="7172" width="9.75" style="849" customWidth="1"/>
    <col min="7173" max="7173" width="9.625" style="849" customWidth="1"/>
    <col min="7174" max="7175" width="11.25" style="849" customWidth="1"/>
    <col min="7176" max="7176" width="9.125" style="849" customWidth="1"/>
    <col min="7177" max="7177" width="9.625" style="849" bestFit="1" customWidth="1"/>
    <col min="7178" max="7178" width="10.375" style="849" bestFit="1" customWidth="1"/>
    <col min="7179" max="7179" width="9.625" style="849" bestFit="1" customWidth="1"/>
    <col min="7180" max="7422" width="9" style="849"/>
    <col min="7423" max="7423" width="12.5" style="849" customWidth="1"/>
    <col min="7424" max="7424" width="8.875" style="849" customWidth="1"/>
    <col min="7425" max="7425" width="8.375" style="849" customWidth="1"/>
    <col min="7426" max="7426" width="9.25" style="849" customWidth="1"/>
    <col min="7427" max="7427" width="10.375" style="849" customWidth="1"/>
    <col min="7428" max="7428" width="9.75" style="849" customWidth="1"/>
    <col min="7429" max="7429" width="9.625" style="849" customWidth="1"/>
    <col min="7430" max="7431" width="11.25" style="849" customWidth="1"/>
    <col min="7432" max="7432" width="9.125" style="849" customWidth="1"/>
    <col min="7433" max="7433" width="9.625" style="849" bestFit="1" customWidth="1"/>
    <col min="7434" max="7434" width="10.375" style="849" bestFit="1" customWidth="1"/>
    <col min="7435" max="7435" width="9.625" style="849" bestFit="1" customWidth="1"/>
    <col min="7436" max="7678" width="9" style="849"/>
    <col min="7679" max="7679" width="12.5" style="849" customWidth="1"/>
    <col min="7680" max="7680" width="8.875" style="849" customWidth="1"/>
    <col min="7681" max="7681" width="8.375" style="849" customWidth="1"/>
    <col min="7682" max="7682" width="9.25" style="849" customWidth="1"/>
    <col min="7683" max="7683" width="10.375" style="849" customWidth="1"/>
    <col min="7684" max="7684" width="9.75" style="849" customWidth="1"/>
    <col min="7685" max="7685" width="9.625" style="849" customWidth="1"/>
    <col min="7686" max="7687" width="11.25" style="849" customWidth="1"/>
    <col min="7688" max="7688" width="9.125" style="849" customWidth="1"/>
    <col min="7689" max="7689" width="9.625" style="849" bestFit="1" customWidth="1"/>
    <col min="7690" max="7690" width="10.375" style="849" bestFit="1" customWidth="1"/>
    <col min="7691" max="7691" width="9.625" style="849" bestFit="1" customWidth="1"/>
    <col min="7692" max="7934" width="9" style="849"/>
    <col min="7935" max="7935" width="12.5" style="849" customWidth="1"/>
    <col min="7936" max="7936" width="8.875" style="849" customWidth="1"/>
    <col min="7937" max="7937" width="8.375" style="849" customWidth="1"/>
    <col min="7938" max="7938" width="9.25" style="849" customWidth="1"/>
    <col min="7939" max="7939" width="10.375" style="849" customWidth="1"/>
    <col min="7940" max="7940" width="9.75" style="849" customWidth="1"/>
    <col min="7941" max="7941" width="9.625" style="849" customWidth="1"/>
    <col min="7942" max="7943" width="11.25" style="849" customWidth="1"/>
    <col min="7944" max="7944" width="9.125" style="849" customWidth="1"/>
    <col min="7945" max="7945" width="9.625" style="849" bestFit="1" customWidth="1"/>
    <col min="7946" max="7946" width="10.375" style="849" bestFit="1" customWidth="1"/>
    <col min="7947" max="7947" width="9.625" style="849" bestFit="1" customWidth="1"/>
    <col min="7948" max="8190" width="9" style="849"/>
    <col min="8191" max="8191" width="12.5" style="849" customWidth="1"/>
    <col min="8192" max="8192" width="8.875" style="849" customWidth="1"/>
    <col min="8193" max="8193" width="8.375" style="849" customWidth="1"/>
    <col min="8194" max="8194" width="9.25" style="849" customWidth="1"/>
    <col min="8195" max="8195" width="10.375" style="849" customWidth="1"/>
    <col min="8196" max="8196" width="9.75" style="849" customWidth="1"/>
    <col min="8197" max="8197" width="9.625" style="849" customWidth="1"/>
    <col min="8198" max="8199" width="11.25" style="849" customWidth="1"/>
    <col min="8200" max="8200" width="9.125" style="849" customWidth="1"/>
    <col min="8201" max="8201" width="9.625" style="849" bestFit="1" customWidth="1"/>
    <col min="8202" max="8202" width="10.375" style="849" bestFit="1" customWidth="1"/>
    <col min="8203" max="8203" width="9.625" style="849" bestFit="1" customWidth="1"/>
    <col min="8204" max="8446" width="9" style="849"/>
    <col min="8447" max="8447" width="12.5" style="849" customWidth="1"/>
    <col min="8448" max="8448" width="8.875" style="849" customWidth="1"/>
    <col min="8449" max="8449" width="8.375" style="849" customWidth="1"/>
    <col min="8450" max="8450" width="9.25" style="849" customWidth="1"/>
    <col min="8451" max="8451" width="10.375" style="849" customWidth="1"/>
    <col min="8452" max="8452" width="9.75" style="849" customWidth="1"/>
    <col min="8453" max="8453" width="9.625" style="849" customWidth="1"/>
    <col min="8454" max="8455" width="11.25" style="849" customWidth="1"/>
    <col min="8456" max="8456" width="9.125" style="849" customWidth="1"/>
    <col min="8457" max="8457" width="9.625" style="849" bestFit="1" customWidth="1"/>
    <col min="8458" max="8458" width="10.375" style="849" bestFit="1" customWidth="1"/>
    <col min="8459" max="8459" width="9.625" style="849" bestFit="1" customWidth="1"/>
    <col min="8460" max="8702" width="9" style="849"/>
    <col min="8703" max="8703" width="12.5" style="849" customWidth="1"/>
    <col min="8704" max="8704" width="8.875" style="849" customWidth="1"/>
    <col min="8705" max="8705" width="8.375" style="849" customWidth="1"/>
    <col min="8706" max="8706" width="9.25" style="849" customWidth="1"/>
    <col min="8707" max="8707" width="10.375" style="849" customWidth="1"/>
    <col min="8708" max="8708" width="9.75" style="849" customWidth="1"/>
    <col min="8709" max="8709" width="9.625" style="849" customWidth="1"/>
    <col min="8710" max="8711" width="11.25" style="849" customWidth="1"/>
    <col min="8712" max="8712" width="9.125" style="849" customWidth="1"/>
    <col min="8713" max="8713" width="9.625" style="849" bestFit="1" customWidth="1"/>
    <col min="8714" max="8714" width="10.375" style="849" bestFit="1" customWidth="1"/>
    <col min="8715" max="8715" width="9.625" style="849" bestFit="1" customWidth="1"/>
    <col min="8716" max="8958" width="9" style="849"/>
    <col min="8959" max="8959" width="12.5" style="849" customWidth="1"/>
    <col min="8960" max="8960" width="8.875" style="849" customWidth="1"/>
    <col min="8961" max="8961" width="8.375" style="849" customWidth="1"/>
    <col min="8962" max="8962" width="9.25" style="849" customWidth="1"/>
    <col min="8963" max="8963" width="10.375" style="849" customWidth="1"/>
    <col min="8964" max="8964" width="9.75" style="849" customWidth="1"/>
    <col min="8965" max="8965" width="9.625" style="849" customWidth="1"/>
    <col min="8966" max="8967" width="11.25" style="849" customWidth="1"/>
    <col min="8968" max="8968" width="9.125" style="849" customWidth="1"/>
    <col min="8969" max="8969" width="9.625" style="849" bestFit="1" customWidth="1"/>
    <col min="8970" max="8970" width="10.375" style="849" bestFit="1" customWidth="1"/>
    <col min="8971" max="8971" width="9.625" style="849" bestFit="1" customWidth="1"/>
    <col min="8972" max="9214" width="9" style="849"/>
    <col min="9215" max="9215" width="12.5" style="849" customWidth="1"/>
    <col min="9216" max="9216" width="8.875" style="849" customWidth="1"/>
    <col min="9217" max="9217" width="8.375" style="849" customWidth="1"/>
    <col min="9218" max="9218" width="9.25" style="849" customWidth="1"/>
    <col min="9219" max="9219" width="10.375" style="849" customWidth="1"/>
    <col min="9220" max="9220" width="9.75" style="849" customWidth="1"/>
    <col min="9221" max="9221" width="9.625" style="849" customWidth="1"/>
    <col min="9222" max="9223" width="11.25" style="849" customWidth="1"/>
    <col min="9224" max="9224" width="9.125" style="849" customWidth="1"/>
    <col min="9225" max="9225" width="9.625" style="849" bestFit="1" customWidth="1"/>
    <col min="9226" max="9226" width="10.375" style="849" bestFit="1" customWidth="1"/>
    <col min="9227" max="9227" width="9.625" style="849" bestFit="1" customWidth="1"/>
    <col min="9228" max="9470" width="9" style="849"/>
    <col min="9471" max="9471" width="12.5" style="849" customWidth="1"/>
    <col min="9472" max="9472" width="8.875" style="849" customWidth="1"/>
    <col min="9473" max="9473" width="8.375" style="849" customWidth="1"/>
    <col min="9474" max="9474" width="9.25" style="849" customWidth="1"/>
    <col min="9475" max="9475" width="10.375" style="849" customWidth="1"/>
    <col min="9476" max="9476" width="9.75" style="849" customWidth="1"/>
    <col min="9477" max="9477" width="9.625" style="849" customWidth="1"/>
    <col min="9478" max="9479" width="11.25" style="849" customWidth="1"/>
    <col min="9480" max="9480" width="9.125" style="849" customWidth="1"/>
    <col min="9481" max="9481" width="9.625" style="849" bestFit="1" customWidth="1"/>
    <col min="9482" max="9482" width="10.375" style="849" bestFit="1" customWidth="1"/>
    <col min="9483" max="9483" width="9.625" style="849" bestFit="1" customWidth="1"/>
    <col min="9484" max="9726" width="9" style="849"/>
    <col min="9727" max="9727" width="12.5" style="849" customWidth="1"/>
    <col min="9728" max="9728" width="8.875" style="849" customWidth="1"/>
    <col min="9729" max="9729" width="8.375" style="849" customWidth="1"/>
    <col min="9730" max="9730" width="9.25" style="849" customWidth="1"/>
    <col min="9731" max="9731" width="10.375" style="849" customWidth="1"/>
    <col min="9732" max="9732" width="9.75" style="849" customWidth="1"/>
    <col min="9733" max="9733" width="9.625" style="849" customWidth="1"/>
    <col min="9734" max="9735" width="11.25" style="849" customWidth="1"/>
    <col min="9736" max="9736" width="9.125" style="849" customWidth="1"/>
    <col min="9737" max="9737" width="9.625" style="849" bestFit="1" customWidth="1"/>
    <col min="9738" max="9738" width="10.375" style="849" bestFit="1" customWidth="1"/>
    <col min="9739" max="9739" width="9.625" style="849" bestFit="1" customWidth="1"/>
    <col min="9740" max="9982" width="9" style="849"/>
    <col min="9983" max="9983" width="12.5" style="849" customWidth="1"/>
    <col min="9984" max="9984" width="8.875" style="849" customWidth="1"/>
    <col min="9985" max="9985" width="8.375" style="849" customWidth="1"/>
    <col min="9986" max="9986" width="9.25" style="849" customWidth="1"/>
    <col min="9987" max="9987" width="10.375" style="849" customWidth="1"/>
    <col min="9988" max="9988" width="9.75" style="849" customWidth="1"/>
    <col min="9989" max="9989" width="9.625" style="849" customWidth="1"/>
    <col min="9990" max="9991" width="11.25" style="849" customWidth="1"/>
    <col min="9992" max="9992" width="9.125" style="849" customWidth="1"/>
    <col min="9993" max="9993" width="9.625" style="849" bestFit="1" customWidth="1"/>
    <col min="9994" max="9994" width="10.375" style="849" bestFit="1" customWidth="1"/>
    <col min="9995" max="9995" width="9.625" style="849" bestFit="1" customWidth="1"/>
    <col min="9996" max="10238" width="9" style="849"/>
    <col min="10239" max="10239" width="12.5" style="849" customWidth="1"/>
    <col min="10240" max="10240" width="8.875" style="849" customWidth="1"/>
    <col min="10241" max="10241" width="8.375" style="849" customWidth="1"/>
    <col min="10242" max="10242" width="9.25" style="849" customWidth="1"/>
    <col min="10243" max="10243" width="10.375" style="849" customWidth="1"/>
    <col min="10244" max="10244" width="9.75" style="849" customWidth="1"/>
    <col min="10245" max="10245" width="9.625" style="849" customWidth="1"/>
    <col min="10246" max="10247" width="11.25" style="849" customWidth="1"/>
    <col min="10248" max="10248" width="9.125" style="849" customWidth="1"/>
    <col min="10249" max="10249" width="9.625" style="849" bestFit="1" customWidth="1"/>
    <col min="10250" max="10250" width="10.375" style="849" bestFit="1" customWidth="1"/>
    <col min="10251" max="10251" width="9.625" style="849" bestFit="1" customWidth="1"/>
    <col min="10252" max="10494" width="9" style="849"/>
    <col min="10495" max="10495" width="12.5" style="849" customWidth="1"/>
    <col min="10496" max="10496" width="8.875" style="849" customWidth="1"/>
    <col min="10497" max="10497" width="8.375" style="849" customWidth="1"/>
    <col min="10498" max="10498" width="9.25" style="849" customWidth="1"/>
    <col min="10499" max="10499" width="10.375" style="849" customWidth="1"/>
    <col min="10500" max="10500" width="9.75" style="849" customWidth="1"/>
    <col min="10501" max="10501" width="9.625" style="849" customWidth="1"/>
    <col min="10502" max="10503" width="11.25" style="849" customWidth="1"/>
    <col min="10504" max="10504" width="9.125" style="849" customWidth="1"/>
    <col min="10505" max="10505" width="9.625" style="849" bestFit="1" customWidth="1"/>
    <col min="10506" max="10506" width="10.375" style="849" bestFit="1" customWidth="1"/>
    <col min="10507" max="10507" width="9.625" style="849" bestFit="1" customWidth="1"/>
    <col min="10508" max="10750" width="9" style="849"/>
    <col min="10751" max="10751" width="12.5" style="849" customWidth="1"/>
    <col min="10752" max="10752" width="8.875" style="849" customWidth="1"/>
    <col min="10753" max="10753" width="8.375" style="849" customWidth="1"/>
    <col min="10754" max="10754" width="9.25" style="849" customWidth="1"/>
    <col min="10755" max="10755" width="10.375" style="849" customWidth="1"/>
    <col min="10756" max="10756" width="9.75" style="849" customWidth="1"/>
    <col min="10757" max="10757" width="9.625" style="849" customWidth="1"/>
    <col min="10758" max="10759" width="11.25" style="849" customWidth="1"/>
    <col min="10760" max="10760" width="9.125" style="849" customWidth="1"/>
    <col min="10761" max="10761" width="9.625" style="849" bestFit="1" customWidth="1"/>
    <col min="10762" max="10762" width="10.375" style="849" bestFit="1" customWidth="1"/>
    <col min="10763" max="10763" width="9.625" style="849" bestFit="1" customWidth="1"/>
    <col min="10764" max="11006" width="9" style="849"/>
    <col min="11007" max="11007" width="12.5" style="849" customWidth="1"/>
    <col min="11008" max="11008" width="8.875" style="849" customWidth="1"/>
    <col min="11009" max="11009" width="8.375" style="849" customWidth="1"/>
    <col min="11010" max="11010" width="9.25" style="849" customWidth="1"/>
    <col min="11011" max="11011" width="10.375" style="849" customWidth="1"/>
    <col min="11012" max="11012" width="9.75" style="849" customWidth="1"/>
    <col min="11013" max="11013" width="9.625" style="849" customWidth="1"/>
    <col min="11014" max="11015" width="11.25" style="849" customWidth="1"/>
    <col min="11016" max="11016" width="9.125" style="849" customWidth="1"/>
    <col min="11017" max="11017" width="9.625" style="849" bestFit="1" customWidth="1"/>
    <col min="11018" max="11018" width="10.375" style="849" bestFit="1" customWidth="1"/>
    <col min="11019" max="11019" width="9.625" style="849" bestFit="1" customWidth="1"/>
    <col min="11020" max="11262" width="9" style="849"/>
    <col min="11263" max="11263" width="12.5" style="849" customWidth="1"/>
    <col min="11264" max="11264" width="8.875" style="849" customWidth="1"/>
    <col min="11265" max="11265" width="8.375" style="849" customWidth="1"/>
    <col min="11266" max="11266" width="9.25" style="849" customWidth="1"/>
    <col min="11267" max="11267" width="10.375" style="849" customWidth="1"/>
    <col min="11268" max="11268" width="9.75" style="849" customWidth="1"/>
    <col min="11269" max="11269" width="9.625" style="849" customWidth="1"/>
    <col min="11270" max="11271" width="11.25" style="849" customWidth="1"/>
    <col min="11272" max="11272" width="9.125" style="849" customWidth="1"/>
    <col min="11273" max="11273" width="9.625" style="849" bestFit="1" customWidth="1"/>
    <col min="11274" max="11274" width="10.375" style="849" bestFit="1" customWidth="1"/>
    <col min="11275" max="11275" width="9.625" style="849" bestFit="1" customWidth="1"/>
    <col min="11276" max="11518" width="9" style="849"/>
    <col min="11519" max="11519" width="12.5" style="849" customWidth="1"/>
    <col min="11520" max="11520" width="8.875" style="849" customWidth="1"/>
    <col min="11521" max="11521" width="8.375" style="849" customWidth="1"/>
    <col min="11522" max="11522" width="9.25" style="849" customWidth="1"/>
    <col min="11523" max="11523" width="10.375" style="849" customWidth="1"/>
    <col min="11524" max="11524" width="9.75" style="849" customWidth="1"/>
    <col min="11525" max="11525" width="9.625" style="849" customWidth="1"/>
    <col min="11526" max="11527" width="11.25" style="849" customWidth="1"/>
    <col min="11528" max="11528" width="9.125" style="849" customWidth="1"/>
    <col min="11529" max="11529" width="9.625" style="849" bestFit="1" customWidth="1"/>
    <col min="11530" max="11530" width="10.375" style="849" bestFit="1" customWidth="1"/>
    <col min="11531" max="11531" width="9.625" style="849" bestFit="1" customWidth="1"/>
    <col min="11532" max="11774" width="9" style="849"/>
    <col min="11775" max="11775" width="12.5" style="849" customWidth="1"/>
    <col min="11776" max="11776" width="8.875" style="849" customWidth="1"/>
    <col min="11777" max="11777" width="8.375" style="849" customWidth="1"/>
    <col min="11778" max="11778" width="9.25" style="849" customWidth="1"/>
    <col min="11779" max="11779" width="10.375" style="849" customWidth="1"/>
    <col min="11780" max="11780" width="9.75" style="849" customWidth="1"/>
    <col min="11781" max="11781" width="9.625" style="849" customWidth="1"/>
    <col min="11782" max="11783" width="11.25" style="849" customWidth="1"/>
    <col min="11784" max="11784" width="9.125" style="849" customWidth="1"/>
    <col min="11785" max="11785" width="9.625" style="849" bestFit="1" customWidth="1"/>
    <col min="11786" max="11786" width="10.375" style="849" bestFit="1" customWidth="1"/>
    <col min="11787" max="11787" width="9.625" style="849" bestFit="1" customWidth="1"/>
    <col min="11788" max="12030" width="9" style="849"/>
    <col min="12031" max="12031" width="12.5" style="849" customWidth="1"/>
    <col min="12032" max="12032" width="8.875" style="849" customWidth="1"/>
    <col min="12033" max="12033" width="8.375" style="849" customWidth="1"/>
    <col min="12034" max="12034" width="9.25" style="849" customWidth="1"/>
    <col min="12035" max="12035" width="10.375" style="849" customWidth="1"/>
    <col min="12036" max="12036" width="9.75" style="849" customWidth="1"/>
    <col min="12037" max="12037" width="9.625" style="849" customWidth="1"/>
    <col min="12038" max="12039" width="11.25" style="849" customWidth="1"/>
    <col min="12040" max="12040" width="9.125" style="849" customWidth="1"/>
    <col min="12041" max="12041" width="9.625" style="849" bestFit="1" customWidth="1"/>
    <col min="12042" max="12042" width="10.375" style="849" bestFit="1" customWidth="1"/>
    <col min="12043" max="12043" width="9.625" style="849" bestFit="1" customWidth="1"/>
    <col min="12044" max="12286" width="9" style="849"/>
    <col min="12287" max="12287" width="12.5" style="849" customWidth="1"/>
    <col min="12288" max="12288" width="8.875" style="849" customWidth="1"/>
    <col min="12289" max="12289" width="8.375" style="849" customWidth="1"/>
    <col min="12290" max="12290" width="9.25" style="849" customWidth="1"/>
    <col min="12291" max="12291" width="10.375" style="849" customWidth="1"/>
    <col min="12292" max="12292" width="9.75" style="849" customWidth="1"/>
    <col min="12293" max="12293" width="9.625" style="849" customWidth="1"/>
    <col min="12294" max="12295" width="11.25" style="849" customWidth="1"/>
    <col min="12296" max="12296" width="9.125" style="849" customWidth="1"/>
    <col min="12297" max="12297" width="9.625" style="849" bestFit="1" customWidth="1"/>
    <col min="12298" max="12298" width="10.375" style="849" bestFit="1" customWidth="1"/>
    <col min="12299" max="12299" width="9.625" style="849" bestFit="1" customWidth="1"/>
    <col min="12300" max="12542" width="9" style="849"/>
    <col min="12543" max="12543" width="12.5" style="849" customWidth="1"/>
    <col min="12544" max="12544" width="8.875" style="849" customWidth="1"/>
    <col min="12545" max="12545" width="8.375" style="849" customWidth="1"/>
    <col min="12546" max="12546" width="9.25" style="849" customWidth="1"/>
    <col min="12547" max="12547" width="10.375" style="849" customWidth="1"/>
    <col min="12548" max="12548" width="9.75" style="849" customWidth="1"/>
    <col min="12549" max="12549" width="9.625" style="849" customWidth="1"/>
    <col min="12550" max="12551" width="11.25" style="849" customWidth="1"/>
    <col min="12552" max="12552" width="9.125" style="849" customWidth="1"/>
    <col min="12553" max="12553" width="9.625" style="849" bestFit="1" customWidth="1"/>
    <col min="12554" max="12554" width="10.375" style="849" bestFit="1" customWidth="1"/>
    <col min="12555" max="12555" width="9.625" style="849" bestFit="1" customWidth="1"/>
    <col min="12556" max="12798" width="9" style="849"/>
    <col min="12799" max="12799" width="12.5" style="849" customWidth="1"/>
    <col min="12800" max="12800" width="8.875" style="849" customWidth="1"/>
    <col min="12801" max="12801" width="8.375" style="849" customWidth="1"/>
    <col min="12802" max="12802" width="9.25" style="849" customWidth="1"/>
    <col min="12803" max="12803" width="10.375" style="849" customWidth="1"/>
    <col min="12804" max="12804" width="9.75" style="849" customWidth="1"/>
    <col min="12805" max="12805" width="9.625" style="849" customWidth="1"/>
    <col min="12806" max="12807" width="11.25" style="849" customWidth="1"/>
    <col min="12808" max="12808" width="9.125" style="849" customWidth="1"/>
    <col min="12809" max="12809" width="9.625" style="849" bestFit="1" customWidth="1"/>
    <col min="12810" max="12810" width="10.375" style="849" bestFit="1" customWidth="1"/>
    <col min="12811" max="12811" width="9.625" style="849" bestFit="1" customWidth="1"/>
    <col min="12812" max="13054" width="9" style="849"/>
    <col min="13055" max="13055" width="12.5" style="849" customWidth="1"/>
    <col min="13056" max="13056" width="8.875" style="849" customWidth="1"/>
    <col min="13057" max="13057" width="8.375" style="849" customWidth="1"/>
    <col min="13058" max="13058" width="9.25" style="849" customWidth="1"/>
    <col min="13059" max="13059" width="10.375" style="849" customWidth="1"/>
    <col min="13060" max="13060" width="9.75" style="849" customWidth="1"/>
    <col min="13061" max="13061" width="9.625" style="849" customWidth="1"/>
    <col min="13062" max="13063" width="11.25" style="849" customWidth="1"/>
    <col min="13064" max="13064" width="9.125" style="849" customWidth="1"/>
    <col min="13065" max="13065" width="9.625" style="849" bestFit="1" customWidth="1"/>
    <col min="13066" max="13066" width="10.375" style="849" bestFit="1" customWidth="1"/>
    <col min="13067" max="13067" width="9.625" style="849" bestFit="1" customWidth="1"/>
    <col min="13068" max="13310" width="9" style="849"/>
    <col min="13311" max="13311" width="12.5" style="849" customWidth="1"/>
    <col min="13312" max="13312" width="8.875" style="849" customWidth="1"/>
    <col min="13313" max="13313" width="8.375" style="849" customWidth="1"/>
    <col min="13314" max="13314" width="9.25" style="849" customWidth="1"/>
    <col min="13315" max="13315" width="10.375" style="849" customWidth="1"/>
    <col min="13316" max="13316" width="9.75" style="849" customWidth="1"/>
    <col min="13317" max="13317" width="9.625" style="849" customWidth="1"/>
    <col min="13318" max="13319" width="11.25" style="849" customWidth="1"/>
    <col min="13320" max="13320" width="9.125" style="849" customWidth="1"/>
    <col min="13321" max="13321" width="9.625" style="849" bestFit="1" customWidth="1"/>
    <col min="13322" max="13322" width="10.375" style="849" bestFit="1" customWidth="1"/>
    <col min="13323" max="13323" width="9.625" style="849" bestFit="1" customWidth="1"/>
    <col min="13324" max="13566" width="9" style="849"/>
    <col min="13567" max="13567" width="12.5" style="849" customWidth="1"/>
    <col min="13568" max="13568" width="8.875" style="849" customWidth="1"/>
    <col min="13569" max="13569" width="8.375" style="849" customWidth="1"/>
    <col min="13570" max="13570" width="9.25" style="849" customWidth="1"/>
    <col min="13571" max="13571" width="10.375" style="849" customWidth="1"/>
    <col min="13572" max="13572" width="9.75" style="849" customWidth="1"/>
    <col min="13573" max="13573" width="9.625" style="849" customWidth="1"/>
    <col min="13574" max="13575" width="11.25" style="849" customWidth="1"/>
    <col min="13576" max="13576" width="9.125" style="849" customWidth="1"/>
    <col min="13577" max="13577" width="9.625" style="849" bestFit="1" customWidth="1"/>
    <col min="13578" max="13578" width="10.375" style="849" bestFit="1" customWidth="1"/>
    <col min="13579" max="13579" width="9.625" style="849" bestFit="1" customWidth="1"/>
    <col min="13580" max="13822" width="9" style="849"/>
    <col min="13823" max="13823" width="12.5" style="849" customWidth="1"/>
    <col min="13824" max="13824" width="8.875" style="849" customWidth="1"/>
    <col min="13825" max="13825" width="8.375" style="849" customWidth="1"/>
    <col min="13826" max="13826" width="9.25" style="849" customWidth="1"/>
    <col min="13827" max="13827" width="10.375" style="849" customWidth="1"/>
    <col min="13828" max="13828" width="9.75" style="849" customWidth="1"/>
    <col min="13829" max="13829" width="9.625" style="849" customWidth="1"/>
    <col min="13830" max="13831" width="11.25" style="849" customWidth="1"/>
    <col min="13832" max="13832" width="9.125" style="849" customWidth="1"/>
    <col min="13833" max="13833" width="9.625" style="849" bestFit="1" customWidth="1"/>
    <col min="13834" max="13834" width="10.375" style="849" bestFit="1" customWidth="1"/>
    <col min="13835" max="13835" width="9.625" style="849" bestFit="1" customWidth="1"/>
    <col min="13836" max="14078" width="9" style="849"/>
    <col min="14079" max="14079" width="12.5" style="849" customWidth="1"/>
    <col min="14080" max="14080" width="8.875" style="849" customWidth="1"/>
    <col min="14081" max="14081" width="8.375" style="849" customWidth="1"/>
    <col min="14082" max="14082" width="9.25" style="849" customWidth="1"/>
    <col min="14083" max="14083" width="10.375" style="849" customWidth="1"/>
    <col min="14084" max="14084" width="9.75" style="849" customWidth="1"/>
    <col min="14085" max="14085" width="9.625" style="849" customWidth="1"/>
    <col min="14086" max="14087" width="11.25" style="849" customWidth="1"/>
    <col min="14088" max="14088" width="9.125" style="849" customWidth="1"/>
    <col min="14089" max="14089" width="9.625" style="849" bestFit="1" customWidth="1"/>
    <col min="14090" max="14090" width="10.375" style="849" bestFit="1" customWidth="1"/>
    <col min="14091" max="14091" width="9.625" style="849" bestFit="1" customWidth="1"/>
    <col min="14092" max="14334" width="9" style="849"/>
    <col min="14335" max="14335" width="12.5" style="849" customWidth="1"/>
    <col min="14336" max="14336" width="8.875" style="849" customWidth="1"/>
    <col min="14337" max="14337" width="8.375" style="849" customWidth="1"/>
    <col min="14338" max="14338" width="9.25" style="849" customWidth="1"/>
    <col min="14339" max="14339" width="10.375" style="849" customWidth="1"/>
    <col min="14340" max="14340" width="9.75" style="849" customWidth="1"/>
    <col min="14341" max="14341" width="9.625" style="849" customWidth="1"/>
    <col min="14342" max="14343" width="11.25" style="849" customWidth="1"/>
    <col min="14344" max="14344" width="9.125" style="849" customWidth="1"/>
    <col min="14345" max="14345" width="9.625" style="849" bestFit="1" customWidth="1"/>
    <col min="14346" max="14346" width="10.375" style="849" bestFit="1" customWidth="1"/>
    <col min="14347" max="14347" width="9.625" style="849" bestFit="1" customWidth="1"/>
    <col min="14348" max="14590" width="9" style="849"/>
    <col min="14591" max="14591" width="12.5" style="849" customWidth="1"/>
    <col min="14592" max="14592" width="8.875" style="849" customWidth="1"/>
    <col min="14593" max="14593" width="8.375" style="849" customWidth="1"/>
    <col min="14594" max="14594" width="9.25" style="849" customWidth="1"/>
    <col min="14595" max="14595" width="10.375" style="849" customWidth="1"/>
    <col min="14596" max="14596" width="9.75" style="849" customWidth="1"/>
    <col min="14597" max="14597" width="9.625" style="849" customWidth="1"/>
    <col min="14598" max="14599" width="11.25" style="849" customWidth="1"/>
    <col min="14600" max="14600" width="9.125" style="849" customWidth="1"/>
    <col min="14601" max="14601" width="9.625" style="849" bestFit="1" customWidth="1"/>
    <col min="14602" max="14602" width="10.375" style="849" bestFit="1" customWidth="1"/>
    <col min="14603" max="14603" width="9.625" style="849" bestFit="1" customWidth="1"/>
    <col min="14604" max="14846" width="9" style="849"/>
    <col min="14847" max="14847" width="12.5" style="849" customWidth="1"/>
    <col min="14848" max="14848" width="8.875" style="849" customWidth="1"/>
    <col min="14849" max="14849" width="8.375" style="849" customWidth="1"/>
    <col min="14850" max="14850" width="9.25" style="849" customWidth="1"/>
    <col min="14851" max="14851" width="10.375" style="849" customWidth="1"/>
    <col min="14852" max="14852" width="9.75" style="849" customWidth="1"/>
    <col min="14853" max="14853" width="9.625" style="849" customWidth="1"/>
    <col min="14854" max="14855" width="11.25" style="849" customWidth="1"/>
    <col min="14856" max="14856" width="9.125" style="849" customWidth="1"/>
    <col min="14857" max="14857" width="9.625" style="849" bestFit="1" customWidth="1"/>
    <col min="14858" max="14858" width="10.375" style="849" bestFit="1" customWidth="1"/>
    <col min="14859" max="14859" width="9.625" style="849" bestFit="1" customWidth="1"/>
    <col min="14860" max="15102" width="9" style="849"/>
    <col min="15103" max="15103" width="12.5" style="849" customWidth="1"/>
    <col min="15104" max="15104" width="8.875" style="849" customWidth="1"/>
    <col min="15105" max="15105" width="8.375" style="849" customWidth="1"/>
    <col min="15106" max="15106" width="9.25" style="849" customWidth="1"/>
    <col min="15107" max="15107" width="10.375" style="849" customWidth="1"/>
    <col min="15108" max="15108" width="9.75" style="849" customWidth="1"/>
    <col min="15109" max="15109" width="9.625" style="849" customWidth="1"/>
    <col min="15110" max="15111" width="11.25" style="849" customWidth="1"/>
    <col min="15112" max="15112" width="9.125" style="849" customWidth="1"/>
    <col min="15113" max="15113" width="9.625" style="849" bestFit="1" customWidth="1"/>
    <col min="15114" max="15114" width="10.375" style="849" bestFit="1" customWidth="1"/>
    <col min="15115" max="15115" width="9.625" style="849" bestFit="1" customWidth="1"/>
    <col min="15116" max="15358" width="9" style="849"/>
    <col min="15359" max="15359" width="12.5" style="849" customWidth="1"/>
    <col min="15360" max="15360" width="8.875" style="849" customWidth="1"/>
    <col min="15361" max="15361" width="8.375" style="849" customWidth="1"/>
    <col min="15362" max="15362" width="9.25" style="849" customWidth="1"/>
    <col min="15363" max="15363" width="10.375" style="849" customWidth="1"/>
    <col min="15364" max="15364" width="9.75" style="849" customWidth="1"/>
    <col min="15365" max="15365" width="9.625" style="849" customWidth="1"/>
    <col min="15366" max="15367" width="11.25" style="849" customWidth="1"/>
    <col min="15368" max="15368" width="9.125" style="849" customWidth="1"/>
    <col min="15369" max="15369" width="9.625" style="849" bestFit="1" customWidth="1"/>
    <col min="15370" max="15370" width="10.375" style="849" bestFit="1" customWidth="1"/>
    <col min="15371" max="15371" width="9.625" style="849" bestFit="1" customWidth="1"/>
    <col min="15372" max="15614" width="9" style="849"/>
    <col min="15615" max="15615" width="12.5" style="849" customWidth="1"/>
    <col min="15616" max="15616" width="8.875" style="849" customWidth="1"/>
    <col min="15617" max="15617" width="8.375" style="849" customWidth="1"/>
    <col min="15618" max="15618" width="9.25" style="849" customWidth="1"/>
    <col min="15619" max="15619" width="10.375" style="849" customWidth="1"/>
    <col min="15620" max="15620" width="9.75" style="849" customWidth="1"/>
    <col min="15621" max="15621" width="9.625" style="849" customWidth="1"/>
    <col min="15622" max="15623" width="11.25" style="849" customWidth="1"/>
    <col min="15624" max="15624" width="9.125" style="849" customWidth="1"/>
    <col min="15625" max="15625" width="9.625" style="849" bestFit="1" customWidth="1"/>
    <col min="15626" max="15626" width="10.375" style="849" bestFit="1" customWidth="1"/>
    <col min="15627" max="15627" width="9.625" style="849" bestFit="1" customWidth="1"/>
    <col min="15628" max="15870" width="9" style="849"/>
    <col min="15871" max="15871" width="12.5" style="849" customWidth="1"/>
    <col min="15872" max="15872" width="8.875" style="849" customWidth="1"/>
    <col min="15873" max="15873" width="8.375" style="849" customWidth="1"/>
    <col min="15874" max="15874" width="9.25" style="849" customWidth="1"/>
    <col min="15875" max="15875" width="10.375" style="849" customWidth="1"/>
    <col min="15876" max="15876" width="9.75" style="849" customWidth="1"/>
    <col min="15877" max="15877" width="9.625" style="849" customWidth="1"/>
    <col min="15878" max="15879" width="11.25" style="849" customWidth="1"/>
    <col min="15880" max="15880" width="9.125" style="849" customWidth="1"/>
    <col min="15881" max="15881" width="9.625" style="849" bestFit="1" customWidth="1"/>
    <col min="15882" max="15882" width="10.375" style="849" bestFit="1" customWidth="1"/>
    <col min="15883" max="15883" width="9.625" style="849" bestFit="1" customWidth="1"/>
    <col min="15884" max="16126" width="9" style="849"/>
    <col min="16127" max="16127" width="12.5" style="849" customWidth="1"/>
    <col min="16128" max="16128" width="8.875" style="849" customWidth="1"/>
    <col min="16129" max="16129" width="8.375" style="849" customWidth="1"/>
    <col min="16130" max="16130" width="9.25" style="849" customWidth="1"/>
    <col min="16131" max="16131" width="10.375" style="849" customWidth="1"/>
    <col min="16132" max="16132" width="9.75" style="849" customWidth="1"/>
    <col min="16133" max="16133" width="9.625" style="849" customWidth="1"/>
    <col min="16134" max="16135" width="11.25" style="849" customWidth="1"/>
    <col min="16136" max="16136" width="9.125" style="849" customWidth="1"/>
    <col min="16137" max="16137" width="9.625" style="849" bestFit="1" customWidth="1"/>
    <col min="16138" max="16138" width="10.375" style="849" bestFit="1" customWidth="1"/>
    <col min="16139" max="16139" width="9.625" style="849" bestFit="1" customWidth="1"/>
    <col min="16140" max="16384" width="9" style="849"/>
  </cols>
  <sheetData>
    <row r="1" spans="1:13" ht="30.6" customHeight="1">
      <c r="A1" s="3936" t="s">
        <v>3676</v>
      </c>
      <c r="B1" s="3936"/>
      <c r="C1" s="3936"/>
      <c r="D1" s="3936"/>
      <c r="E1" s="3936"/>
      <c r="F1" s="3936"/>
      <c r="G1" s="3936"/>
      <c r="H1" s="3936"/>
      <c r="I1" s="3936"/>
      <c r="J1" s="3936"/>
      <c r="K1" s="3936"/>
      <c r="L1" s="3936"/>
      <c r="M1" s="3936"/>
    </row>
    <row r="2" spans="1:13" ht="24.75" customHeight="1">
      <c r="A2" s="3975" t="s">
        <v>3599</v>
      </c>
      <c r="B2" s="3982" t="s">
        <v>3600</v>
      </c>
      <c r="C2" s="3982"/>
      <c r="D2" s="3982"/>
      <c r="E2" s="3982"/>
      <c r="F2" s="3989" t="s">
        <v>3677</v>
      </c>
      <c r="G2" s="3982"/>
      <c r="H2" s="3982"/>
      <c r="I2" s="3982"/>
      <c r="J2" s="3982"/>
      <c r="K2" s="3983"/>
      <c r="L2" s="3985" t="s">
        <v>3602</v>
      </c>
      <c r="M2" s="3985"/>
    </row>
    <row r="3" spans="1:13" ht="22.9" customHeight="1">
      <c r="A3" s="3976"/>
      <c r="B3" s="3982" t="s">
        <v>3678</v>
      </c>
      <c r="C3" s="3982"/>
      <c r="D3" s="3986" t="s">
        <v>3604</v>
      </c>
      <c r="E3" s="3983"/>
      <c r="F3" s="3989" t="s">
        <v>3679</v>
      </c>
      <c r="G3" s="3988"/>
      <c r="H3" s="3986" t="s">
        <v>3606</v>
      </c>
      <c r="I3" s="3988"/>
      <c r="J3" s="3986" t="s">
        <v>3607</v>
      </c>
      <c r="K3" s="3987"/>
      <c r="L3" s="3982" t="s">
        <v>3608</v>
      </c>
      <c r="M3" s="3985"/>
    </row>
    <row r="4" spans="1:13" ht="22.9" customHeight="1">
      <c r="A4" s="3977"/>
      <c r="B4" s="2374" t="s">
        <v>3680</v>
      </c>
      <c r="C4" s="2375" t="s">
        <v>3681</v>
      </c>
      <c r="D4" s="2376" t="s">
        <v>3682</v>
      </c>
      <c r="E4" s="2375" t="s">
        <v>3458</v>
      </c>
      <c r="F4" s="2435" t="s">
        <v>3683</v>
      </c>
      <c r="G4" s="2375" t="s">
        <v>400</v>
      </c>
      <c r="H4" s="2376" t="s">
        <v>3684</v>
      </c>
      <c r="I4" s="2375" t="s">
        <v>3458</v>
      </c>
      <c r="J4" s="2376" t="s">
        <v>3685</v>
      </c>
      <c r="K4" s="2377" t="s">
        <v>3458</v>
      </c>
      <c r="L4" s="2436" t="s">
        <v>3686</v>
      </c>
      <c r="M4" s="2379" t="s">
        <v>3458</v>
      </c>
    </row>
    <row r="5" spans="1:13" ht="18.75" customHeight="1">
      <c r="A5" s="2380" t="s">
        <v>3613</v>
      </c>
      <c r="B5" s="2390">
        <v>3803</v>
      </c>
      <c r="C5" s="2259">
        <v>8.6093314920879269</v>
      </c>
      <c r="D5" s="2390">
        <v>384</v>
      </c>
      <c r="E5" s="2257">
        <v>2.8669553531431986</v>
      </c>
      <c r="F5" s="2389">
        <v>49</v>
      </c>
      <c r="G5" s="2437">
        <v>0.51573518576991895</v>
      </c>
      <c r="H5" s="2390">
        <v>19</v>
      </c>
      <c r="I5" s="2257">
        <v>1.292517006802721</v>
      </c>
      <c r="J5" s="2258">
        <v>1174</v>
      </c>
      <c r="K5" s="2386">
        <v>3.1576965491271953</v>
      </c>
      <c r="L5" s="2438">
        <v>594</v>
      </c>
      <c r="M5" s="2259">
        <v>4.1657900273511466</v>
      </c>
    </row>
    <row r="6" spans="1:13" ht="18.75" customHeight="1">
      <c r="A6" s="2380" t="s">
        <v>356</v>
      </c>
      <c r="B6" s="2390">
        <v>4181</v>
      </c>
      <c r="C6" s="2259">
        <v>8.5171830756381262</v>
      </c>
      <c r="D6" s="2390">
        <v>314</v>
      </c>
      <c r="E6" s="2257">
        <v>2.5716625716625718</v>
      </c>
      <c r="F6" s="2389">
        <v>53</v>
      </c>
      <c r="G6" s="2437">
        <v>0.62485262909691108</v>
      </c>
      <c r="H6" s="2390">
        <v>30</v>
      </c>
      <c r="I6" s="2257">
        <v>2.7422303473491771</v>
      </c>
      <c r="J6" s="2258">
        <v>1295</v>
      </c>
      <c r="K6" s="2386">
        <v>3.5499876641355304</v>
      </c>
      <c r="L6" s="2439">
        <v>900</v>
      </c>
      <c r="M6" s="2259">
        <v>5.5201177625122666</v>
      </c>
    </row>
    <row r="7" spans="1:13" ht="18.75" customHeight="1">
      <c r="A7" s="2380" t="s">
        <v>357</v>
      </c>
      <c r="B7" s="2390">
        <v>3894</v>
      </c>
      <c r="C7" s="2259">
        <v>8.0527752502274801</v>
      </c>
      <c r="D7" s="2390">
        <v>292</v>
      </c>
      <c r="E7" s="2257">
        <v>2.6632615833637359</v>
      </c>
      <c r="F7" s="2389">
        <v>43</v>
      </c>
      <c r="G7" s="2437">
        <v>0.61701822356148661</v>
      </c>
      <c r="H7" s="2390">
        <v>14</v>
      </c>
      <c r="I7" s="2257">
        <v>1.7478152309612984</v>
      </c>
      <c r="J7" s="2258">
        <v>1428</v>
      </c>
      <c r="K7" s="2386">
        <v>4.0389184296866159</v>
      </c>
      <c r="L7" s="2439">
        <v>837</v>
      </c>
      <c r="M7" s="2259">
        <v>5.3940839079719023</v>
      </c>
    </row>
    <row r="8" spans="1:13" ht="18.75" customHeight="1">
      <c r="A8" s="2380" t="s">
        <v>358</v>
      </c>
      <c r="B8" s="2390">
        <v>4741</v>
      </c>
      <c r="C8" s="2259">
        <v>9.8041648572078497</v>
      </c>
      <c r="D8" s="2390">
        <v>297</v>
      </c>
      <c r="E8" s="2257">
        <v>3.187379265936896</v>
      </c>
      <c r="F8" s="2389">
        <v>54</v>
      </c>
      <c r="G8" s="2437">
        <v>0.80597014925373134</v>
      </c>
      <c r="H8" s="2390">
        <v>26</v>
      </c>
      <c r="I8" s="2257">
        <v>3.8518518518518521</v>
      </c>
      <c r="J8" s="2258">
        <v>1435</v>
      </c>
      <c r="K8" s="2386">
        <v>4.1967654198227704</v>
      </c>
      <c r="L8" s="2439">
        <v>1002</v>
      </c>
      <c r="M8" s="2259">
        <v>6.1284403669724767</v>
      </c>
    </row>
    <row r="9" spans="1:13" ht="18.75" customHeight="1">
      <c r="A9" s="2380" t="s">
        <v>359</v>
      </c>
      <c r="B9" s="2390">
        <v>5851</v>
      </c>
      <c r="C9" s="2259">
        <v>11.466253821431371</v>
      </c>
      <c r="D9" s="2390">
        <v>397</v>
      </c>
      <c r="E9" s="2257">
        <v>4.7015632401705352</v>
      </c>
      <c r="F9" s="2389">
        <v>48</v>
      </c>
      <c r="G9" s="2437">
        <v>0.80294412847106056</v>
      </c>
      <c r="H9" s="2390">
        <v>18</v>
      </c>
      <c r="I9" s="2257">
        <v>2.8892455858747992</v>
      </c>
      <c r="J9" s="2258">
        <v>1666</v>
      </c>
      <c r="K9" s="2386">
        <v>4.8365557684491671</v>
      </c>
      <c r="L9" s="2439">
        <v>1169</v>
      </c>
      <c r="M9" s="2259">
        <v>6.6458214894826604</v>
      </c>
    </row>
    <row r="10" spans="1:13" ht="18.75" customHeight="1">
      <c r="A10" s="2380" t="s">
        <v>360</v>
      </c>
      <c r="B10" s="2390">
        <v>5862</v>
      </c>
      <c r="C10" s="2259">
        <v>12.421596880827259</v>
      </c>
      <c r="D10" s="2390">
        <v>286</v>
      </c>
      <c r="E10" s="2257">
        <v>3.4734029633228083</v>
      </c>
      <c r="F10" s="2389">
        <v>71</v>
      </c>
      <c r="G10" s="2437">
        <v>1.0573343261355175</v>
      </c>
      <c r="H10" s="2390">
        <v>29</v>
      </c>
      <c r="I10" s="2257">
        <v>4.53125</v>
      </c>
      <c r="J10" s="2258">
        <v>1839</v>
      </c>
      <c r="K10" s="2386">
        <v>5.416629848899885</v>
      </c>
      <c r="L10" s="2439">
        <v>1433</v>
      </c>
      <c r="M10" s="2259">
        <v>8.1843623279456281</v>
      </c>
    </row>
    <row r="11" spans="1:13" ht="18.75" customHeight="1">
      <c r="A11" s="2380" t="s">
        <v>361</v>
      </c>
      <c r="B11" s="2390">
        <v>5179</v>
      </c>
      <c r="C11" s="2259">
        <v>12.062419937114242</v>
      </c>
      <c r="D11" s="2390">
        <v>324</v>
      </c>
      <c r="E11" s="2257">
        <v>3.6148610956153071</v>
      </c>
      <c r="F11" s="2389">
        <v>82</v>
      </c>
      <c r="G11" s="2437">
        <v>1.0630023334197563</v>
      </c>
      <c r="H11" s="2390">
        <v>34</v>
      </c>
      <c r="I11" s="2257">
        <v>4.788732394366197</v>
      </c>
      <c r="J11" s="2258">
        <v>2030</v>
      </c>
      <c r="K11" s="2386">
        <v>5.8694269357543511</v>
      </c>
      <c r="L11" s="2439">
        <v>1565</v>
      </c>
      <c r="M11" s="2259">
        <v>8.1218537547355858</v>
      </c>
    </row>
    <row r="12" spans="1:13" ht="18.75" customHeight="1">
      <c r="A12" s="2380" t="s">
        <v>362</v>
      </c>
      <c r="B12" s="2390">
        <v>5482</v>
      </c>
      <c r="C12" s="2259">
        <v>11.825104079035356</v>
      </c>
      <c r="D12" s="2390">
        <v>265</v>
      </c>
      <c r="E12" s="2257">
        <v>3.1747933389241645</v>
      </c>
      <c r="F12" s="2389">
        <v>101</v>
      </c>
      <c r="G12" s="2437">
        <v>1.5029761904761905</v>
      </c>
      <c r="H12" s="2390">
        <v>37</v>
      </c>
      <c r="I12" s="2257">
        <v>5.967741935483871</v>
      </c>
      <c r="J12" s="2258">
        <v>2234</v>
      </c>
      <c r="K12" s="2386">
        <v>6.1546090693702133</v>
      </c>
      <c r="L12" s="2439">
        <v>1446</v>
      </c>
      <c r="M12" s="2259">
        <v>8.0646960401561643</v>
      </c>
    </row>
    <row r="13" spans="1:13" ht="18.75" customHeight="1">
      <c r="A13" s="2380" t="s">
        <v>363</v>
      </c>
      <c r="B13" s="2390">
        <v>5644</v>
      </c>
      <c r="C13" s="2259">
        <v>12.402214995165686</v>
      </c>
      <c r="D13" s="2390">
        <v>467</v>
      </c>
      <c r="E13" s="2257">
        <v>5.3994681466065435</v>
      </c>
      <c r="F13" s="2389">
        <v>92</v>
      </c>
      <c r="G13" s="2437">
        <v>1.8359608860506884</v>
      </c>
      <c r="H13" s="2390">
        <v>36</v>
      </c>
      <c r="I13" s="2257">
        <v>7.4844074844074848</v>
      </c>
      <c r="J13" s="2258">
        <v>2395</v>
      </c>
      <c r="K13" s="2386">
        <v>6.6231575454218632</v>
      </c>
      <c r="L13" s="2439">
        <v>1386</v>
      </c>
      <c r="M13" s="2259">
        <v>8.4579239641178994</v>
      </c>
    </row>
    <row r="14" spans="1:13" ht="18.75" customHeight="1">
      <c r="A14" s="2440" t="s">
        <v>765</v>
      </c>
      <c r="B14" s="2441">
        <v>5872</v>
      </c>
      <c r="C14" s="2274">
        <v>13.873924959833664</v>
      </c>
      <c r="D14" s="2441">
        <v>335</v>
      </c>
      <c r="E14" s="2272">
        <v>4.1134577603143416</v>
      </c>
      <c r="F14" s="2392">
        <v>72</v>
      </c>
      <c r="G14" s="2442">
        <v>1.9017432646592711</v>
      </c>
      <c r="H14" s="2441">
        <v>30</v>
      </c>
      <c r="I14" s="2272">
        <v>7.5566750629722925</v>
      </c>
      <c r="J14" s="2273">
        <v>2547</v>
      </c>
      <c r="K14" s="2443">
        <v>7.3250697420264004</v>
      </c>
      <c r="L14" s="2444">
        <v>1757</v>
      </c>
      <c r="M14" s="2274">
        <v>9.8304705421585634</v>
      </c>
    </row>
    <row r="15" spans="1:13" s="2275" customFormat="1" ht="19.5" customHeight="1">
      <c r="A15" s="2445" t="s">
        <v>3674</v>
      </c>
      <c r="B15" s="2446"/>
      <c r="C15" s="2446"/>
      <c r="D15" s="2446"/>
      <c r="E15" s="2334"/>
      <c r="F15" s="2334"/>
      <c r="G15" s="2334"/>
      <c r="H15" s="2334"/>
      <c r="I15" s="2334"/>
      <c r="J15" s="2447"/>
      <c r="K15" s="2447"/>
      <c r="L15" s="2447"/>
      <c r="M15" s="2447"/>
    </row>
    <row r="16" spans="1:13" s="2277" customFormat="1" ht="12.75" customHeight="1">
      <c r="A16" s="4013" t="s">
        <v>3687</v>
      </c>
      <c r="B16" s="4013"/>
      <c r="C16" s="4013"/>
      <c r="D16" s="4013"/>
      <c r="E16" s="4013"/>
      <c r="F16" s="4013"/>
      <c r="G16" s="2448"/>
      <c r="H16" s="2448"/>
      <c r="I16" s="2448"/>
      <c r="J16" s="2411"/>
      <c r="K16" s="2411"/>
      <c r="L16" s="2411"/>
      <c r="M16" s="2411"/>
    </row>
    <row r="17" spans="1:13">
      <c r="A17" s="3991" t="s">
        <v>3688</v>
      </c>
      <c r="B17" s="4014"/>
      <c r="C17" s="4014"/>
      <c r="D17" s="4014"/>
      <c r="E17" s="4014"/>
      <c r="F17" s="4014"/>
      <c r="G17" s="4014"/>
      <c r="H17" s="4014"/>
      <c r="I17" s="4014"/>
      <c r="J17" s="4015"/>
      <c r="K17" s="4015"/>
      <c r="L17" s="4015"/>
      <c r="M17" s="4015"/>
    </row>
    <row r="18" spans="1:13">
      <c r="A18" s="3991" t="s">
        <v>3689</v>
      </c>
      <c r="B18" s="3991"/>
      <c r="C18" s="3991"/>
      <c r="D18" s="3991"/>
      <c r="E18" s="3991"/>
      <c r="F18" s="3991"/>
      <c r="G18" s="3991"/>
      <c r="H18" s="3991"/>
      <c r="I18" s="3991"/>
      <c r="J18" s="3991"/>
      <c r="K18" s="3991"/>
      <c r="L18" s="3991"/>
      <c r="M18" s="3991"/>
    </row>
    <row r="19" spans="1:13">
      <c r="A19" s="3991" t="s">
        <v>3690</v>
      </c>
      <c r="B19" s="3991"/>
      <c r="C19" s="3991"/>
      <c r="D19" s="3991"/>
      <c r="E19" s="3991"/>
      <c r="F19" s="3991"/>
      <c r="G19" s="3991"/>
      <c r="H19" s="3991"/>
      <c r="I19" s="3991"/>
      <c r="J19" s="3991"/>
      <c r="K19" s="3991"/>
      <c r="L19" s="3991"/>
      <c r="M19" s="3991"/>
    </row>
    <row r="20" spans="1:13">
      <c r="G20" s="2449"/>
    </row>
    <row r="21" spans="1:13">
      <c r="G21" s="2449"/>
    </row>
    <row r="22" spans="1:13">
      <c r="G22" s="2449"/>
    </row>
    <row r="23" spans="1:13">
      <c r="G23" s="2449"/>
    </row>
    <row r="24" spans="1:13">
      <c r="G24" s="2449"/>
    </row>
    <row r="25" spans="1:13">
      <c r="G25" s="2449"/>
    </row>
    <row r="26" spans="1:13">
      <c r="G26" s="2449"/>
    </row>
    <row r="27" spans="1:13">
      <c r="G27" s="2449"/>
    </row>
    <row r="28" spans="1:13">
      <c r="G28" s="2449"/>
    </row>
    <row r="29" spans="1:13">
      <c r="G29" s="2449"/>
    </row>
    <row r="30" spans="1:13">
      <c r="G30" s="2449"/>
    </row>
  </sheetData>
  <mergeCells count="15">
    <mergeCell ref="A16:F16"/>
    <mergeCell ref="A17:M17"/>
    <mergeCell ref="A18:M18"/>
    <mergeCell ref="A19:M19"/>
    <mergeCell ref="A1:M1"/>
    <mergeCell ref="A2:A4"/>
    <mergeCell ref="B2:E2"/>
    <mergeCell ref="F2:K2"/>
    <mergeCell ref="L2:M2"/>
    <mergeCell ref="B3:C3"/>
    <mergeCell ref="D3:E3"/>
    <mergeCell ref="F3:G3"/>
    <mergeCell ref="H3:I3"/>
    <mergeCell ref="J3:K3"/>
    <mergeCell ref="L3:M3"/>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72" firstPageNumber="262" orientation="landscape" r:id="rId1"/>
  <headerFooter differentOddEven="1" scaleWithDoc="0">
    <oddHeader>&amp;L&amp;"Times New Roman,標準"&amp;8 107&amp;"標楷體,標準"年犯罪狀況及其分析</oddHeader>
    <evenHeader>&amp;R&amp;"標楷體,標準"&amp;8第四篇　特定類型犯罪者之犯罪趨勢與處遇</evenHead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M17"/>
  <sheetViews>
    <sheetView showGridLines="0" zoomScale="112" workbookViewId="0">
      <selection activeCell="A18" sqref="A18:H18"/>
    </sheetView>
  </sheetViews>
  <sheetFormatPr defaultRowHeight="15.75"/>
  <cols>
    <col min="1" max="1" width="13.5" style="183" customWidth="1"/>
    <col min="2" max="2" width="3.125" style="183" customWidth="1"/>
    <col min="3" max="3" width="8.375" style="2464" customWidth="1"/>
    <col min="4" max="4" width="8.625" style="183" customWidth="1"/>
    <col min="5" max="5" width="7.5" style="183" customWidth="1"/>
    <col min="6" max="6" width="6.875" style="183" customWidth="1"/>
    <col min="7" max="7" width="7.5" style="183" customWidth="1"/>
    <col min="8" max="9" width="11.25" style="183" customWidth="1"/>
    <col min="10" max="10" width="10.375" style="183" customWidth="1"/>
    <col min="11" max="11" width="9.5" style="183" bestFit="1" customWidth="1"/>
    <col min="12" max="12" width="10.125" style="183" bestFit="1" customWidth="1"/>
    <col min="13" max="13" width="9.5" style="183" bestFit="1" customWidth="1"/>
    <col min="14" max="256" width="9" style="183"/>
    <col min="257" max="257" width="13.5" style="183" customWidth="1"/>
    <col min="258" max="258" width="3.125" style="183" customWidth="1"/>
    <col min="259" max="259" width="8.375" style="183" customWidth="1"/>
    <col min="260" max="260" width="8.625" style="183" customWidth="1"/>
    <col min="261" max="261" width="7.5" style="183" customWidth="1"/>
    <col min="262" max="262" width="6.875" style="183" customWidth="1"/>
    <col min="263" max="263" width="7.5" style="183" customWidth="1"/>
    <col min="264" max="265" width="11.25" style="183" customWidth="1"/>
    <col min="266" max="266" width="10.375" style="183" customWidth="1"/>
    <col min="267" max="267" width="9.5" style="183" bestFit="1" customWidth="1"/>
    <col min="268" max="268" width="9.375" style="183" bestFit="1" customWidth="1"/>
    <col min="269" max="269" width="9.5" style="183" bestFit="1" customWidth="1"/>
    <col min="270" max="512" width="9" style="183"/>
    <col min="513" max="513" width="13.5" style="183" customWidth="1"/>
    <col min="514" max="514" width="3.125" style="183" customWidth="1"/>
    <col min="515" max="515" width="8.375" style="183" customWidth="1"/>
    <col min="516" max="516" width="8.625" style="183" customWidth="1"/>
    <col min="517" max="517" width="7.5" style="183" customWidth="1"/>
    <col min="518" max="518" width="6.875" style="183" customWidth="1"/>
    <col min="519" max="519" width="7.5" style="183" customWidth="1"/>
    <col min="520" max="521" width="11.25" style="183" customWidth="1"/>
    <col min="522" max="522" width="10.375" style="183" customWidth="1"/>
    <col min="523" max="523" width="9.5" style="183" bestFit="1" customWidth="1"/>
    <col min="524" max="524" width="9.375" style="183" bestFit="1" customWidth="1"/>
    <col min="525" max="525" width="9.5" style="183" bestFit="1" customWidth="1"/>
    <col min="526" max="768" width="9" style="183"/>
    <col min="769" max="769" width="13.5" style="183" customWidth="1"/>
    <col min="770" max="770" width="3.125" style="183" customWidth="1"/>
    <col min="771" max="771" width="8.375" style="183" customWidth="1"/>
    <col min="772" max="772" width="8.625" style="183" customWidth="1"/>
    <col min="773" max="773" width="7.5" style="183" customWidth="1"/>
    <col min="774" max="774" width="6.875" style="183" customWidth="1"/>
    <col min="775" max="775" width="7.5" style="183" customWidth="1"/>
    <col min="776" max="777" width="11.25" style="183" customWidth="1"/>
    <col min="778" max="778" width="10.375" style="183" customWidth="1"/>
    <col min="779" max="779" width="9.5" style="183" bestFit="1" customWidth="1"/>
    <col min="780" max="780" width="9.375" style="183" bestFit="1" customWidth="1"/>
    <col min="781" max="781" width="9.5" style="183" bestFit="1" customWidth="1"/>
    <col min="782" max="1024" width="9" style="183"/>
    <col min="1025" max="1025" width="13.5" style="183" customWidth="1"/>
    <col min="1026" max="1026" width="3.125" style="183" customWidth="1"/>
    <col min="1027" max="1027" width="8.375" style="183" customWidth="1"/>
    <col min="1028" max="1028" width="8.625" style="183" customWidth="1"/>
    <col min="1029" max="1029" width="7.5" style="183" customWidth="1"/>
    <col min="1030" max="1030" width="6.875" style="183" customWidth="1"/>
    <col min="1031" max="1031" width="7.5" style="183" customWidth="1"/>
    <col min="1032" max="1033" width="11.25" style="183" customWidth="1"/>
    <col min="1034" max="1034" width="10.375" style="183" customWidth="1"/>
    <col min="1035" max="1035" width="9.5" style="183" bestFit="1" customWidth="1"/>
    <col min="1036" max="1036" width="9.375" style="183" bestFit="1" customWidth="1"/>
    <col min="1037" max="1037" width="9.5" style="183" bestFit="1" customWidth="1"/>
    <col min="1038" max="1280" width="9" style="183"/>
    <col min="1281" max="1281" width="13.5" style="183" customWidth="1"/>
    <col min="1282" max="1282" width="3.125" style="183" customWidth="1"/>
    <col min="1283" max="1283" width="8.375" style="183" customWidth="1"/>
    <col min="1284" max="1284" width="8.625" style="183" customWidth="1"/>
    <col min="1285" max="1285" width="7.5" style="183" customWidth="1"/>
    <col min="1286" max="1286" width="6.875" style="183" customWidth="1"/>
    <col min="1287" max="1287" width="7.5" style="183" customWidth="1"/>
    <col min="1288" max="1289" width="11.25" style="183" customWidth="1"/>
    <col min="1290" max="1290" width="10.375" style="183" customWidth="1"/>
    <col min="1291" max="1291" width="9.5" style="183" bestFit="1" customWidth="1"/>
    <col min="1292" max="1292" width="9.375" style="183" bestFit="1" customWidth="1"/>
    <col min="1293" max="1293" width="9.5" style="183" bestFit="1" customWidth="1"/>
    <col min="1294" max="1536" width="9" style="183"/>
    <col min="1537" max="1537" width="13.5" style="183" customWidth="1"/>
    <col min="1538" max="1538" width="3.125" style="183" customWidth="1"/>
    <col min="1539" max="1539" width="8.375" style="183" customWidth="1"/>
    <col min="1540" max="1540" width="8.625" style="183" customWidth="1"/>
    <col min="1541" max="1541" width="7.5" style="183" customWidth="1"/>
    <col min="1542" max="1542" width="6.875" style="183" customWidth="1"/>
    <col min="1543" max="1543" width="7.5" style="183" customWidth="1"/>
    <col min="1544" max="1545" width="11.25" style="183" customWidth="1"/>
    <col min="1546" max="1546" width="10.375" style="183" customWidth="1"/>
    <col min="1547" max="1547" width="9.5" style="183" bestFit="1" customWidth="1"/>
    <col min="1548" max="1548" width="9.375" style="183" bestFit="1" customWidth="1"/>
    <col min="1549" max="1549" width="9.5" style="183" bestFit="1" customWidth="1"/>
    <col min="1550" max="1792" width="9" style="183"/>
    <col min="1793" max="1793" width="13.5" style="183" customWidth="1"/>
    <col min="1794" max="1794" width="3.125" style="183" customWidth="1"/>
    <col min="1795" max="1795" width="8.375" style="183" customWidth="1"/>
    <col min="1796" max="1796" width="8.625" style="183" customWidth="1"/>
    <col min="1797" max="1797" width="7.5" style="183" customWidth="1"/>
    <col min="1798" max="1798" width="6.875" style="183" customWidth="1"/>
    <col min="1799" max="1799" width="7.5" style="183" customWidth="1"/>
    <col min="1800" max="1801" width="11.25" style="183" customWidth="1"/>
    <col min="1802" max="1802" width="10.375" style="183" customWidth="1"/>
    <col min="1803" max="1803" width="9.5" style="183" bestFit="1" customWidth="1"/>
    <col min="1804" max="1804" width="9.375" style="183" bestFit="1" customWidth="1"/>
    <col min="1805" max="1805" width="9.5" style="183" bestFit="1" customWidth="1"/>
    <col min="1806" max="2048" width="9" style="183"/>
    <col min="2049" max="2049" width="13.5" style="183" customWidth="1"/>
    <col min="2050" max="2050" width="3.125" style="183" customWidth="1"/>
    <col min="2051" max="2051" width="8.375" style="183" customWidth="1"/>
    <col min="2052" max="2052" width="8.625" style="183" customWidth="1"/>
    <col min="2053" max="2053" width="7.5" style="183" customWidth="1"/>
    <col min="2054" max="2054" width="6.875" style="183" customWidth="1"/>
    <col min="2055" max="2055" width="7.5" style="183" customWidth="1"/>
    <col min="2056" max="2057" width="11.25" style="183" customWidth="1"/>
    <col min="2058" max="2058" width="10.375" style="183" customWidth="1"/>
    <col min="2059" max="2059" width="9.5" style="183" bestFit="1" customWidth="1"/>
    <col min="2060" max="2060" width="9.375" style="183" bestFit="1" customWidth="1"/>
    <col min="2061" max="2061" width="9.5" style="183" bestFit="1" customWidth="1"/>
    <col min="2062" max="2304" width="9" style="183"/>
    <col min="2305" max="2305" width="13.5" style="183" customWidth="1"/>
    <col min="2306" max="2306" width="3.125" style="183" customWidth="1"/>
    <col min="2307" max="2307" width="8.375" style="183" customWidth="1"/>
    <col min="2308" max="2308" width="8.625" style="183" customWidth="1"/>
    <col min="2309" max="2309" width="7.5" style="183" customWidth="1"/>
    <col min="2310" max="2310" width="6.875" style="183" customWidth="1"/>
    <col min="2311" max="2311" width="7.5" style="183" customWidth="1"/>
    <col min="2312" max="2313" width="11.25" style="183" customWidth="1"/>
    <col min="2314" max="2314" width="10.375" style="183" customWidth="1"/>
    <col min="2315" max="2315" width="9.5" style="183" bestFit="1" customWidth="1"/>
    <col min="2316" max="2316" width="9.375" style="183" bestFit="1" customWidth="1"/>
    <col min="2317" max="2317" width="9.5" style="183" bestFit="1" customWidth="1"/>
    <col min="2318" max="2560" width="9" style="183"/>
    <col min="2561" max="2561" width="13.5" style="183" customWidth="1"/>
    <col min="2562" max="2562" width="3.125" style="183" customWidth="1"/>
    <col min="2563" max="2563" width="8.375" style="183" customWidth="1"/>
    <col min="2564" max="2564" width="8.625" style="183" customWidth="1"/>
    <col min="2565" max="2565" width="7.5" style="183" customWidth="1"/>
    <col min="2566" max="2566" width="6.875" style="183" customWidth="1"/>
    <col min="2567" max="2567" width="7.5" style="183" customWidth="1"/>
    <col min="2568" max="2569" width="11.25" style="183" customWidth="1"/>
    <col min="2570" max="2570" width="10.375" style="183" customWidth="1"/>
    <col min="2571" max="2571" width="9.5" style="183" bestFit="1" customWidth="1"/>
    <col min="2572" max="2572" width="9.375" style="183" bestFit="1" customWidth="1"/>
    <col min="2573" max="2573" width="9.5" style="183" bestFit="1" customWidth="1"/>
    <col min="2574" max="2816" width="9" style="183"/>
    <col min="2817" max="2817" width="13.5" style="183" customWidth="1"/>
    <col min="2818" max="2818" width="3.125" style="183" customWidth="1"/>
    <col min="2819" max="2819" width="8.375" style="183" customWidth="1"/>
    <col min="2820" max="2820" width="8.625" style="183" customWidth="1"/>
    <col min="2821" max="2821" width="7.5" style="183" customWidth="1"/>
    <col min="2822" max="2822" width="6.875" style="183" customWidth="1"/>
    <col min="2823" max="2823" width="7.5" style="183" customWidth="1"/>
    <col min="2824" max="2825" width="11.25" style="183" customWidth="1"/>
    <col min="2826" max="2826" width="10.375" style="183" customWidth="1"/>
    <col min="2827" max="2827" width="9.5" style="183" bestFit="1" customWidth="1"/>
    <col min="2828" max="2828" width="9.375" style="183" bestFit="1" customWidth="1"/>
    <col min="2829" max="2829" width="9.5" style="183" bestFit="1" customWidth="1"/>
    <col min="2830" max="3072" width="9" style="183"/>
    <col min="3073" max="3073" width="13.5" style="183" customWidth="1"/>
    <col min="3074" max="3074" width="3.125" style="183" customWidth="1"/>
    <col min="3075" max="3075" width="8.375" style="183" customWidth="1"/>
    <col min="3076" max="3076" width="8.625" style="183" customWidth="1"/>
    <col min="3077" max="3077" width="7.5" style="183" customWidth="1"/>
    <col min="3078" max="3078" width="6.875" style="183" customWidth="1"/>
    <col min="3079" max="3079" width="7.5" style="183" customWidth="1"/>
    <col min="3080" max="3081" width="11.25" style="183" customWidth="1"/>
    <col min="3082" max="3082" width="10.375" style="183" customWidth="1"/>
    <col min="3083" max="3083" width="9.5" style="183" bestFit="1" customWidth="1"/>
    <col min="3084" max="3084" width="9.375" style="183" bestFit="1" customWidth="1"/>
    <col min="3085" max="3085" width="9.5" style="183" bestFit="1" customWidth="1"/>
    <col min="3086" max="3328" width="9" style="183"/>
    <col min="3329" max="3329" width="13.5" style="183" customWidth="1"/>
    <col min="3330" max="3330" width="3.125" style="183" customWidth="1"/>
    <col min="3331" max="3331" width="8.375" style="183" customWidth="1"/>
    <col min="3332" max="3332" width="8.625" style="183" customWidth="1"/>
    <col min="3333" max="3333" width="7.5" style="183" customWidth="1"/>
    <col min="3334" max="3334" width="6.875" style="183" customWidth="1"/>
    <col min="3335" max="3335" width="7.5" style="183" customWidth="1"/>
    <col min="3336" max="3337" width="11.25" style="183" customWidth="1"/>
    <col min="3338" max="3338" width="10.375" style="183" customWidth="1"/>
    <col min="3339" max="3339" width="9.5" style="183" bestFit="1" customWidth="1"/>
    <col min="3340" max="3340" width="9.375" style="183" bestFit="1" customWidth="1"/>
    <col min="3341" max="3341" width="9.5" style="183" bestFit="1" customWidth="1"/>
    <col min="3342" max="3584" width="9" style="183"/>
    <col min="3585" max="3585" width="13.5" style="183" customWidth="1"/>
    <col min="3586" max="3586" width="3.125" style="183" customWidth="1"/>
    <col min="3587" max="3587" width="8.375" style="183" customWidth="1"/>
    <col min="3588" max="3588" width="8.625" style="183" customWidth="1"/>
    <col min="3589" max="3589" width="7.5" style="183" customWidth="1"/>
    <col min="3590" max="3590" width="6.875" style="183" customWidth="1"/>
    <col min="3591" max="3591" width="7.5" style="183" customWidth="1"/>
    <col min="3592" max="3593" width="11.25" style="183" customWidth="1"/>
    <col min="3594" max="3594" width="10.375" style="183" customWidth="1"/>
    <col min="3595" max="3595" width="9.5" style="183" bestFit="1" customWidth="1"/>
    <col min="3596" max="3596" width="9.375" style="183" bestFit="1" customWidth="1"/>
    <col min="3597" max="3597" width="9.5" style="183" bestFit="1" customWidth="1"/>
    <col min="3598" max="3840" width="9" style="183"/>
    <col min="3841" max="3841" width="13.5" style="183" customWidth="1"/>
    <col min="3842" max="3842" width="3.125" style="183" customWidth="1"/>
    <col min="3843" max="3843" width="8.375" style="183" customWidth="1"/>
    <col min="3844" max="3844" width="8.625" style="183" customWidth="1"/>
    <col min="3845" max="3845" width="7.5" style="183" customWidth="1"/>
    <col min="3846" max="3846" width="6.875" style="183" customWidth="1"/>
    <col min="3847" max="3847" width="7.5" style="183" customWidth="1"/>
    <col min="3848" max="3849" width="11.25" style="183" customWidth="1"/>
    <col min="3850" max="3850" width="10.375" style="183" customWidth="1"/>
    <col min="3851" max="3851" width="9.5" style="183" bestFit="1" customWidth="1"/>
    <col min="3852" max="3852" width="9.375" style="183" bestFit="1" customWidth="1"/>
    <col min="3853" max="3853" width="9.5" style="183" bestFit="1" customWidth="1"/>
    <col min="3854" max="4096" width="9" style="183"/>
    <col min="4097" max="4097" width="13.5" style="183" customWidth="1"/>
    <col min="4098" max="4098" width="3.125" style="183" customWidth="1"/>
    <col min="4099" max="4099" width="8.375" style="183" customWidth="1"/>
    <col min="4100" max="4100" width="8.625" style="183" customWidth="1"/>
    <col min="4101" max="4101" width="7.5" style="183" customWidth="1"/>
    <col min="4102" max="4102" width="6.875" style="183" customWidth="1"/>
    <col min="4103" max="4103" width="7.5" style="183" customWidth="1"/>
    <col min="4104" max="4105" width="11.25" style="183" customWidth="1"/>
    <col min="4106" max="4106" width="10.375" style="183" customWidth="1"/>
    <col min="4107" max="4107" width="9.5" style="183" bestFit="1" customWidth="1"/>
    <col min="4108" max="4108" width="9.375" style="183" bestFit="1" customWidth="1"/>
    <col min="4109" max="4109" width="9.5" style="183" bestFit="1" customWidth="1"/>
    <col min="4110" max="4352" width="9" style="183"/>
    <col min="4353" max="4353" width="13.5" style="183" customWidth="1"/>
    <col min="4354" max="4354" width="3.125" style="183" customWidth="1"/>
    <col min="4355" max="4355" width="8.375" style="183" customWidth="1"/>
    <col min="4356" max="4356" width="8.625" style="183" customWidth="1"/>
    <col min="4357" max="4357" width="7.5" style="183" customWidth="1"/>
    <col min="4358" max="4358" width="6.875" style="183" customWidth="1"/>
    <col min="4359" max="4359" width="7.5" style="183" customWidth="1"/>
    <col min="4360" max="4361" width="11.25" style="183" customWidth="1"/>
    <col min="4362" max="4362" width="10.375" style="183" customWidth="1"/>
    <col min="4363" max="4363" width="9.5" style="183" bestFit="1" customWidth="1"/>
    <col min="4364" max="4364" width="9.375" style="183" bestFit="1" customWidth="1"/>
    <col min="4365" max="4365" width="9.5" style="183" bestFit="1" customWidth="1"/>
    <col min="4366" max="4608" width="9" style="183"/>
    <col min="4609" max="4609" width="13.5" style="183" customWidth="1"/>
    <col min="4610" max="4610" width="3.125" style="183" customWidth="1"/>
    <col min="4611" max="4611" width="8.375" style="183" customWidth="1"/>
    <col min="4612" max="4612" width="8.625" style="183" customWidth="1"/>
    <col min="4613" max="4613" width="7.5" style="183" customWidth="1"/>
    <col min="4614" max="4614" width="6.875" style="183" customWidth="1"/>
    <col min="4615" max="4615" width="7.5" style="183" customWidth="1"/>
    <col min="4616" max="4617" width="11.25" style="183" customWidth="1"/>
    <col min="4618" max="4618" width="10.375" style="183" customWidth="1"/>
    <col min="4619" max="4619" width="9.5" style="183" bestFit="1" customWidth="1"/>
    <col min="4620" max="4620" width="9.375" style="183" bestFit="1" customWidth="1"/>
    <col min="4621" max="4621" width="9.5" style="183" bestFit="1" customWidth="1"/>
    <col min="4622" max="4864" width="9" style="183"/>
    <col min="4865" max="4865" width="13.5" style="183" customWidth="1"/>
    <col min="4866" max="4866" width="3.125" style="183" customWidth="1"/>
    <col min="4867" max="4867" width="8.375" style="183" customWidth="1"/>
    <col min="4868" max="4868" width="8.625" style="183" customWidth="1"/>
    <col min="4869" max="4869" width="7.5" style="183" customWidth="1"/>
    <col min="4870" max="4870" width="6.875" style="183" customWidth="1"/>
    <col min="4871" max="4871" width="7.5" style="183" customWidth="1"/>
    <col min="4872" max="4873" width="11.25" style="183" customWidth="1"/>
    <col min="4874" max="4874" width="10.375" style="183" customWidth="1"/>
    <col min="4875" max="4875" width="9.5" style="183" bestFit="1" customWidth="1"/>
    <col min="4876" max="4876" width="9.375" style="183" bestFit="1" customWidth="1"/>
    <col min="4877" max="4877" width="9.5" style="183" bestFit="1" customWidth="1"/>
    <col min="4878" max="5120" width="9" style="183"/>
    <col min="5121" max="5121" width="13.5" style="183" customWidth="1"/>
    <col min="5122" max="5122" width="3.125" style="183" customWidth="1"/>
    <col min="5123" max="5123" width="8.375" style="183" customWidth="1"/>
    <col min="5124" max="5124" width="8.625" style="183" customWidth="1"/>
    <col min="5125" max="5125" width="7.5" style="183" customWidth="1"/>
    <col min="5126" max="5126" width="6.875" style="183" customWidth="1"/>
    <col min="5127" max="5127" width="7.5" style="183" customWidth="1"/>
    <col min="5128" max="5129" width="11.25" style="183" customWidth="1"/>
    <col min="5130" max="5130" width="10.375" style="183" customWidth="1"/>
    <col min="5131" max="5131" width="9.5" style="183" bestFit="1" customWidth="1"/>
    <col min="5132" max="5132" width="9.375" style="183" bestFit="1" customWidth="1"/>
    <col min="5133" max="5133" width="9.5" style="183" bestFit="1" customWidth="1"/>
    <col min="5134" max="5376" width="9" style="183"/>
    <col min="5377" max="5377" width="13.5" style="183" customWidth="1"/>
    <col min="5378" max="5378" width="3.125" style="183" customWidth="1"/>
    <col min="5379" max="5379" width="8.375" style="183" customWidth="1"/>
    <col min="5380" max="5380" width="8.625" style="183" customWidth="1"/>
    <col min="5381" max="5381" width="7.5" style="183" customWidth="1"/>
    <col min="5382" max="5382" width="6.875" style="183" customWidth="1"/>
    <col min="5383" max="5383" width="7.5" style="183" customWidth="1"/>
    <col min="5384" max="5385" width="11.25" style="183" customWidth="1"/>
    <col min="5386" max="5386" width="10.375" style="183" customWidth="1"/>
    <col min="5387" max="5387" width="9.5" style="183" bestFit="1" customWidth="1"/>
    <col min="5388" max="5388" width="9.375" style="183" bestFit="1" customWidth="1"/>
    <col min="5389" max="5389" width="9.5" style="183" bestFit="1" customWidth="1"/>
    <col min="5390" max="5632" width="9" style="183"/>
    <col min="5633" max="5633" width="13.5" style="183" customWidth="1"/>
    <col min="5634" max="5634" width="3.125" style="183" customWidth="1"/>
    <col min="5635" max="5635" width="8.375" style="183" customWidth="1"/>
    <col min="5636" max="5636" width="8.625" style="183" customWidth="1"/>
    <col min="5637" max="5637" width="7.5" style="183" customWidth="1"/>
    <col min="5638" max="5638" width="6.875" style="183" customWidth="1"/>
    <col min="5639" max="5639" width="7.5" style="183" customWidth="1"/>
    <col min="5640" max="5641" width="11.25" style="183" customWidth="1"/>
    <col min="5642" max="5642" width="10.375" style="183" customWidth="1"/>
    <col min="5643" max="5643" width="9.5" style="183" bestFit="1" customWidth="1"/>
    <col min="5644" max="5644" width="9.375" style="183" bestFit="1" customWidth="1"/>
    <col min="5645" max="5645" width="9.5" style="183" bestFit="1" customWidth="1"/>
    <col min="5646" max="5888" width="9" style="183"/>
    <col min="5889" max="5889" width="13.5" style="183" customWidth="1"/>
    <col min="5890" max="5890" width="3.125" style="183" customWidth="1"/>
    <col min="5891" max="5891" width="8.375" style="183" customWidth="1"/>
    <col min="5892" max="5892" width="8.625" style="183" customWidth="1"/>
    <col min="5893" max="5893" width="7.5" style="183" customWidth="1"/>
    <col min="5894" max="5894" width="6.875" style="183" customWidth="1"/>
    <col min="5895" max="5895" width="7.5" style="183" customWidth="1"/>
    <col min="5896" max="5897" width="11.25" style="183" customWidth="1"/>
    <col min="5898" max="5898" width="10.375" style="183" customWidth="1"/>
    <col min="5899" max="5899" width="9.5" style="183" bestFit="1" customWidth="1"/>
    <col min="5900" max="5900" width="9.375" style="183" bestFit="1" customWidth="1"/>
    <col min="5901" max="5901" width="9.5" style="183" bestFit="1" customWidth="1"/>
    <col min="5902" max="6144" width="9" style="183"/>
    <col min="6145" max="6145" width="13.5" style="183" customWidth="1"/>
    <col min="6146" max="6146" width="3.125" style="183" customWidth="1"/>
    <col min="6147" max="6147" width="8.375" style="183" customWidth="1"/>
    <col min="6148" max="6148" width="8.625" style="183" customWidth="1"/>
    <col min="6149" max="6149" width="7.5" style="183" customWidth="1"/>
    <col min="6150" max="6150" width="6.875" style="183" customWidth="1"/>
    <col min="6151" max="6151" width="7.5" style="183" customWidth="1"/>
    <col min="6152" max="6153" width="11.25" style="183" customWidth="1"/>
    <col min="6154" max="6154" width="10.375" style="183" customWidth="1"/>
    <col min="6155" max="6155" width="9.5" style="183" bestFit="1" customWidth="1"/>
    <col min="6156" max="6156" width="9.375" style="183" bestFit="1" customWidth="1"/>
    <col min="6157" max="6157" width="9.5" style="183" bestFit="1" customWidth="1"/>
    <col min="6158" max="6400" width="9" style="183"/>
    <col min="6401" max="6401" width="13.5" style="183" customWidth="1"/>
    <col min="6402" max="6402" width="3.125" style="183" customWidth="1"/>
    <col min="6403" max="6403" width="8.375" style="183" customWidth="1"/>
    <col min="6404" max="6404" width="8.625" style="183" customWidth="1"/>
    <col min="6405" max="6405" width="7.5" style="183" customWidth="1"/>
    <col min="6406" max="6406" width="6.875" style="183" customWidth="1"/>
    <col min="6407" max="6407" width="7.5" style="183" customWidth="1"/>
    <col min="6408" max="6409" width="11.25" style="183" customWidth="1"/>
    <col min="6410" max="6410" width="10.375" style="183" customWidth="1"/>
    <col min="6411" max="6411" width="9.5" style="183" bestFit="1" customWidth="1"/>
    <col min="6412" max="6412" width="9.375" style="183" bestFit="1" customWidth="1"/>
    <col min="6413" max="6413" width="9.5" style="183" bestFit="1" customWidth="1"/>
    <col min="6414" max="6656" width="9" style="183"/>
    <col min="6657" max="6657" width="13.5" style="183" customWidth="1"/>
    <col min="6658" max="6658" width="3.125" style="183" customWidth="1"/>
    <col min="6659" max="6659" width="8.375" style="183" customWidth="1"/>
    <col min="6660" max="6660" width="8.625" style="183" customWidth="1"/>
    <col min="6661" max="6661" width="7.5" style="183" customWidth="1"/>
    <col min="6662" max="6662" width="6.875" style="183" customWidth="1"/>
    <col min="6663" max="6663" width="7.5" style="183" customWidth="1"/>
    <col min="6664" max="6665" width="11.25" style="183" customWidth="1"/>
    <col min="6666" max="6666" width="10.375" style="183" customWidth="1"/>
    <col min="6667" max="6667" width="9.5" style="183" bestFit="1" customWidth="1"/>
    <col min="6668" max="6668" width="9.375" style="183" bestFit="1" customWidth="1"/>
    <col min="6669" max="6669" width="9.5" style="183" bestFit="1" customWidth="1"/>
    <col min="6670" max="6912" width="9" style="183"/>
    <col min="6913" max="6913" width="13.5" style="183" customWidth="1"/>
    <col min="6914" max="6914" width="3.125" style="183" customWidth="1"/>
    <col min="6915" max="6915" width="8.375" style="183" customWidth="1"/>
    <col min="6916" max="6916" width="8.625" style="183" customWidth="1"/>
    <col min="6917" max="6917" width="7.5" style="183" customWidth="1"/>
    <col min="6918" max="6918" width="6.875" style="183" customWidth="1"/>
    <col min="6919" max="6919" width="7.5" style="183" customWidth="1"/>
    <col min="6920" max="6921" width="11.25" style="183" customWidth="1"/>
    <col min="6922" max="6922" width="10.375" style="183" customWidth="1"/>
    <col min="6923" max="6923" width="9.5" style="183" bestFit="1" customWidth="1"/>
    <col min="6924" max="6924" width="9.375" style="183" bestFit="1" customWidth="1"/>
    <col min="6925" max="6925" width="9.5" style="183" bestFit="1" customWidth="1"/>
    <col min="6926" max="7168" width="9" style="183"/>
    <col min="7169" max="7169" width="13.5" style="183" customWidth="1"/>
    <col min="7170" max="7170" width="3.125" style="183" customWidth="1"/>
    <col min="7171" max="7171" width="8.375" style="183" customWidth="1"/>
    <col min="7172" max="7172" width="8.625" style="183" customWidth="1"/>
    <col min="7173" max="7173" width="7.5" style="183" customWidth="1"/>
    <col min="7174" max="7174" width="6.875" style="183" customWidth="1"/>
    <col min="7175" max="7175" width="7.5" style="183" customWidth="1"/>
    <col min="7176" max="7177" width="11.25" style="183" customWidth="1"/>
    <col min="7178" max="7178" width="10.375" style="183" customWidth="1"/>
    <col min="7179" max="7179" width="9.5" style="183" bestFit="1" customWidth="1"/>
    <col min="7180" max="7180" width="9.375" style="183" bestFit="1" customWidth="1"/>
    <col min="7181" max="7181" width="9.5" style="183" bestFit="1" customWidth="1"/>
    <col min="7182" max="7424" width="9" style="183"/>
    <col min="7425" max="7425" width="13.5" style="183" customWidth="1"/>
    <col min="7426" max="7426" width="3.125" style="183" customWidth="1"/>
    <col min="7427" max="7427" width="8.375" style="183" customWidth="1"/>
    <col min="7428" max="7428" width="8.625" style="183" customWidth="1"/>
    <col min="7429" max="7429" width="7.5" style="183" customWidth="1"/>
    <col min="7430" max="7430" width="6.875" style="183" customWidth="1"/>
    <col min="7431" max="7431" width="7.5" style="183" customWidth="1"/>
    <col min="7432" max="7433" width="11.25" style="183" customWidth="1"/>
    <col min="7434" max="7434" width="10.375" style="183" customWidth="1"/>
    <col min="7435" max="7435" width="9.5" style="183" bestFit="1" customWidth="1"/>
    <col min="7436" max="7436" width="9.375" style="183" bestFit="1" customWidth="1"/>
    <col min="7437" max="7437" width="9.5" style="183" bestFit="1" customWidth="1"/>
    <col min="7438" max="7680" width="9" style="183"/>
    <col min="7681" max="7681" width="13.5" style="183" customWidth="1"/>
    <col min="7682" max="7682" width="3.125" style="183" customWidth="1"/>
    <col min="7683" max="7683" width="8.375" style="183" customWidth="1"/>
    <col min="7684" max="7684" width="8.625" style="183" customWidth="1"/>
    <col min="7685" max="7685" width="7.5" style="183" customWidth="1"/>
    <col min="7686" max="7686" width="6.875" style="183" customWidth="1"/>
    <col min="7687" max="7687" width="7.5" style="183" customWidth="1"/>
    <col min="7688" max="7689" width="11.25" style="183" customWidth="1"/>
    <col min="7690" max="7690" width="10.375" style="183" customWidth="1"/>
    <col min="7691" max="7691" width="9.5" style="183" bestFit="1" customWidth="1"/>
    <col min="7692" max="7692" width="9.375" style="183" bestFit="1" customWidth="1"/>
    <col min="7693" max="7693" width="9.5" style="183" bestFit="1" customWidth="1"/>
    <col min="7694" max="7936" width="9" style="183"/>
    <col min="7937" max="7937" width="13.5" style="183" customWidth="1"/>
    <col min="7938" max="7938" width="3.125" style="183" customWidth="1"/>
    <col min="7939" max="7939" width="8.375" style="183" customWidth="1"/>
    <col min="7940" max="7940" width="8.625" style="183" customWidth="1"/>
    <col min="7941" max="7941" width="7.5" style="183" customWidth="1"/>
    <col min="7942" max="7942" width="6.875" style="183" customWidth="1"/>
    <col min="7943" max="7943" width="7.5" style="183" customWidth="1"/>
    <col min="7944" max="7945" width="11.25" style="183" customWidth="1"/>
    <col min="7946" max="7946" width="10.375" style="183" customWidth="1"/>
    <col min="7947" max="7947" width="9.5" style="183" bestFit="1" customWidth="1"/>
    <col min="7948" max="7948" width="9.375" style="183" bestFit="1" customWidth="1"/>
    <col min="7949" max="7949" width="9.5" style="183" bestFit="1" customWidth="1"/>
    <col min="7950" max="8192" width="9" style="183"/>
    <col min="8193" max="8193" width="13.5" style="183" customWidth="1"/>
    <col min="8194" max="8194" width="3.125" style="183" customWidth="1"/>
    <col min="8195" max="8195" width="8.375" style="183" customWidth="1"/>
    <col min="8196" max="8196" width="8.625" style="183" customWidth="1"/>
    <col min="8197" max="8197" width="7.5" style="183" customWidth="1"/>
    <col min="8198" max="8198" width="6.875" style="183" customWidth="1"/>
    <col min="8199" max="8199" width="7.5" style="183" customWidth="1"/>
    <col min="8200" max="8201" width="11.25" style="183" customWidth="1"/>
    <col min="8202" max="8202" width="10.375" style="183" customWidth="1"/>
    <col min="8203" max="8203" width="9.5" style="183" bestFit="1" customWidth="1"/>
    <col min="8204" max="8204" width="9.375" style="183" bestFit="1" customWidth="1"/>
    <col min="8205" max="8205" width="9.5" style="183" bestFit="1" customWidth="1"/>
    <col min="8206" max="8448" width="9" style="183"/>
    <col min="8449" max="8449" width="13.5" style="183" customWidth="1"/>
    <col min="8450" max="8450" width="3.125" style="183" customWidth="1"/>
    <col min="8451" max="8451" width="8.375" style="183" customWidth="1"/>
    <col min="8452" max="8452" width="8.625" style="183" customWidth="1"/>
    <col min="8453" max="8453" width="7.5" style="183" customWidth="1"/>
    <col min="8454" max="8454" width="6.875" style="183" customWidth="1"/>
    <col min="8455" max="8455" width="7.5" style="183" customWidth="1"/>
    <col min="8456" max="8457" width="11.25" style="183" customWidth="1"/>
    <col min="8458" max="8458" width="10.375" style="183" customWidth="1"/>
    <col min="8459" max="8459" width="9.5" style="183" bestFit="1" customWidth="1"/>
    <col min="8460" max="8460" width="9.375" style="183" bestFit="1" customWidth="1"/>
    <col min="8461" max="8461" width="9.5" style="183" bestFit="1" customWidth="1"/>
    <col min="8462" max="8704" width="9" style="183"/>
    <col min="8705" max="8705" width="13.5" style="183" customWidth="1"/>
    <col min="8706" max="8706" width="3.125" style="183" customWidth="1"/>
    <col min="8707" max="8707" width="8.375" style="183" customWidth="1"/>
    <col min="8708" max="8708" width="8.625" style="183" customWidth="1"/>
    <col min="8709" max="8709" width="7.5" style="183" customWidth="1"/>
    <col min="8710" max="8710" width="6.875" style="183" customWidth="1"/>
    <col min="8711" max="8711" width="7.5" style="183" customWidth="1"/>
    <col min="8712" max="8713" width="11.25" style="183" customWidth="1"/>
    <col min="8714" max="8714" width="10.375" style="183" customWidth="1"/>
    <col min="8715" max="8715" width="9.5" style="183" bestFit="1" customWidth="1"/>
    <col min="8716" max="8716" width="9.375" style="183" bestFit="1" customWidth="1"/>
    <col min="8717" max="8717" width="9.5" style="183" bestFit="1" customWidth="1"/>
    <col min="8718" max="8960" width="9" style="183"/>
    <col min="8961" max="8961" width="13.5" style="183" customWidth="1"/>
    <col min="8962" max="8962" width="3.125" style="183" customWidth="1"/>
    <col min="8963" max="8963" width="8.375" style="183" customWidth="1"/>
    <col min="8964" max="8964" width="8.625" style="183" customWidth="1"/>
    <col min="8965" max="8965" width="7.5" style="183" customWidth="1"/>
    <col min="8966" max="8966" width="6.875" style="183" customWidth="1"/>
    <col min="8967" max="8967" width="7.5" style="183" customWidth="1"/>
    <col min="8968" max="8969" width="11.25" style="183" customWidth="1"/>
    <col min="8970" max="8970" width="10.375" style="183" customWidth="1"/>
    <col min="8971" max="8971" width="9.5" style="183" bestFit="1" customWidth="1"/>
    <col min="8972" max="8972" width="9.375" style="183" bestFit="1" customWidth="1"/>
    <col min="8973" max="8973" width="9.5" style="183" bestFit="1" customWidth="1"/>
    <col min="8974" max="9216" width="9" style="183"/>
    <col min="9217" max="9217" width="13.5" style="183" customWidth="1"/>
    <col min="9218" max="9218" width="3.125" style="183" customWidth="1"/>
    <col min="9219" max="9219" width="8.375" style="183" customWidth="1"/>
    <col min="9220" max="9220" width="8.625" style="183" customWidth="1"/>
    <col min="9221" max="9221" width="7.5" style="183" customWidth="1"/>
    <col min="9222" max="9222" width="6.875" style="183" customWidth="1"/>
    <col min="9223" max="9223" width="7.5" style="183" customWidth="1"/>
    <col min="9224" max="9225" width="11.25" style="183" customWidth="1"/>
    <col min="9226" max="9226" width="10.375" style="183" customWidth="1"/>
    <col min="9227" max="9227" width="9.5" style="183" bestFit="1" customWidth="1"/>
    <col min="9228" max="9228" width="9.375" style="183" bestFit="1" customWidth="1"/>
    <col min="9229" max="9229" width="9.5" style="183" bestFit="1" customWidth="1"/>
    <col min="9230" max="9472" width="9" style="183"/>
    <col min="9473" max="9473" width="13.5" style="183" customWidth="1"/>
    <col min="9474" max="9474" width="3.125" style="183" customWidth="1"/>
    <col min="9475" max="9475" width="8.375" style="183" customWidth="1"/>
    <col min="9476" max="9476" width="8.625" style="183" customWidth="1"/>
    <col min="9477" max="9477" width="7.5" style="183" customWidth="1"/>
    <col min="9478" max="9478" width="6.875" style="183" customWidth="1"/>
    <col min="9479" max="9479" width="7.5" style="183" customWidth="1"/>
    <col min="9480" max="9481" width="11.25" style="183" customWidth="1"/>
    <col min="9482" max="9482" width="10.375" style="183" customWidth="1"/>
    <col min="9483" max="9483" width="9.5" style="183" bestFit="1" customWidth="1"/>
    <col min="9484" max="9484" width="9.375" style="183" bestFit="1" customWidth="1"/>
    <col min="9485" max="9485" width="9.5" style="183" bestFit="1" customWidth="1"/>
    <col min="9486" max="9728" width="9" style="183"/>
    <col min="9729" max="9729" width="13.5" style="183" customWidth="1"/>
    <col min="9730" max="9730" width="3.125" style="183" customWidth="1"/>
    <col min="9731" max="9731" width="8.375" style="183" customWidth="1"/>
    <col min="9732" max="9732" width="8.625" style="183" customWidth="1"/>
    <col min="9733" max="9733" width="7.5" style="183" customWidth="1"/>
    <col min="9734" max="9734" width="6.875" style="183" customWidth="1"/>
    <col min="9735" max="9735" width="7.5" style="183" customWidth="1"/>
    <col min="9736" max="9737" width="11.25" style="183" customWidth="1"/>
    <col min="9738" max="9738" width="10.375" style="183" customWidth="1"/>
    <col min="9739" max="9739" width="9.5" style="183" bestFit="1" customWidth="1"/>
    <col min="9740" max="9740" width="9.375" style="183" bestFit="1" customWidth="1"/>
    <col min="9741" max="9741" width="9.5" style="183" bestFit="1" customWidth="1"/>
    <col min="9742" max="9984" width="9" style="183"/>
    <col min="9985" max="9985" width="13.5" style="183" customWidth="1"/>
    <col min="9986" max="9986" width="3.125" style="183" customWidth="1"/>
    <col min="9987" max="9987" width="8.375" style="183" customWidth="1"/>
    <col min="9988" max="9988" width="8.625" style="183" customWidth="1"/>
    <col min="9989" max="9989" width="7.5" style="183" customWidth="1"/>
    <col min="9990" max="9990" width="6.875" style="183" customWidth="1"/>
    <col min="9991" max="9991" width="7.5" style="183" customWidth="1"/>
    <col min="9992" max="9993" width="11.25" style="183" customWidth="1"/>
    <col min="9994" max="9994" width="10.375" style="183" customWidth="1"/>
    <col min="9995" max="9995" width="9.5" style="183" bestFit="1" customWidth="1"/>
    <col min="9996" max="9996" width="9.375" style="183" bestFit="1" customWidth="1"/>
    <col min="9997" max="9997" width="9.5" style="183" bestFit="1" customWidth="1"/>
    <col min="9998" max="10240" width="9" style="183"/>
    <col min="10241" max="10241" width="13.5" style="183" customWidth="1"/>
    <col min="10242" max="10242" width="3.125" style="183" customWidth="1"/>
    <col min="10243" max="10243" width="8.375" style="183" customWidth="1"/>
    <col min="10244" max="10244" width="8.625" style="183" customWidth="1"/>
    <col min="10245" max="10245" width="7.5" style="183" customWidth="1"/>
    <col min="10246" max="10246" width="6.875" style="183" customWidth="1"/>
    <col min="10247" max="10247" width="7.5" style="183" customWidth="1"/>
    <col min="10248" max="10249" width="11.25" style="183" customWidth="1"/>
    <col min="10250" max="10250" width="10.375" style="183" customWidth="1"/>
    <col min="10251" max="10251" width="9.5" style="183" bestFit="1" customWidth="1"/>
    <col min="10252" max="10252" width="9.375" style="183" bestFit="1" customWidth="1"/>
    <col min="10253" max="10253" width="9.5" style="183" bestFit="1" customWidth="1"/>
    <col min="10254" max="10496" width="9" style="183"/>
    <col min="10497" max="10497" width="13.5" style="183" customWidth="1"/>
    <col min="10498" max="10498" width="3.125" style="183" customWidth="1"/>
    <col min="10499" max="10499" width="8.375" style="183" customWidth="1"/>
    <col min="10500" max="10500" width="8.625" style="183" customWidth="1"/>
    <col min="10501" max="10501" width="7.5" style="183" customWidth="1"/>
    <col min="10502" max="10502" width="6.875" style="183" customWidth="1"/>
    <col min="10503" max="10503" width="7.5" style="183" customWidth="1"/>
    <col min="10504" max="10505" width="11.25" style="183" customWidth="1"/>
    <col min="10506" max="10506" width="10.375" style="183" customWidth="1"/>
    <col min="10507" max="10507" width="9.5" style="183" bestFit="1" customWidth="1"/>
    <col min="10508" max="10508" width="9.375" style="183" bestFit="1" customWidth="1"/>
    <col min="10509" max="10509" width="9.5" style="183" bestFit="1" customWidth="1"/>
    <col min="10510" max="10752" width="9" style="183"/>
    <col min="10753" max="10753" width="13.5" style="183" customWidth="1"/>
    <col min="10754" max="10754" width="3.125" style="183" customWidth="1"/>
    <col min="10755" max="10755" width="8.375" style="183" customWidth="1"/>
    <col min="10756" max="10756" width="8.625" style="183" customWidth="1"/>
    <col min="10757" max="10757" width="7.5" style="183" customWidth="1"/>
    <col min="10758" max="10758" width="6.875" style="183" customWidth="1"/>
    <col min="10759" max="10759" width="7.5" style="183" customWidth="1"/>
    <col min="10760" max="10761" width="11.25" style="183" customWidth="1"/>
    <col min="10762" max="10762" width="10.375" style="183" customWidth="1"/>
    <col min="10763" max="10763" width="9.5" style="183" bestFit="1" customWidth="1"/>
    <col min="10764" max="10764" width="9.375" style="183" bestFit="1" customWidth="1"/>
    <col min="10765" max="10765" width="9.5" style="183" bestFit="1" customWidth="1"/>
    <col min="10766" max="11008" width="9" style="183"/>
    <col min="11009" max="11009" width="13.5" style="183" customWidth="1"/>
    <col min="11010" max="11010" width="3.125" style="183" customWidth="1"/>
    <col min="11011" max="11011" width="8.375" style="183" customWidth="1"/>
    <col min="11012" max="11012" width="8.625" style="183" customWidth="1"/>
    <col min="11013" max="11013" width="7.5" style="183" customWidth="1"/>
    <col min="11014" max="11014" width="6.875" style="183" customWidth="1"/>
    <col min="11015" max="11015" width="7.5" style="183" customWidth="1"/>
    <col min="11016" max="11017" width="11.25" style="183" customWidth="1"/>
    <col min="11018" max="11018" width="10.375" style="183" customWidth="1"/>
    <col min="11019" max="11019" width="9.5" style="183" bestFit="1" customWidth="1"/>
    <col min="11020" max="11020" width="9.375" style="183" bestFit="1" customWidth="1"/>
    <col min="11021" max="11021" width="9.5" style="183" bestFit="1" customWidth="1"/>
    <col min="11022" max="11264" width="9" style="183"/>
    <col min="11265" max="11265" width="13.5" style="183" customWidth="1"/>
    <col min="11266" max="11266" width="3.125" style="183" customWidth="1"/>
    <col min="11267" max="11267" width="8.375" style="183" customWidth="1"/>
    <col min="11268" max="11268" width="8.625" style="183" customWidth="1"/>
    <col min="11269" max="11269" width="7.5" style="183" customWidth="1"/>
    <col min="11270" max="11270" width="6.875" style="183" customWidth="1"/>
    <col min="11271" max="11271" width="7.5" style="183" customWidth="1"/>
    <col min="11272" max="11273" width="11.25" style="183" customWidth="1"/>
    <col min="11274" max="11274" width="10.375" style="183" customWidth="1"/>
    <col min="11275" max="11275" width="9.5" style="183" bestFit="1" customWidth="1"/>
    <col min="11276" max="11276" width="9.375" style="183" bestFit="1" customWidth="1"/>
    <col min="11277" max="11277" width="9.5" style="183" bestFit="1" customWidth="1"/>
    <col min="11278" max="11520" width="9" style="183"/>
    <col min="11521" max="11521" width="13.5" style="183" customWidth="1"/>
    <col min="11522" max="11522" width="3.125" style="183" customWidth="1"/>
    <col min="11523" max="11523" width="8.375" style="183" customWidth="1"/>
    <col min="11524" max="11524" width="8.625" style="183" customWidth="1"/>
    <col min="11525" max="11525" width="7.5" style="183" customWidth="1"/>
    <col min="11526" max="11526" width="6.875" style="183" customWidth="1"/>
    <col min="11527" max="11527" width="7.5" style="183" customWidth="1"/>
    <col min="11528" max="11529" width="11.25" style="183" customWidth="1"/>
    <col min="11530" max="11530" width="10.375" style="183" customWidth="1"/>
    <col min="11531" max="11531" width="9.5" style="183" bestFit="1" customWidth="1"/>
    <col min="11532" max="11532" width="9.375" style="183" bestFit="1" customWidth="1"/>
    <col min="11533" max="11533" width="9.5" style="183" bestFit="1" customWidth="1"/>
    <col min="11534" max="11776" width="9" style="183"/>
    <col min="11777" max="11777" width="13.5" style="183" customWidth="1"/>
    <col min="11778" max="11778" width="3.125" style="183" customWidth="1"/>
    <col min="11779" max="11779" width="8.375" style="183" customWidth="1"/>
    <col min="11780" max="11780" width="8.625" style="183" customWidth="1"/>
    <col min="11781" max="11781" width="7.5" style="183" customWidth="1"/>
    <col min="11782" max="11782" width="6.875" style="183" customWidth="1"/>
    <col min="11783" max="11783" width="7.5" style="183" customWidth="1"/>
    <col min="11784" max="11785" width="11.25" style="183" customWidth="1"/>
    <col min="11786" max="11786" width="10.375" style="183" customWidth="1"/>
    <col min="11787" max="11787" width="9.5" style="183" bestFit="1" customWidth="1"/>
    <col min="11788" max="11788" width="9.375" style="183" bestFit="1" customWidth="1"/>
    <col min="11789" max="11789" width="9.5" style="183" bestFit="1" customWidth="1"/>
    <col min="11790" max="12032" width="9" style="183"/>
    <col min="12033" max="12033" width="13.5" style="183" customWidth="1"/>
    <col min="12034" max="12034" width="3.125" style="183" customWidth="1"/>
    <col min="12035" max="12035" width="8.375" style="183" customWidth="1"/>
    <col min="12036" max="12036" width="8.625" style="183" customWidth="1"/>
    <col min="12037" max="12037" width="7.5" style="183" customWidth="1"/>
    <col min="12038" max="12038" width="6.875" style="183" customWidth="1"/>
    <col min="12039" max="12039" width="7.5" style="183" customWidth="1"/>
    <col min="12040" max="12041" width="11.25" style="183" customWidth="1"/>
    <col min="12042" max="12042" width="10.375" style="183" customWidth="1"/>
    <col min="12043" max="12043" width="9.5" style="183" bestFit="1" customWidth="1"/>
    <col min="12044" max="12044" width="9.375" style="183" bestFit="1" customWidth="1"/>
    <col min="12045" max="12045" width="9.5" style="183" bestFit="1" customWidth="1"/>
    <col min="12046" max="12288" width="9" style="183"/>
    <col min="12289" max="12289" width="13.5" style="183" customWidth="1"/>
    <col min="12290" max="12290" width="3.125" style="183" customWidth="1"/>
    <col min="12291" max="12291" width="8.375" style="183" customWidth="1"/>
    <col min="12292" max="12292" width="8.625" style="183" customWidth="1"/>
    <col min="12293" max="12293" width="7.5" style="183" customWidth="1"/>
    <col min="12294" max="12294" width="6.875" style="183" customWidth="1"/>
    <col min="12295" max="12295" width="7.5" style="183" customWidth="1"/>
    <col min="12296" max="12297" width="11.25" style="183" customWidth="1"/>
    <col min="12298" max="12298" width="10.375" style="183" customWidth="1"/>
    <col min="12299" max="12299" width="9.5" style="183" bestFit="1" customWidth="1"/>
    <col min="12300" max="12300" width="9.375" style="183" bestFit="1" customWidth="1"/>
    <col min="12301" max="12301" width="9.5" style="183" bestFit="1" customWidth="1"/>
    <col min="12302" max="12544" width="9" style="183"/>
    <col min="12545" max="12545" width="13.5" style="183" customWidth="1"/>
    <col min="12546" max="12546" width="3.125" style="183" customWidth="1"/>
    <col min="12547" max="12547" width="8.375" style="183" customWidth="1"/>
    <col min="12548" max="12548" width="8.625" style="183" customWidth="1"/>
    <col min="12549" max="12549" width="7.5" style="183" customWidth="1"/>
    <col min="12550" max="12550" width="6.875" style="183" customWidth="1"/>
    <col min="12551" max="12551" width="7.5" style="183" customWidth="1"/>
    <col min="12552" max="12553" width="11.25" style="183" customWidth="1"/>
    <col min="12554" max="12554" width="10.375" style="183" customWidth="1"/>
    <col min="12555" max="12555" width="9.5" style="183" bestFit="1" customWidth="1"/>
    <col min="12556" max="12556" width="9.375" style="183" bestFit="1" customWidth="1"/>
    <col min="12557" max="12557" width="9.5" style="183" bestFit="1" customWidth="1"/>
    <col min="12558" max="12800" width="9" style="183"/>
    <col min="12801" max="12801" width="13.5" style="183" customWidth="1"/>
    <col min="12802" max="12802" width="3.125" style="183" customWidth="1"/>
    <col min="12803" max="12803" width="8.375" style="183" customWidth="1"/>
    <col min="12804" max="12804" width="8.625" style="183" customWidth="1"/>
    <col min="12805" max="12805" width="7.5" style="183" customWidth="1"/>
    <col min="12806" max="12806" width="6.875" style="183" customWidth="1"/>
    <col min="12807" max="12807" width="7.5" style="183" customWidth="1"/>
    <col min="12808" max="12809" width="11.25" style="183" customWidth="1"/>
    <col min="12810" max="12810" width="10.375" style="183" customWidth="1"/>
    <col min="12811" max="12811" width="9.5" style="183" bestFit="1" customWidth="1"/>
    <col min="12812" max="12812" width="9.375" style="183" bestFit="1" customWidth="1"/>
    <col min="12813" max="12813" width="9.5" style="183" bestFit="1" customWidth="1"/>
    <col min="12814" max="13056" width="9" style="183"/>
    <col min="13057" max="13057" width="13.5" style="183" customWidth="1"/>
    <col min="13058" max="13058" width="3.125" style="183" customWidth="1"/>
    <col min="13059" max="13059" width="8.375" style="183" customWidth="1"/>
    <col min="13060" max="13060" width="8.625" style="183" customWidth="1"/>
    <col min="13061" max="13061" width="7.5" style="183" customWidth="1"/>
    <col min="13062" max="13062" width="6.875" style="183" customWidth="1"/>
    <col min="13063" max="13063" width="7.5" style="183" customWidth="1"/>
    <col min="13064" max="13065" width="11.25" style="183" customWidth="1"/>
    <col min="13066" max="13066" width="10.375" style="183" customWidth="1"/>
    <col min="13067" max="13067" width="9.5" style="183" bestFit="1" customWidth="1"/>
    <col min="13068" max="13068" width="9.375" style="183" bestFit="1" customWidth="1"/>
    <col min="13069" max="13069" width="9.5" style="183" bestFit="1" customWidth="1"/>
    <col min="13070" max="13312" width="9" style="183"/>
    <col min="13313" max="13313" width="13.5" style="183" customWidth="1"/>
    <col min="13314" max="13314" width="3.125" style="183" customWidth="1"/>
    <col min="13315" max="13315" width="8.375" style="183" customWidth="1"/>
    <col min="13316" max="13316" width="8.625" style="183" customWidth="1"/>
    <col min="13317" max="13317" width="7.5" style="183" customWidth="1"/>
    <col min="13318" max="13318" width="6.875" style="183" customWidth="1"/>
    <col min="13319" max="13319" width="7.5" style="183" customWidth="1"/>
    <col min="13320" max="13321" width="11.25" style="183" customWidth="1"/>
    <col min="13322" max="13322" width="10.375" style="183" customWidth="1"/>
    <col min="13323" max="13323" width="9.5" style="183" bestFit="1" customWidth="1"/>
    <col min="13324" max="13324" width="9.375" style="183" bestFit="1" customWidth="1"/>
    <col min="13325" max="13325" width="9.5" style="183" bestFit="1" customWidth="1"/>
    <col min="13326" max="13568" width="9" style="183"/>
    <col min="13569" max="13569" width="13.5" style="183" customWidth="1"/>
    <col min="13570" max="13570" width="3.125" style="183" customWidth="1"/>
    <col min="13571" max="13571" width="8.375" style="183" customWidth="1"/>
    <col min="13572" max="13572" width="8.625" style="183" customWidth="1"/>
    <col min="13573" max="13573" width="7.5" style="183" customWidth="1"/>
    <col min="13574" max="13574" width="6.875" style="183" customWidth="1"/>
    <col min="13575" max="13575" width="7.5" style="183" customWidth="1"/>
    <col min="13576" max="13577" width="11.25" style="183" customWidth="1"/>
    <col min="13578" max="13578" width="10.375" style="183" customWidth="1"/>
    <col min="13579" max="13579" width="9.5" style="183" bestFit="1" customWidth="1"/>
    <col min="13580" max="13580" width="9.375" style="183" bestFit="1" customWidth="1"/>
    <col min="13581" max="13581" width="9.5" style="183" bestFit="1" customWidth="1"/>
    <col min="13582" max="13824" width="9" style="183"/>
    <col min="13825" max="13825" width="13.5" style="183" customWidth="1"/>
    <col min="13826" max="13826" width="3.125" style="183" customWidth="1"/>
    <col min="13827" max="13827" width="8.375" style="183" customWidth="1"/>
    <col min="13828" max="13828" width="8.625" style="183" customWidth="1"/>
    <col min="13829" max="13829" width="7.5" style="183" customWidth="1"/>
    <col min="13830" max="13830" width="6.875" style="183" customWidth="1"/>
    <col min="13831" max="13831" width="7.5" style="183" customWidth="1"/>
    <col min="13832" max="13833" width="11.25" style="183" customWidth="1"/>
    <col min="13834" max="13834" width="10.375" style="183" customWidth="1"/>
    <col min="13835" max="13835" width="9.5" style="183" bestFit="1" customWidth="1"/>
    <col min="13836" max="13836" width="9.375" style="183" bestFit="1" customWidth="1"/>
    <col min="13837" max="13837" width="9.5" style="183" bestFit="1" customWidth="1"/>
    <col min="13838" max="14080" width="9" style="183"/>
    <col min="14081" max="14081" width="13.5" style="183" customWidth="1"/>
    <col min="14082" max="14082" width="3.125" style="183" customWidth="1"/>
    <col min="14083" max="14083" width="8.375" style="183" customWidth="1"/>
    <col min="14084" max="14084" width="8.625" style="183" customWidth="1"/>
    <col min="14085" max="14085" width="7.5" style="183" customWidth="1"/>
    <col min="14086" max="14086" width="6.875" style="183" customWidth="1"/>
    <col min="14087" max="14087" width="7.5" style="183" customWidth="1"/>
    <col min="14088" max="14089" width="11.25" style="183" customWidth="1"/>
    <col min="14090" max="14090" width="10.375" style="183" customWidth="1"/>
    <col min="14091" max="14091" width="9.5" style="183" bestFit="1" customWidth="1"/>
    <col min="14092" max="14092" width="9.375" style="183" bestFit="1" customWidth="1"/>
    <col min="14093" max="14093" width="9.5" style="183" bestFit="1" customWidth="1"/>
    <col min="14094" max="14336" width="9" style="183"/>
    <col min="14337" max="14337" width="13.5" style="183" customWidth="1"/>
    <col min="14338" max="14338" width="3.125" style="183" customWidth="1"/>
    <col min="14339" max="14339" width="8.375" style="183" customWidth="1"/>
    <col min="14340" max="14340" width="8.625" style="183" customWidth="1"/>
    <col min="14341" max="14341" width="7.5" style="183" customWidth="1"/>
    <col min="14342" max="14342" width="6.875" style="183" customWidth="1"/>
    <col min="14343" max="14343" width="7.5" style="183" customWidth="1"/>
    <col min="14344" max="14345" width="11.25" style="183" customWidth="1"/>
    <col min="14346" max="14346" width="10.375" style="183" customWidth="1"/>
    <col min="14347" max="14347" width="9.5" style="183" bestFit="1" customWidth="1"/>
    <col min="14348" max="14348" width="9.375" style="183" bestFit="1" customWidth="1"/>
    <col min="14349" max="14349" width="9.5" style="183" bestFit="1" customWidth="1"/>
    <col min="14350" max="14592" width="9" style="183"/>
    <col min="14593" max="14593" width="13.5" style="183" customWidth="1"/>
    <col min="14594" max="14594" width="3.125" style="183" customWidth="1"/>
    <col min="14595" max="14595" width="8.375" style="183" customWidth="1"/>
    <col min="14596" max="14596" width="8.625" style="183" customWidth="1"/>
    <col min="14597" max="14597" width="7.5" style="183" customWidth="1"/>
    <col min="14598" max="14598" width="6.875" style="183" customWidth="1"/>
    <col min="14599" max="14599" width="7.5" style="183" customWidth="1"/>
    <col min="14600" max="14601" width="11.25" style="183" customWidth="1"/>
    <col min="14602" max="14602" width="10.375" style="183" customWidth="1"/>
    <col min="14603" max="14603" width="9.5" style="183" bestFit="1" customWidth="1"/>
    <col min="14604" max="14604" width="9.375" style="183" bestFit="1" customWidth="1"/>
    <col min="14605" max="14605" width="9.5" style="183" bestFit="1" customWidth="1"/>
    <col min="14606" max="14848" width="9" style="183"/>
    <col min="14849" max="14849" width="13.5" style="183" customWidth="1"/>
    <col min="14850" max="14850" width="3.125" style="183" customWidth="1"/>
    <col min="14851" max="14851" width="8.375" style="183" customWidth="1"/>
    <col min="14852" max="14852" width="8.625" style="183" customWidth="1"/>
    <col min="14853" max="14853" width="7.5" style="183" customWidth="1"/>
    <col min="14854" max="14854" width="6.875" style="183" customWidth="1"/>
    <col min="14855" max="14855" width="7.5" style="183" customWidth="1"/>
    <col min="14856" max="14857" width="11.25" style="183" customWidth="1"/>
    <col min="14858" max="14858" width="10.375" style="183" customWidth="1"/>
    <col min="14859" max="14859" width="9.5" style="183" bestFit="1" customWidth="1"/>
    <col min="14860" max="14860" width="9.375" style="183" bestFit="1" customWidth="1"/>
    <col min="14861" max="14861" width="9.5" style="183" bestFit="1" customWidth="1"/>
    <col min="14862" max="15104" width="9" style="183"/>
    <col min="15105" max="15105" width="13.5" style="183" customWidth="1"/>
    <col min="15106" max="15106" width="3.125" style="183" customWidth="1"/>
    <col min="15107" max="15107" width="8.375" style="183" customWidth="1"/>
    <col min="15108" max="15108" width="8.625" style="183" customWidth="1"/>
    <col min="15109" max="15109" width="7.5" style="183" customWidth="1"/>
    <col min="15110" max="15110" width="6.875" style="183" customWidth="1"/>
    <col min="15111" max="15111" width="7.5" style="183" customWidth="1"/>
    <col min="15112" max="15113" width="11.25" style="183" customWidth="1"/>
    <col min="15114" max="15114" width="10.375" style="183" customWidth="1"/>
    <col min="15115" max="15115" width="9.5" style="183" bestFit="1" customWidth="1"/>
    <col min="15116" max="15116" width="9.375" style="183" bestFit="1" customWidth="1"/>
    <col min="15117" max="15117" width="9.5" style="183" bestFit="1" customWidth="1"/>
    <col min="15118" max="15360" width="9" style="183"/>
    <col min="15361" max="15361" width="13.5" style="183" customWidth="1"/>
    <col min="15362" max="15362" width="3.125" style="183" customWidth="1"/>
    <col min="15363" max="15363" width="8.375" style="183" customWidth="1"/>
    <col min="15364" max="15364" width="8.625" style="183" customWidth="1"/>
    <col min="15365" max="15365" width="7.5" style="183" customWidth="1"/>
    <col min="15366" max="15366" width="6.875" style="183" customWidth="1"/>
    <col min="15367" max="15367" width="7.5" style="183" customWidth="1"/>
    <col min="15368" max="15369" width="11.25" style="183" customWidth="1"/>
    <col min="15370" max="15370" width="10.375" style="183" customWidth="1"/>
    <col min="15371" max="15371" width="9.5" style="183" bestFit="1" customWidth="1"/>
    <col min="15372" max="15372" width="9.375" style="183" bestFit="1" customWidth="1"/>
    <col min="15373" max="15373" width="9.5" style="183" bestFit="1" customWidth="1"/>
    <col min="15374" max="15616" width="9" style="183"/>
    <col min="15617" max="15617" width="13.5" style="183" customWidth="1"/>
    <col min="15618" max="15618" width="3.125" style="183" customWidth="1"/>
    <col min="15619" max="15619" width="8.375" style="183" customWidth="1"/>
    <col min="15620" max="15620" width="8.625" style="183" customWidth="1"/>
    <col min="15621" max="15621" width="7.5" style="183" customWidth="1"/>
    <col min="15622" max="15622" width="6.875" style="183" customWidth="1"/>
    <col min="15623" max="15623" width="7.5" style="183" customWidth="1"/>
    <col min="15624" max="15625" width="11.25" style="183" customWidth="1"/>
    <col min="15626" max="15626" width="10.375" style="183" customWidth="1"/>
    <col min="15627" max="15627" width="9.5" style="183" bestFit="1" customWidth="1"/>
    <col min="15628" max="15628" width="9.375" style="183" bestFit="1" customWidth="1"/>
    <col min="15629" max="15629" width="9.5" style="183" bestFit="1" customWidth="1"/>
    <col min="15630" max="15872" width="9" style="183"/>
    <col min="15873" max="15873" width="13.5" style="183" customWidth="1"/>
    <col min="15874" max="15874" width="3.125" style="183" customWidth="1"/>
    <col min="15875" max="15875" width="8.375" style="183" customWidth="1"/>
    <col min="15876" max="15876" width="8.625" style="183" customWidth="1"/>
    <col min="15877" max="15877" width="7.5" style="183" customWidth="1"/>
    <col min="15878" max="15878" width="6.875" style="183" customWidth="1"/>
    <col min="15879" max="15879" width="7.5" style="183" customWidth="1"/>
    <col min="15880" max="15881" width="11.25" style="183" customWidth="1"/>
    <col min="15882" max="15882" width="10.375" style="183" customWidth="1"/>
    <col min="15883" max="15883" width="9.5" style="183" bestFit="1" customWidth="1"/>
    <col min="15884" max="15884" width="9.375" style="183" bestFit="1" customWidth="1"/>
    <col min="15885" max="15885" width="9.5" style="183" bestFit="1" customWidth="1"/>
    <col min="15886" max="16128" width="9" style="183"/>
    <col min="16129" max="16129" width="13.5" style="183" customWidth="1"/>
    <col min="16130" max="16130" width="3.125" style="183" customWidth="1"/>
    <col min="16131" max="16131" width="8.375" style="183" customWidth="1"/>
    <col min="16132" max="16132" width="8.625" style="183" customWidth="1"/>
    <col min="16133" max="16133" width="7.5" style="183" customWidth="1"/>
    <col min="16134" max="16134" width="6.875" style="183" customWidth="1"/>
    <col min="16135" max="16135" width="7.5" style="183" customWidth="1"/>
    <col min="16136" max="16137" width="11.25" style="183" customWidth="1"/>
    <col min="16138" max="16138" width="10.375" style="183" customWidth="1"/>
    <col min="16139" max="16139" width="9.5" style="183" bestFit="1" customWidth="1"/>
    <col min="16140" max="16140" width="9.375" style="183" bestFit="1" customWidth="1"/>
    <col min="16141" max="16141" width="9.5" style="183" bestFit="1" customWidth="1"/>
    <col min="16142" max="16384" width="9" style="183"/>
  </cols>
  <sheetData>
    <row r="1" spans="1:13" ht="30.6" customHeight="1">
      <c r="A1" s="2930" t="s">
        <v>3691</v>
      </c>
      <c r="B1" s="2930"/>
      <c r="C1" s="2930"/>
      <c r="D1" s="2930"/>
      <c r="E1" s="2930"/>
      <c r="F1" s="2930"/>
      <c r="G1" s="2930"/>
      <c r="H1" s="2930"/>
      <c r="I1" s="2930"/>
      <c r="J1" s="2930"/>
      <c r="K1" s="2930"/>
      <c r="L1" s="2930"/>
      <c r="M1" s="2930"/>
    </row>
    <row r="2" spans="1:13" ht="24.75" customHeight="1">
      <c r="A2" s="3045" t="s">
        <v>3448</v>
      </c>
      <c r="B2" s="3045"/>
      <c r="C2" s="3053" t="s">
        <v>3692</v>
      </c>
      <c r="D2" s="3053"/>
      <c r="E2" s="3053"/>
      <c r="F2" s="3053"/>
      <c r="G2" s="3052"/>
      <c r="H2" s="3051" t="s">
        <v>3693</v>
      </c>
      <c r="I2" s="3053"/>
      <c r="J2" s="3053"/>
      <c r="K2" s="3053"/>
      <c r="L2" s="3053"/>
      <c r="M2" s="3053"/>
    </row>
    <row r="3" spans="1:13" ht="22.9" customHeight="1">
      <c r="A3" s="3046"/>
      <c r="B3" s="3046"/>
      <c r="C3" s="4016" t="s">
        <v>3522</v>
      </c>
      <c r="D3" s="3051" t="s">
        <v>3694</v>
      </c>
      <c r="E3" s="3052"/>
      <c r="F3" s="3051" t="s">
        <v>3695</v>
      </c>
      <c r="G3" s="3052"/>
      <c r="H3" s="3051" t="s">
        <v>3696</v>
      </c>
      <c r="I3" s="3052"/>
      <c r="J3" s="3051" t="s">
        <v>3697</v>
      </c>
      <c r="K3" s="3052"/>
      <c r="L3" s="3051" t="s">
        <v>3698</v>
      </c>
      <c r="M3" s="3053"/>
    </row>
    <row r="4" spans="1:13" ht="22.9" customHeight="1">
      <c r="A4" s="3047"/>
      <c r="B4" s="3047"/>
      <c r="C4" s="4017"/>
      <c r="D4" s="2450" t="s">
        <v>3658</v>
      </c>
      <c r="E4" s="2450" t="s">
        <v>3458</v>
      </c>
      <c r="F4" s="2450" t="s">
        <v>3658</v>
      </c>
      <c r="G4" s="2450" t="s">
        <v>3458</v>
      </c>
      <c r="H4" s="2450" t="s">
        <v>1516</v>
      </c>
      <c r="I4" s="2450" t="s">
        <v>400</v>
      </c>
      <c r="J4" s="2450" t="s">
        <v>3699</v>
      </c>
      <c r="K4" s="2450" t="s">
        <v>400</v>
      </c>
      <c r="L4" s="2450" t="s">
        <v>3658</v>
      </c>
      <c r="M4" s="867" t="s">
        <v>3458</v>
      </c>
    </row>
    <row r="5" spans="1:13" ht="18.75" customHeight="1">
      <c r="A5" s="4020" t="s">
        <v>1145</v>
      </c>
      <c r="B5" s="4021"/>
      <c r="C5" s="2451">
        <v>51078</v>
      </c>
      <c r="D5" s="2452">
        <v>43401</v>
      </c>
      <c r="E5" s="2453">
        <f t="shared" ref="E5:E9" si="0">PRODUCT(D5/C5*100)</f>
        <v>84.970045812287083</v>
      </c>
      <c r="F5" s="2452">
        <v>7677</v>
      </c>
      <c r="G5" s="2453">
        <f t="shared" ref="G5:G9" si="1">PRODUCT(100-E5)</f>
        <v>15.029954187712917</v>
      </c>
      <c r="H5" s="2390">
        <v>35460</v>
      </c>
      <c r="I5" s="2257">
        <v>100</v>
      </c>
      <c r="J5" s="2258">
        <v>30616</v>
      </c>
      <c r="K5" s="2257">
        <v>86.339537507050196</v>
      </c>
      <c r="L5" s="2258">
        <v>4844</v>
      </c>
      <c r="M5" s="2259">
        <v>13.660462492949801</v>
      </c>
    </row>
    <row r="6" spans="1:13" ht="18.75" customHeight="1">
      <c r="A6" s="4018" t="s">
        <v>1107</v>
      </c>
      <c r="B6" s="4019"/>
      <c r="C6" s="2451">
        <v>48875</v>
      </c>
      <c r="D6" s="2452">
        <v>41453</v>
      </c>
      <c r="E6" s="2453">
        <f t="shared" si="0"/>
        <v>84.814322250639378</v>
      </c>
      <c r="F6" s="2452">
        <v>7422</v>
      </c>
      <c r="G6" s="2453">
        <f t="shared" si="1"/>
        <v>15.185677749360622</v>
      </c>
      <c r="H6" s="2390">
        <v>36440</v>
      </c>
      <c r="I6" s="2257">
        <v>100</v>
      </c>
      <c r="J6" s="2258">
        <v>31445</v>
      </c>
      <c r="K6" s="2257">
        <v>86.29253567508232</v>
      </c>
      <c r="L6" s="2454">
        <v>4995</v>
      </c>
      <c r="M6" s="2259">
        <v>13.707464324917673</v>
      </c>
    </row>
    <row r="7" spans="1:13" ht="18.75" customHeight="1">
      <c r="A7" s="4018" t="s">
        <v>1060</v>
      </c>
      <c r="B7" s="4019"/>
      <c r="C7" s="2451">
        <v>47043</v>
      </c>
      <c r="D7" s="2452">
        <v>39968</v>
      </c>
      <c r="E7" s="2453">
        <f t="shared" si="0"/>
        <v>84.960567990986974</v>
      </c>
      <c r="F7" s="2452">
        <v>7075</v>
      </c>
      <c r="G7" s="2453">
        <f t="shared" si="1"/>
        <v>15.039432009013026</v>
      </c>
      <c r="H7" s="2390">
        <v>36410</v>
      </c>
      <c r="I7" s="2257">
        <v>100</v>
      </c>
      <c r="J7" s="2258">
        <v>31340</v>
      </c>
      <c r="K7" s="2257">
        <v>86.075254051084869</v>
      </c>
      <c r="L7" s="2454">
        <v>5070</v>
      </c>
      <c r="M7" s="2259">
        <v>13.924745948915133</v>
      </c>
    </row>
    <row r="8" spans="1:13" ht="18.75" customHeight="1">
      <c r="A8" s="4018" t="s">
        <v>1061</v>
      </c>
      <c r="B8" s="4019"/>
      <c r="C8" s="2451">
        <v>43268</v>
      </c>
      <c r="D8" s="2452">
        <v>36994</v>
      </c>
      <c r="E8" s="2453">
        <f t="shared" si="0"/>
        <v>85.499676435240829</v>
      </c>
      <c r="F8" s="2452">
        <v>6274</v>
      </c>
      <c r="G8" s="2455">
        <f t="shared" si="1"/>
        <v>14.500323564759171</v>
      </c>
      <c r="H8" s="2390">
        <v>36096</v>
      </c>
      <c r="I8" s="2257">
        <v>100</v>
      </c>
      <c r="J8" s="2258">
        <v>31323</v>
      </c>
      <c r="K8" s="2257">
        <v>86.776928191489361</v>
      </c>
      <c r="L8" s="2454">
        <v>4773</v>
      </c>
      <c r="M8" s="2259">
        <v>13.223071808510639</v>
      </c>
    </row>
    <row r="9" spans="1:13" ht="18.75" customHeight="1">
      <c r="A9" s="4018" t="s">
        <v>1062</v>
      </c>
      <c r="B9" s="4019"/>
      <c r="C9" s="2456">
        <v>41265</v>
      </c>
      <c r="D9" s="2452">
        <v>35753</v>
      </c>
      <c r="E9" s="2453">
        <f t="shared" si="0"/>
        <v>86.642433054646801</v>
      </c>
      <c r="F9" s="2452">
        <v>5512</v>
      </c>
      <c r="G9" s="2455">
        <f t="shared" si="1"/>
        <v>13.357566945353199</v>
      </c>
      <c r="H9" s="2390">
        <v>34672</v>
      </c>
      <c r="I9" s="2257">
        <v>100</v>
      </c>
      <c r="J9" s="2258">
        <v>30126</v>
      </c>
      <c r="K9" s="2257">
        <v>86.888555606829726</v>
      </c>
      <c r="L9" s="2454">
        <v>4546</v>
      </c>
      <c r="M9" s="2259">
        <v>13.111444393170283</v>
      </c>
    </row>
    <row r="10" spans="1:13" ht="18.75" customHeight="1">
      <c r="A10" s="4018" t="s">
        <v>1063</v>
      </c>
      <c r="B10" s="4019"/>
      <c r="C10" s="2456">
        <v>53622</v>
      </c>
      <c r="D10" s="2452">
        <v>46446</v>
      </c>
      <c r="E10" s="2453">
        <v>86.62</v>
      </c>
      <c r="F10" s="2452">
        <v>7176</v>
      </c>
      <c r="G10" s="2455">
        <v>13.38</v>
      </c>
      <c r="H10" s="2390">
        <v>35960</v>
      </c>
      <c r="I10" s="2257">
        <v>100</v>
      </c>
      <c r="J10" s="2258">
        <v>31502</v>
      </c>
      <c r="K10" s="2257">
        <v>87.602892102335929</v>
      </c>
      <c r="L10" s="2454">
        <v>4458</v>
      </c>
      <c r="M10" s="2259">
        <v>12.397107897664071</v>
      </c>
    </row>
    <row r="11" spans="1:13" ht="18.75" customHeight="1">
      <c r="A11" s="4018" t="s">
        <v>1064</v>
      </c>
      <c r="B11" s="4019"/>
      <c r="C11" s="2456">
        <v>58707</v>
      </c>
      <c r="D11" s="2452">
        <v>50965</v>
      </c>
      <c r="E11" s="2457">
        <v>86.81247551399322</v>
      </c>
      <c r="F11" s="2452">
        <v>7742</v>
      </c>
      <c r="G11" s="2457">
        <v>13.18752448600678</v>
      </c>
      <c r="H11" s="2390">
        <v>40625</v>
      </c>
      <c r="I11" s="2257">
        <v>100</v>
      </c>
      <c r="J11" s="2258">
        <v>35665</v>
      </c>
      <c r="K11" s="2257">
        <v>87.790769230769229</v>
      </c>
      <c r="L11" s="2454">
        <v>4960</v>
      </c>
      <c r="M11" s="2259">
        <v>12.20923076923077</v>
      </c>
    </row>
    <row r="12" spans="1:13" ht="18.75" customHeight="1">
      <c r="A12" s="4018" t="s">
        <v>1065</v>
      </c>
      <c r="B12" s="4019"/>
      <c r="C12" s="2456">
        <v>62644</v>
      </c>
      <c r="D12" s="2452">
        <v>54295</v>
      </c>
      <c r="E12" s="2453">
        <f>PRODUCT(D12/C12*100)</f>
        <v>86.672307004661263</v>
      </c>
      <c r="F12" s="2452">
        <v>8349</v>
      </c>
      <c r="G12" s="2455">
        <f>PRODUCT(100-E12)</f>
        <v>13.327692995338737</v>
      </c>
      <c r="H12" s="2390">
        <v>43281</v>
      </c>
      <c r="I12" s="2257">
        <v>100</v>
      </c>
      <c r="J12" s="2258">
        <v>37827</v>
      </c>
      <c r="K12" s="2257">
        <v>87.398627573300061</v>
      </c>
      <c r="L12" s="2454">
        <v>5454</v>
      </c>
      <c r="M12" s="2259">
        <v>12.601372426699939</v>
      </c>
    </row>
    <row r="13" spans="1:13" ht="18.75" customHeight="1">
      <c r="A13" s="4018" t="s">
        <v>1066</v>
      </c>
      <c r="B13" s="4019"/>
      <c r="C13" s="2456">
        <v>59106</v>
      </c>
      <c r="D13" s="2452">
        <v>51212</v>
      </c>
      <c r="E13" s="2453">
        <f>PRODUCT(D13/C13*100)</f>
        <v>86.644333908571042</v>
      </c>
      <c r="F13" s="2452">
        <v>7894</v>
      </c>
      <c r="G13" s="2453">
        <f>PRODUCT(100-E13)</f>
        <v>13.355666091428958</v>
      </c>
      <c r="H13" s="2390">
        <v>44541</v>
      </c>
      <c r="I13" s="2257">
        <v>100</v>
      </c>
      <c r="J13" s="2258">
        <v>38741</v>
      </c>
      <c r="K13" s="2257">
        <v>86.978289665701269</v>
      </c>
      <c r="L13" s="2454">
        <v>5800</v>
      </c>
      <c r="M13" s="2259">
        <v>13.021710334298737</v>
      </c>
    </row>
    <row r="14" spans="1:13" ht="18.75" customHeight="1">
      <c r="A14" s="2977" t="s">
        <v>1067</v>
      </c>
      <c r="B14" s="2978"/>
      <c r="C14" s="2458">
        <v>49131</v>
      </c>
      <c r="D14" s="2459">
        <v>42426</v>
      </c>
      <c r="E14" s="2460">
        <f>PRODUCT(D14/C14*100)</f>
        <v>86.352811870305914</v>
      </c>
      <c r="F14" s="2459">
        <v>6705</v>
      </c>
      <c r="G14" s="2460">
        <f>PRODUCT(100-E14)</f>
        <v>13.647188129694086</v>
      </c>
      <c r="H14" s="2441">
        <v>42218</v>
      </c>
      <c r="I14" s="2272">
        <v>100</v>
      </c>
      <c r="J14" s="2273">
        <v>36711</v>
      </c>
      <c r="K14" s="2272">
        <v>86.955800843242216</v>
      </c>
      <c r="L14" s="2461">
        <v>5507</v>
      </c>
      <c r="M14" s="2274">
        <v>13.044199156757779</v>
      </c>
    </row>
    <row r="15" spans="1:13" s="195" customFormat="1" ht="19.5" customHeight="1">
      <c r="A15" s="195" t="s">
        <v>3700</v>
      </c>
      <c r="C15" s="2462"/>
    </row>
    <row r="16" spans="1:13" s="198" customFormat="1">
      <c r="A16" s="840" t="s">
        <v>3701</v>
      </c>
      <c r="C16" s="2463"/>
    </row>
    <row r="17" spans="1:1">
      <c r="A17" s="195"/>
    </row>
  </sheetData>
  <mergeCells count="20">
    <mergeCell ref="A11:B11"/>
    <mergeCell ref="A12:B12"/>
    <mergeCell ref="A13:B13"/>
    <mergeCell ref="A14:B14"/>
    <mergeCell ref="A5:B5"/>
    <mergeCell ref="A6:B6"/>
    <mergeCell ref="A7:B7"/>
    <mergeCell ref="A8:B8"/>
    <mergeCell ref="A9:B9"/>
    <mergeCell ref="A10:B10"/>
    <mergeCell ref="A1:M1"/>
    <mergeCell ref="A2:B4"/>
    <mergeCell ref="C2:G2"/>
    <mergeCell ref="H2:M2"/>
    <mergeCell ref="C3:C4"/>
    <mergeCell ref="D3:E3"/>
    <mergeCell ref="F3:G3"/>
    <mergeCell ref="H3:I3"/>
    <mergeCell ref="J3:K3"/>
    <mergeCell ref="L3:M3"/>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81" firstPageNumber="262" orientation="landscape" r:id="rId1"/>
  <headerFooter differentOddEven="1" scaleWithDoc="0">
    <oddHeader>&amp;L&amp;"Times New Roman,標準"&amp;8 107&amp;"標楷體,標準"年犯罪狀況及其分析</oddHeader>
    <evenHeader>&amp;R&amp;"標楷體,標準"&amp;8第四篇　特定類型犯罪者之犯罪趨勢與處遇</evenHead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X16"/>
  <sheetViews>
    <sheetView showGridLines="0" zoomScale="89" workbookViewId="0">
      <selection activeCell="A18" sqref="A18:H18"/>
    </sheetView>
  </sheetViews>
  <sheetFormatPr defaultRowHeight="15.75"/>
  <cols>
    <col min="1" max="3" width="8.625" style="183" customWidth="1"/>
    <col min="4" max="4" width="7.125" style="183" customWidth="1"/>
    <col min="5" max="5" width="8.625" style="183" customWidth="1"/>
    <col min="6" max="6" width="7.125" style="183" customWidth="1"/>
    <col min="7" max="7" width="8.625" style="183" customWidth="1"/>
    <col min="8" max="8" width="7.125" style="183" customWidth="1"/>
    <col min="9" max="9" width="8.625" style="183" customWidth="1"/>
    <col min="10" max="10" width="7.125" style="183" customWidth="1"/>
    <col min="11" max="11" width="8.625" style="183" customWidth="1"/>
    <col min="12" max="12" width="7.125" style="183" customWidth="1"/>
    <col min="13" max="13" width="8.625" style="183" customWidth="1"/>
    <col min="14" max="14" width="7.125" style="183" customWidth="1"/>
    <col min="15" max="15" width="8.625" style="183" customWidth="1"/>
    <col min="16" max="16" width="7.125" style="183" customWidth="1"/>
    <col min="17" max="17" width="8.625" style="183" customWidth="1"/>
    <col min="18" max="18" width="7.125" style="183" customWidth="1"/>
    <col min="19" max="19" width="8.625" style="183" customWidth="1"/>
    <col min="20" max="20" width="7.125" style="183" customWidth="1"/>
    <col min="21" max="21" width="8.625" style="183" customWidth="1"/>
    <col min="22" max="22" width="7.125" style="183" customWidth="1"/>
    <col min="23" max="23" width="8.625" style="183" customWidth="1"/>
    <col min="24" max="24" width="7.125" style="183" customWidth="1"/>
    <col min="25" max="251" width="9" style="183"/>
    <col min="252" max="252" width="10" style="183" customWidth="1"/>
    <col min="253" max="253" width="3.125" style="183" customWidth="1"/>
    <col min="254" max="254" width="11.25" style="183" customWidth="1"/>
    <col min="255" max="255" width="10.625" style="183" customWidth="1"/>
    <col min="256" max="256" width="8.875" style="183" customWidth="1"/>
    <col min="257" max="257" width="8.75" style="183" customWidth="1"/>
    <col min="258" max="258" width="9.625" style="183" customWidth="1"/>
    <col min="259" max="259" width="11.25" style="183" customWidth="1"/>
    <col min="260" max="260" width="9.625" style="183" customWidth="1"/>
    <col min="261" max="261" width="10.375" style="183" customWidth="1"/>
    <col min="262" max="262" width="8.875" style="183" customWidth="1"/>
    <col min="263" max="263" width="9" style="183"/>
    <col min="264" max="264" width="9.5" style="183" bestFit="1" customWidth="1"/>
    <col min="265" max="507" width="9" style="183"/>
    <col min="508" max="508" width="10" style="183" customWidth="1"/>
    <col min="509" max="509" width="3.125" style="183" customWidth="1"/>
    <col min="510" max="510" width="11.25" style="183" customWidth="1"/>
    <col min="511" max="511" width="10.625" style="183" customWidth="1"/>
    <col min="512" max="512" width="8.875" style="183" customWidth="1"/>
    <col min="513" max="513" width="8.75" style="183" customWidth="1"/>
    <col min="514" max="514" width="9.625" style="183" customWidth="1"/>
    <col min="515" max="515" width="11.25" style="183" customWidth="1"/>
    <col min="516" max="516" width="9.625" style="183" customWidth="1"/>
    <col min="517" max="517" width="10.375" style="183" customWidth="1"/>
    <col min="518" max="518" width="8.875" style="183" customWidth="1"/>
    <col min="519" max="519" width="9" style="183"/>
    <col min="520" max="520" width="9.5" style="183" bestFit="1" customWidth="1"/>
    <col min="521" max="763" width="9" style="183"/>
    <col min="764" max="764" width="10" style="183" customWidth="1"/>
    <col min="765" max="765" width="3.125" style="183" customWidth="1"/>
    <col min="766" max="766" width="11.25" style="183" customWidth="1"/>
    <col min="767" max="767" width="10.625" style="183" customWidth="1"/>
    <col min="768" max="768" width="8.875" style="183" customWidth="1"/>
    <col min="769" max="769" width="8.75" style="183" customWidth="1"/>
    <col min="770" max="770" width="9.625" style="183" customWidth="1"/>
    <col min="771" max="771" width="11.25" style="183" customWidth="1"/>
    <col min="772" max="772" width="9.625" style="183" customWidth="1"/>
    <col min="773" max="773" width="10.375" style="183" customWidth="1"/>
    <col min="774" max="774" width="8.875" style="183" customWidth="1"/>
    <col min="775" max="775" width="9" style="183"/>
    <col min="776" max="776" width="9.5" style="183" bestFit="1" customWidth="1"/>
    <col min="777" max="1019" width="9" style="183"/>
    <col min="1020" max="1020" width="10" style="183" customWidth="1"/>
    <col min="1021" max="1021" width="3.125" style="183" customWidth="1"/>
    <col min="1022" max="1022" width="11.25" style="183" customWidth="1"/>
    <col min="1023" max="1023" width="10.625" style="183" customWidth="1"/>
    <col min="1024" max="1024" width="8.875" style="183" customWidth="1"/>
    <col min="1025" max="1025" width="8.75" style="183" customWidth="1"/>
    <col min="1026" max="1026" width="9.625" style="183" customWidth="1"/>
    <col min="1027" max="1027" width="11.25" style="183" customWidth="1"/>
    <col min="1028" max="1028" width="9.625" style="183" customWidth="1"/>
    <col min="1029" max="1029" width="10.375" style="183" customWidth="1"/>
    <col min="1030" max="1030" width="8.875" style="183" customWidth="1"/>
    <col min="1031" max="1031" width="9" style="183"/>
    <col min="1032" max="1032" width="9.5" style="183" bestFit="1" customWidth="1"/>
    <col min="1033" max="1275" width="9" style="183"/>
    <col min="1276" max="1276" width="10" style="183" customWidth="1"/>
    <col min="1277" max="1277" width="3.125" style="183" customWidth="1"/>
    <col min="1278" max="1278" width="11.25" style="183" customWidth="1"/>
    <col min="1279" max="1279" width="10.625" style="183" customWidth="1"/>
    <col min="1280" max="1280" width="8.875" style="183" customWidth="1"/>
    <col min="1281" max="1281" width="8.75" style="183" customWidth="1"/>
    <col min="1282" max="1282" width="9.625" style="183" customWidth="1"/>
    <col min="1283" max="1283" width="11.25" style="183" customWidth="1"/>
    <col min="1284" max="1284" width="9.625" style="183" customWidth="1"/>
    <col min="1285" max="1285" width="10.375" style="183" customWidth="1"/>
    <col min="1286" max="1286" width="8.875" style="183" customWidth="1"/>
    <col min="1287" max="1287" width="9" style="183"/>
    <col min="1288" max="1288" width="9.5" style="183" bestFit="1" customWidth="1"/>
    <col min="1289" max="1531" width="9" style="183"/>
    <col min="1532" max="1532" width="10" style="183" customWidth="1"/>
    <col min="1533" max="1533" width="3.125" style="183" customWidth="1"/>
    <col min="1534" max="1534" width="11.25" style="183" customWidth="1"/>
    <col min="1535" max="1535" width="10.625" style="183" customWidth="1"/>
    <col min="1536" max="1536" width="8.875" style="183" customWidth="1"/>
    <col min="1537" max="1537" width="8.75" style="183" customWidth="1"/>
    <col min="1538" max="1538" width="9.625" style="183" customWidth="1"/>
    <col min="1539" max="1539" width="11.25" style="183" customWidth="1"/>
    <col min="1540" max="1540" width="9.625" style="183" customWidth="1"/>
    <col min="1541" max="1541" width="10.375" style="183" customWidth="1"/>
    <col min="1542" max="1542" width="8.875" style="183" customWidth="1"/>
    <col min="1543" max="1543" width="9" style="183"/>
    <col min="1544" max="1544" width="9.5" style="183" bestFit="1" customWidth="1"/>
    <col min="1545" max="1787" width="9" style="183"/>
    <col min="1788" max="1788" width="10" style="183" customWidth="1"/>
    <col min="1789" max="1789" width="3.125" style="183" customWidth="1"/>
    <col min="1790" max="1790" width="11.25" style="183" customWidth="1"/>
    <col min="1791" max="1791" width="10.625" style="183" customWidth="1"/>
    <col min="1792" max="1792" width="8.875" style="183" customWidth="1"/>
    <col min="1793" max="1793" width="8.75" style="183" customWidth="1"/>
    <col min="1794" max="1794" width="9.625" style="183" customWidth="1"/>
    <col min="1795" max="1795" width="11.25" style="183" customWidth="1"/>
    <col min="1796" max="1796" width="9.625" style="183" customWidth="1"/>
    <col min="1797" max="1797" width="10.375" style="183" customWidth="1"/>
    <col min="1798" max="1798" width="8.875" style="183" customWidth="1"/>
    <col min="1799" max="1799" width="9" style="183"/>
    <col min="1800" max="1800" width="9.5" style="183" bestFit="1" customWidth="1"/>
    <col min="1801" max="2043" width="9" style="183"/>
    <col min="2044" max="2044" width="10" style="183" customWidth="1"/>
    <col min="2045" max="2045" width="3.125" style="183" customWidth="1"/>
    <col min="2046" max="2046" width="11.25" style="183" customWidth="1"/>
    <col min="2047" max="2047" width="10.625" style="183" customWidth="1"/>
    <col min="2048" max="2048" width="8.875" style="183" customWidth="1"/>
    <col min="2049" max="2049" width="8.75" style="183" customWidth="1"/>
    <col min="2050" max="2050" width="9.625" style="183" customWidth="1"/>
    <col min="2051" max="2051" width="11.25" style="183" customWidth="1"/>
    <col min="2052" max="2052" width="9.625" style="183" customWidth="1"/>
    <col min="2053" max="2053" width="10.375" style="183" customWidth="1"/>
    <col min="2054" max="2054" width="8.875" style="183" customWidth="1"/>
    <col min="2055" max="2055" width="9" style="183"/>
    <col min="2056" max="2056" width="9.5" style="183" bestFit="1" customWidth="1"/>
    <col min="2057" max="2299" width="9" style="183"/>
    <col min="2300" max="2300" width="10" style="183" customWidth="1"/>
    <col min="2301" max="2301" width="3.125" style="183" customWidth="1"/>
    <col min="2302" max="2302" width="11.25" style="183" customWidth="1"/>
    <col min="2303" max="2303" width="10.625" style="183" customWidth="1"/>
    <col min="2304" max="2304" width="8.875" style="183" customWidth="1"/>
    <col min="2305" max="2305" width="8.75" style="183" customWidth="1"/>
    <col min="2306" max="2306" width="9.625" style="183" customWidth="1"/>
    <col min="2307" max="2307" width="11.25" style="183" customWidth="1"/>
    <col min="2308" max="2308" width="9.625" style="183" customWidth="1"/>
    <col min="2309" max="2309" width="10.375" style="183" customWidth="1"/>
    <col min="2310" max="2310" width="8.875" style="183" customWidth="1"/>
    <col min="2311" max="2311" width="9" style="183"/>
    <col min="2312" max="2312" width="9.5" style="183" bestFit="1" customWidth="1"/>
    <col min="2313" max="2555" width="9" style="183"/>
    <col min="2556" max="2556" width="10" style="183" customWidth="1"/>
    <col min="2557" max="2557" width="3.125" style="183" customWidth="1"/>
    <col min="2558" max="2558" width="11.25" style="183" customWidth="1"/>
    <col min="2559" max="2559" width="10.625" style="183" customWidth="1"/>
    <col min="2560" max="2560" width="8.875" style="183" customWidth="1"/>
    <col min="2561" max="2561" width="8.75" style="183" customWidth="1"/>
    <col min="2562" max="2562" width="9.625" style="183" customWidth="1"/>
    <col min="2563" max="2563" width="11.25" style="183" customWidth="1"/>
    <col min="2564" max="2564" width="9.625" style="183" customWidth="1"/>
    <col min="2565" max="2565" width="10.375" style="183" customWidth="1"/>
    <col min="2566" max="2566" width="8.875" style="183" customWidth="1"/>
    <col min="2567" max="2567" width="9" style="183"/>
    <col min="2568" max="2568" width="9.5" style="183" bestFit="1" customWidth="1"/>
    <col min="2569" max="2811" width="9" style="183"/>
    <col min="2812" max="2812" width="10" style="183" customWidth="1"/>
    <col min="2813" max="2813" width="3.125" style="183" customWidth="1"/>
    <col min="2814" max="2814" width="11.25" style="183" customWidth="1"/>
    <col min="2815" max="2815" width="10.625" style="183" customWidth="1"/>
    <col min="2816" max="2816" width="8.875" style="183" customWidth="1"/>
    <col min="2817" max="2817" width="8.75" style="183" customWidth="1"/>
    <col min="2818" max="2818" width="9.625" style="183" customWidth="1"/>
    <col min="2819" max="2819" width="11.25" style="183" customWidth="1"/>
    <col min="2820" max="2820" width="9.625" style="183" customWidth="1"/>
    <col min="2821" max="2821" width="10.375" style="183" customWidth="1"/>
    <col min="2822" max="2822" width="8.875" style="183" customWidth="1"/>
    <col min="2823" max="2823" width="9" style="183"/>
    <col min="2824" max="2824" width="9.5" style="183" bestFit="1" customWidth="1"/>
    <col min="2825" max="3067" width="9" style="183"/>
    <col min="3068" max="3068" width="10" style="183" customWidth="1"/>
    <col min="3069" max="3069" width="3.125" style="183" customWidth="1"/>
    <col min="3070" max="3070" width="11.25" style="183" customWidth="1"/>
    <col min="3071" max="3071" width="10.625" style="183" customWidth="1"/>
    <col min="3072" max="3072" width="8.875" style="183" customWidth="1"/>
    <col min="3073" max="3073" width="8.75" style="183" customWidth="1"/>
    <col min="3074" max="3074" width="9.625" style="183" customWidth="1"/>
    <col min="3075" max="3075" width="11.25" style="183" customWidth="1"/>
    <col min="3076" max="3076" width="9.625" style="183" customWidth="1"/>
    <col min="3077" max="3077" width="10.375" style="183" customWidth="1"/>
    <col min="3078" max="3078" width="8.875" style="183" customWidth="1"/>
    <col min="3079" max="3079" width="9" style="183"/>
    <col min="3080" max="3080" width="9.5" style="183" bestFit="1" customWidth="1"/>
    <col min="3081" max="3323" width="9" style="183"/>
    <col min="3324" max="3324" width="10" style="183" customWidth="1"/>
    <col min="3325" max="3325" width="3.125" style="183" customWidth="1"/>
    <col min="3326" max="3326" width="11.25" style="183" customWidth="1"/>
    <col min="3327" max="3327" width="10.625" style="183" customWidth="1"/>
    <col min="3328" max="3328" width="8.875" style="183" customWidth="1"/>
    <col min="3329" max="3329" width="8.75" style="183" customWidth="1"/>
    <col min="3330" max="3330" width="9.625" style="183" customWidth="1"/>
    <col min="3331" max="3331" width="11.25" style="183" customWidth="1"/>
    <col min="3332" max="3332" width="9.625" style="183" customWidth="1"/>
    <col min="3333" max="3333" width="10.375" style="183" customWidth="1"/>
    <col min="3334" max="3334" width="8.875" style="183" customWidth="1"/>
    <col min="3335" max="3335" width="9" style="183"/>
    <col min="3336" max="3336" width="9.5" style="183" bestFit="1" customWidth="1"/>
    <col min="3337" max="3579" width="9" style="183"/>
    <col min="3580" max="3580" width="10" style="183" customWidth="1"/>
    <col min="3581" max="3581" width="3.125" style="183" customWidth="1"/>
    <col min="3582" max="3582" width="11.25" style="183" customWidth="1"/>
    <col min="3583" max="3583" width="10.625" style="183" customWidth="1"/>
    <col min="3584" max="3584" width="8.875" style="183" customWidth="1"/>
    <col min="3585" max="3585" width="8.75" style="183" customWidth="1"/>
    <col min="3586" max="3586" width="9.625" style="183" customWidth="1"/>
    <col min="3587" max="3587" width="11.25" style="183" customWidth="1"/>
    <col min="3588" max="3588" width="9.625" style="183" customWidth="1"/>
    <col min="3589" max="3589" width="10.375" style="183" customWidth="1"/>
    <col min="3590" max="3590" width="8.875" style="183" customWidth="1"/>
    <col min="3591" max="3591" width="9" style="183"/>
    <col min="3592" max="3592" width="9.5" style="183" bestFit="1" customWidth="1"/>
    <col min="3593" max="3835" width="9" style="183"/>
    <col min="3836" max="3836" width="10" style="183" customWidth="1"/>
    <col min="3837" max="3837" width="3.125" style="183" customWidth="1"/>
    <col min="3838" max="3838" width="11.25" style="183" customWidth="1"/>
    <col min="3839" max="3839" width="10.625" style="183" customWidth="1"/>
    <col min="3840" max="3840" width="8.875" style="183" customWidth="1"/>
    <col min="3841" max="3841" width="8.75" style="183" customWidth="1"/>
    <col min="3842" max="3842" width="9.625" style="183" customWidth="1"/>
    <col min="3843" max="3843" width="11.25" style="183" customWidth="1"/>
    <col min="3844" max="3844" width="9.625" style="183" customWidth="1"/>
    <col min="3845" max="3845" width="10.375" style="183" customWidth="1"/>
    <col min="3846" max="3846" width="8.875" style="183" customWidth="1"/>
    <col min="3847" max="3847" width="9" style="183"/>
    <col min="3848" max="3848" width="9.5" style="183" bestFit="1" customWidth="1"/>
    <col min="3849" max="4091" width="9" style="183"/>
    <col min="4092" max="4092" width="10" style="183" customWidth="1"/>
    <col min="4093" max="4093" width="3.125" style="183" customWidth="1"/>
    <col min="4094" max="4094" width="11.25" style="183" customWidth="1"/>
    <col min="4095" max="4095" width="10.625" style="183" customWidth="1"/>
    <col min="4096" max="4096" width="8.875" style="183" customWidth="1"/>
    <col min="4097" max="4097" width="8.75" style="183" customWidth="1"/>
    <col min="4098" max="4098" width="9.625" style="183" customWidth="1"/>
    <col min="4099" max="4099" width="11.25" style="183" customWidth="1"/>
    <col min="4100" max="4100" width="9.625" style="183" customWidth="1"/>
    <col min="4101" max="4101" width="10.375" style="183" customWidth="1"/>
    <col min="4102" max="4102" width="8.875" style="183" customWidth="1"/>
    <col min="4103" max="4103" width="9" style="183"/>
    <col min="4104" max="4104" width="9.5" style="183" bestFit="1" customWidth="1"/>
    <col min="4105" max="4347" width="9" style="183"/>
    <col min="4348" max="4348" width="10" style="183" customWidth="1"/>
    <col min="4349" max="4349" width="3.125" style="183" customWidth="1"/>
    <col min="4350" max="4350" width="11.25" style="183" customWidth="1"/>
    <col min="4351" max="4351" width="10.625" style="183" customWidth="1"/>
    <col min="4352" max="4352" width="8.875" style="183" customWidth="1"/>
    <col min="4353" max="4353" width="8.75" style="183" customWidth="1"/>
    <col min="4354" max="4354" width="9.625" style="183" customWidth="1"/>
    <col min="4355" max="4355" width="11.25" style="183" customWidth="1"/>
    <col min="4356" max="4356" width="9.625" style="183" customWidth="1"/>
    <col min="4357" max="4357" width="10.375" style="183" customWidth="1"/>
    <col min="4358" max="4358" width="8.875" style="183" customWidth="1"/>
    <col min="4359" max="4359" width="9" style="183"/>
    <col min="4360" max="4360" width="9.5" style="183" bestFit="1" customWidth="1"/>
    <col min="4361" max="4603" width="9" style="183"/>
    <col min="4604" max="4604" width="10" style="183" customWidth="1"/>
    <col min="4605" max="4605" width="3.125" style="183" customWidth="1"/>
    <col min="4606" max="4606" width="11.25" style="183" customWidth="1"/>
    <col min="4607" max="4607" width="10.625" style="183" customWidth="1"/>
    <col min="4608" max="4608" width="8.875" style="183" customWidth="1"/>
    <col min="4609" max="4609" width="8.75" style="183" customWidth="1"/>
    <col min="4610" max="4610" width="9.625" style="183" customWidth="1"/>
    <col min="4611" max="4611" width="11.25" style="183" customWidth="1"/>
    <col min="4612" max="4612" width="9.625" style="183" customWidth="1"/>
    <col min="4613" max="4613" width="10.375" style="183" customWidth="1"/>
    <col min="4614" max="4614" width="8.875" style="183" customWidth="1"/>
    <col min="4615" max="4615" width="9" style="183"/>
    <col min="4616" max="4616" width="9.5" style="183" bestFit="1" customWidth="1"/>
    <col min="4617" max="4859" width="9" style="183"/>
    <col min="4860" max="4860" width="10" style="183" customWidth="1"/>
    <col min="4861" max="4861" width="3.125" style="183" customWidth="1"/>
    <col min="4862" max="4862" width="11.25" style="183" customWidth="1"/>
    <col min="4863" max="4863" width="10.625" style="183" customWidth="1"/>
    <col min="4864" max="4864" width="8.875" style="183" customWidth="1"/>
    <col min="4865" max="4865" width="8.75" style="183" customWidth="1"/>
    <col min="4866" max="4866" width="9.625" style="183" customWidth="1"/>
    <col min="4867" max="4867" width="11.25" style="183" customWidth="1"/>
    <col min="4868" max="4868" width="9.625" style="183" customWidth="1"/>
    <col min="4869" max="4869" width="10.375" style="183" customWidth="1"/>
    <col min="4870" max="4870" width="8.875" style="183" customWidth="1"/>
    <col min="4871" max="4871" width="9" style="183"/>
    <col min="4872" max="4872" width="9.5" style="183" bestFit="1" customWidth="1"/>
    <col min="4873" max="5115" width="9" style="183"/>
    <col min="5116" max="5116" width="10" style="183" customWidth="1"/>
    <col min="5117" max="5117" width="3.125" style="183" customWidth="1"/>
    <col min="5118" max="5118" width="11.25" style="183" customWidth="1"/>
    <col min="5119" max="5119" width="10.625" style="183" customWidth="1"/>
    <col min="5120" max="5120" width="8.875" style="183" customWidth="1"/>
    <col min="5121" max="5121" width="8.75" style="183" customWidth="1"/>
    <col min="5122" max="5122" width="9.625" style="183" customWidth="1"/>
    <col min="5123" max="5123" width="11.25" style="183" customWidth="1"/>
    <col min="5124" max="5124" width="9.625" style="183" customWidth="1"/>
    <col min="5125" max="5125" width="10.375" style="183" customWidth="1"/>
    <col min="5126" max="5126" width="8.875" style="183" customWidth="1"/>
    <col min="5127" max="5127" width="9" style="183"/>
    <col min="5128" max="5128" width="9.5" style="183" bestFit="1" customWidth="1"/>
    <col min="5129" max="5371" width="9" style="183"/>
    <col min="5372" max="5372" width="10" style="183" customWidth="1"/>
    <col min="5373" max="5373" width="3.125" style="183" customWidth="1"/>
    <col min="5374" max="5374" width="11.25" style="183" customWidth="1"/>
    <col min="5375" max="5375" width="10.625" style="183" customWidth="1"/>
    <col min="5376" max="5376" width="8.875" style="183" customWidth="1"/>
    <col min="5377" max="5377" width="8.75" style="183" customWidth="1"/>
    <col min="5378" max="5378" width="9.625" style="183" customWidth="1"/>
    <col min="5379" max="5379" width="11.25" style="183" customWidth="1"/>
    <col min="5380" max="5380" width="9.625" style="183" customWidth="1"/>
    <col min="5381" max="5381" width="10.375" style="183" customWidth="1"/>
    <col min="5382" max="5382" width="8.875" style="183" customWidth="1"/>
    <col min="5383" max="5383" width="9" style="183"/>
    <col min="5384" max="5384" width="9.5" style="183" bestFit="1" customWidth="1"/>
    <col min="5385" max="5627" width="9" style="183"/>
    <col min="5628" max="5628" width="10" style="183" customWidth="1"/>
    <col min="5629" max="5629" width="3.125" style="183" customWidth="1"/>
    <col min="5630" max="5630" width="11.25" style="183" customWidth="1"/>
    <col min="5631" max="5631" width="10.625" style="183" customWidth="1"/>
    <col min="5632" max="5632" width="8.875" style="183" customWidth="1"/>
    <col min="5633" max="5633" width="8.75" style="183" customWidth="1"/>
    <col min="5634" max="5634" width="9.625" style="183" customWidth="1"/>
    <col min="5635" max="5635" width="11.25" style="183" customWidth="1"/>
    <col min="5636" max="5636" width="9.625" style="183" customWidth="1"/>
    <col min="5637" max="5637" width="10.375" style="183" customWidth="1"/>
    <col min="5638" max="5638" width="8.875" style="183" customWidth="1"/>
    <col min="5639" max="5639" width="9" style="183"/>
    <col min="5640" max="5640" width="9.5" style="183" bestFit="1" customWidth="1"/>
    <col min="5641" max="5883" width="9" style="183"/>
    <col min="5884" max="5884" width="10" style="183" customWidth="1"/>
    <col min="5885" max="5885" width="3.125" style="183" customWidth="1"/>
    <col min="5886" max="5886" width="11.25" style="183" customWidth="1"/>
    <col min="5887" max="5887" width="10.625" style="183" customWidth="1"/>
    <col min="5888" max="5888" width="8.875" style="183" customWidth="1"/>
    <col min="5889" max="5889" width="8.75" style="183" customWidth="1"/>
    <col min="5890" max="5890" width="9.625" style="183" customWidth="1"/>
    <col min="5891" max="5891" width="11.25" style="183" customWidth="1"/>
    <col min="5892" max="5892" width="9.625" style="183" customWidth="1"/>
    <col min="5893" max="5893" width="10.375" style="183" customWidth="1"/>
    <col min="5894" max="5894" width="8.875" style="183" customWidth="1"/>
    <col min="5895" max="5895" width="9" style="183"/>
    <col min="5896" max="5896" width="9.5" style="183" bestFit="1" customWidth="1"/>
    <col min="5897" max="6139" width="9" style="183"/>
    <col min="6140" max="6140" width="10" style="183" customWidth="1"/>
    <col min="6141" max="6141" width="3.125" style="183" customWidth="1"/>
    <col min="6142" max="6142" width="11.25" style="183" customWidth="1"/>
    <col min="6143" max="6143" width="10.625" style="183" customWidth="1"/>
    <col min="6144" max="6144" width="8.875" style="183" customWidth="1"/>
    <col min="6145" max="6145" width="8.75" style="183" customWidth="1"/>
    <col min="6146" max="6146" width="9.625" style="183" customWidth="1"/>
    <col min="6147" max="6147" width="11.25" style="183" customWidth="1"/>
    <col min="6148" max="6148" width="9.625" style="183" customWidth="1"/>
    <col min="6149" max="6149" width="10.375" style="183" customWidth="1"/>
    <col min="6150" max="6150" width="8.875" style="183" customWidth="1"/>
    <col min="6151" max="6151" width="9" style="183"/>
    <col min="6152" max="6152" width="9.5" style="183" bestFit="1" customWidth="1"/>
    <col min="6153" max="6395" width="9" style="183"/>
    <col min="6396" max="6396" width="10" style="183" customWidth="1"/>
    <col min="6397" max="6397" width="3.125" style="183" customWidth="1"/>
    <col min="6398" max="6398" width="11.25" style="183" customWidth="1"/>
    <col min="6399" max="6399" width="10.625" style="183" customWidth="1"/>
    <col min="6400" max="6400" width="8.875" style="183" customWidth="1"/>
    <col min="6401" max="6401" width="8.75" style="183" customWidth="1"/>
    <col min="6402" max="6402" width="9.625" style="183" customWidth="1"/>
    <col min="6403" max="6403" width="11.25" style="183" customWidth="1"/>
    <col min="6404" max="6404" width="9.625" style="183" customWidth="1"/>
    <col min="6405" max="6405" width="10.375" style="183" customWidth="1"/>
    <col min="6406" max="6406" width="8.875" style="183" customWidth="1"/>
    <col min="6407" max="6407" width="9" style="183"/>
    <col min="6408" max="6408" width="9.5" style="183" bestFit="1" customWidth="1"/>
    <col min="6409" max="6651" width="9" style="183"/>
    <col min="6652" max="6652" width="10" style="183" customWidth="1"/>
    <col min="6653" max="6653" width="3.125" style="183" customWidth="1"/>
    <col min="6654" max="6654" width="11.25" style="183" customWidth="1"/>
    <col min="6655" max="6655" width="10.625" style="183" customWidth="1"/>
    <col min="6656" max="6656" width="8.875" style="183" customWidth="1"/>
    <col min="6657" max="6657" width="8.75" style="183" customWidth="1"/>
    <col min="6658" max="6658" width="9.625" style="183" customWidth="1"/>
    <col min="6659" max="6659" width="11.25" style="183" customWidth="1"/>
    <col min="6660" max="6660" width="9.625" style="183" customWidth="1"/>
    <col min="6661" max="6661" width="10.375" style="183" customWidth="1"/>
    <col min="6662" max="6662" width="8.875" style="183" customWidth="1"/>
    <col min="6663" max="6663" width="9" style="183"/>
    <col min="6664" max="6664" width="9.5" style="183" bestFit="1" customWidth="1"/>
    <col min="6665" max="6907" width="9" style="183"/>
    <col min="6908" max="6908" width="10" style="183" customWidth="1"/>
    <col min="6909" max="6909" width="3.125" style="183" customWidth="1"/>
    <col min="6910" max="6910" width="11.25" style="183" customWidth="1"/>
    <col min="6911" max="6911" width="10.625" style="183" customWidth="1"/>
    <col min="6912" max="6912" width="8.875" style="183" customWidth="1"/>
    <col min="6913" max="6913" width="8.75" style="183" customWidth="1"/>
    <col min="6914" max="6914" width="9.625" style="183" customWidth="1"/>
    <col min="6915" max="6915" width="11.25" style="183" customWidth="1"/>
    <col min="6916" max="6916" width="9.625" style="183" customWidth="1"/>
    <col min="6917" max="6917" width="10.375" style="183" customWidth="1"/>
    <col min="6918" max="6918" width="8.875" style="183" customWidth="1"/>
    <col min="6919" max="6919" width="9" style="183"/>
    <col min="6920" max="6920" width="9.5" style="183" bestFit="1" customWidth="1"/>
    <col min="6921" max="7163" width="9" style="183"/>
    <col min="7164" max="7164" width="10" style="183" customWidth="1"/>
    <col min="7165" max="7165" width="3.125" style="183" customWidth="1"/>
    <col min="7166" max="7166" width="11.25" style="183" customWidth="1"/>
    <col min="7167" max="7167" width="10.625" style="183" customWidth="1"/>
    <col min="7168" max="7168" width="8.875" style="183" customWidth="1"/>
    <col min="7169" max="7169" width="8.75" style="183" customWidth="1"/>
    <col min="7170" max="7170" width="9.625" style="183" customWidth="1"/>
    <col min="7171" max="7171" width="11.25" style="183" customWidth="1"/>
    <col min="7172" max="7172" width="9.625" style="183" customWidth="1"/>
    <col min="7173" max="7173" width="10.375" style="183" customWidth="1"/>
    <col min="7174" max="7174" width="8.875" style="183" customWidth="1"/>
    <col min="7175" max="7175" width="9" style="183"/>
    <col min="7176" max="7176" width="9.5" style="183" bestFit="1" customWidth="1"/>
    <col min="7177" max="7419" width="9" style="183"/>
    <col min="7420" max="7420" width="10" style="183" customWidth="1"/>
    <col min="7421" max="7421" width="3.125" style="183" customWidth="1"/>
    <col min="7422" max="7422" width="11.25" style="183" customWidth="1"/>
    <col min="7423" max="7423" width="10.625" style="183" customWidth="1"/>
    <col min="7424" max="7424" width="8.875" style="183" customWidth="1"/>
    <col min="7425" max="7425" width="8.75" style="183" customWidth="1"/>
    <col min="7426" max="7426" width="9.625" style="183" customWidth="1"/>
    <col min="7427" max="7427" width="11.25" style="183" customWidth="1"/>
    <col min="7428" max="7428" width="9.625" style="183" customWidth="1"/>
    <col min="7429" max="7429" width="10.375" style="183" customWidth="1"/>
    <col min="7430" max="7430" width="8.875" style="183" customWidth="1"/>
    <col min="7431" max="7431" width="9" style="183"/>
    <col min="7432" max="7432" width="9.5" style="183" bestFit="1" customWidth="1"/>
    <col min="7433" max="7675" width="9" style="183"/>
    <col min="7676" max="7676" width="10" style="183" customWidth="1"/>
    <col min="7677" max="7677" width="3.125" style="183" customWidth="1"/>
    <col min="7678" max="7678" width="11.25" style="183" customWidth="1"/>
    <col min="7679" max="7679" width="10.625" style="183" customWidth="1"/>
    <col min="7680" max="7680" width="8.875" style="183" customWidth="1"/>
    <col min="7681" max="7681" width="8.75" style="183" customWidth="1"/>
    <col min="7682" max="7682" width="9.625" style="183" customWidth="1"/>
    <col min="7683" max="7683" width="11.25" style="183" customWidth="1"/>
    <col min="7684" max="7684" width="9.625" style="183" customWidth="1"/>
    <col min="7685" max="7685" width="10.375" style="183" customWidth="1"/>
    <col min="7686" max="7686" width="8.875" style="183" customWidth="1"/>
    <col min="7687" max="7687" width="9" style="183"/>
    <col min="7688" max="7688" width="9.5" style="183" bestFit="1" customWidth="1"/>
    <col min="7689" max="7931" width="9" style="183"/>
    <col min="7932" max="7932" width="10" style="183" customWidth="1"/>
    <col min="7933" max="7933" width="3.125" style="183" customWidth="1"/>
    <col min="7934" max="7934" width="11.25" style="183" customWidth="1"/>
    <col min="7935" max="7935" width="10.625" style="183" customWidth="1"/>
    <col min="7936" max="7936" width="8.875" style="183" customWidth="1"/>
    <col min="7937" max="7937" width="8.75" style="183" customWidth="1"/>
    <col min="7938" max="7938" width="9.625" style="183" customWidth="1"/>
    <col min="7939" max="7939" width="11.25" style="183" customWidth="1"/>
    <col min="7940" max="7940" width="9.625" style="183" customWidth="1"/>
    <col min="7941" max="7941" width="10.375" style="183" customWidth="1"/>
    <col min="7942" max="7942" width="8.875" style="183" customWidth="1"/>
    <col min="7943" max="7943" width="9" style="183"/>
    <col min="7944" max="7944" width="9.5" style="183" bestFit="1" customWidth="1"/>
    <col min="7945" max="8187" width="9" style="183"/>
    <col min="8188" max="8188" width="10" style="183" customWidth="1"/>
    <col min="8189" max="8189" width="3.125" style="183" customWidth="1"/>
    <col min="8190" max="8190" width="11.25" style="183" customWidth="1"/>
    <col min="8191" max="8191" width="10.625" style="183" customWidth="1"/>
    <col min="8192" max="8192" width="8.875" style="183" customWidth="1"/>
    <col min="8193" max="8193" width="8.75" style="183" customWidth="1"/>
    <col min="8194" max="8194" width="9.625" style="183" customWidth="1"/>
    <col min="8195" max="8195" width="11.25" style="183" customWidth="1"/>
    <col min="8196" max="8196" width="9.625" style="183" customWidth="1"/>
    <col min="8197" max="8197" width="10.375" style="183" customWidth="1"/>
    <col min="8198" max="8198" width="8.875" style="183" customWidth="1"/>
    <col min="8199" max="8199" width="9" style="183"/>
    <col min="8200" max="8200" width="9.5" style="183" bestFit="1" customWidth="1"/>
    <col min="8201" max="8443" width="9" style="183"/>
    <col min="8444" max="8444" width="10" style="183" customWidth="1"/>
    <col min="8445" max="8445" width="3.125" style="183" customWidth="1"/>
    <col min="8446" max="8446" width="11.25" style="183" customWidth="1"/>
    <col min="8447" max="8447" width="10.625" style="183" customWidth="1"/>
    <col min="8448" max="8448" width="8.875" style="183" customWidth="1"/>
    <col min="8449" max="8449" width="8.75" style="183" customWidth="1"/>
    <col min="8450" max="8450" width="9.625" style="183" customWidth="1"/>
    <col min="8451" max="8451" width="11.25" style="183" customWidth="1"/>
    <col min="8452" max="8452" width="9.625" style="183" customWidth="1"/>
    <col min="8453" max="8453" width="10.375" style="183" customWidth="1"/>
    <col min="8454" max="8454" width="8.875" style="183" customWidth="1"/>
    <col min="8455" max="8455" width="9" style="183"/>
    <col min="8456" max="8456" width="9.5" style="183" bestFit="1" customWidth="1"/>
    <col min="8457" max="8699" width="9" style="183"/>
    <col min="8700" max="8700" width="10" style="183" customWidth="1"/>
    <col min="8701" max="8701" width="3.125" style="183" customWidth="1"/>
    <col min="8702" max="8702" width="11.25" style="183" customWidth="1"/>
    <col min="8703" max="8703" width="10.625" style="183" customWidth="1"/>
    <col min="8704" max="8704" width="8.875" style="183" customWidth="1"/>
    <col min="8705" max="8705" width="8.75" style="183" customWidth="1"/>
    <col min="8706" max="8706" width="9.625" style="183" customWidth="1"/>
    <col min="8707" max="8707" width="11.25" style="183" customWidth="1"/>
    <col min="8708" max="8708" width="9.625" style="183" customWidth="1"/>
    <col min="8709" max="8709" width="10.375" style="183" customWidth="1"/>
    <col min="8710" max="8710" width="8.875" style="183" customWidth="1"/>
    <col min="8711" max="8711" width="9" style="183"/>
    <col min="8712" max="8712" width="9.5" style="183" bestFit="1" customWidth="1"/>
    <col min="8713" max="8955" width="9" style="183"/>
    <col min="8956" max="8956" width="10" style="183" customWidth="1"/>
    <col min="8957" max="8957" width="3.125" style="183" customWidth="1"/>
    <col min="8958" max="8958" width="11.25" style="183" customWidth="1"/>
    <col min="8959" max="8959" width="10.625" style="183" customWidth="1"/>
    <col min="8960" max="8960" width="8.875" style="183" customWidth="1"/>
    <col min="8961" max="8961" width="8.75" style="183" customWidth="1"/>
    <col min="8962" max="8962" width="9.625" style="183" customWidth="1"/>
    <col min="8963" max="8963" width="11.25" style="183" customWidth="1"/>
    <col min="8964" max="8964" width="9.625" style="183" customWidth="1"/>
    <col min="8965" max="8965" width="10.375" style="183" customWidth="1"/>
    <col min="8966" max="8966" width="8.875" style="183" customWidth="1"/>
    <col min="8967" max="8967" width="9" style="183"/>
    <col min="8968" max="8968" width="9.5" style="183" bestFit="1" customWidth="1"/>
    <col min="8969" max="9211" width="9" style="183"/>
    <col min="9212" max="9212" width="10" style="183" customWidth="1"/>
    <col min="9213" max="9213" width="3.125" style="183" customWidth="1"/>
    <col min="9214" max="9214" width="11.25" style="183" customWidth="1"/>
    <col min="9215" max="9215" width="10.625" style="183" customWidth="1"/>
    <col min="9216" max="9216" width="8.875" style="183" customWidth="1"/>
    <col min="9217" max="9217" width="8.75" style="183" customWidth="1"/>
    <col min="9218" max="9218" width="9.625" style="183" customWidth="1"/>
    <col min="9219" max="9219" width="11.25" style="183" customWidth="1"/>
    <col min="9220" max="9220" width="9.625" style="183" customWidth="1"/>
    <col min="9221" max="9221" width="10.375" style="183" customWidth="1"/>
    <col min="9222" max="9222" width="8.875" style="183" customWidth="1"/>
    <col min="9223" max="9223" width="9" style="183"/>
    <col min="9224" max="9224" width="9.5" style="183" bestFit="1" customWidth="1"/>
    <col min="9225" max="9467" width="9" style="183"/>
    <col min="9468" max="9468" width="10" style="183" customWidth="1"/>
    <col min="9469" max="9469" width="3.125" style="183" customWidth="1"/>
    <col min="9470" max="9470" width="11.25" style="183" customWidth="1"/>
    <col min="9471" max="9471" width="10.625" style="183" customWidth="1"/>
    <col min="9472" max="9472" width="8.875" style="183" customWidth="1"/>
    <col min="9473" max="9473" width="8.75" style="183" customWidth="1"/>
    <col min="9474" max="9474" width="9.625" style="183" customWidth="1"/>
    <col min="9475" max="9475" width="11.25" style="183" customWidth="1"/>
    <col min="9476" max="9476" width="9.625" style="183" customWidth="1"/>
    <col min="9477" max="9477" width="10.375" style="183" customWidth="1"/>
    <col min="9478" max="9478" width="8.875" style="183" customWidth="1"/>
    <col min="9479" max="9479" width="9" style="183"/>
    <col min="9480" max="9480" width="9.5" style="183" bestFit="1" customWidth="1"/>
    <col min="9481" max="9723" width="9" style="183"/>
    <col min="9724" max="9724" width="10" style="183" customWidth="1"/>
    <col min="9725" max="9725" width="3.125" style="183" customWidth="1"/>
    <col min="9726" max="9726" width="11.25" style="183" customWidth="1"/>
    <col min="9727" max="9727" width="10.625" style="183" customWidth="1"/>
    <col min="9728" max="9728" width="8.875" style="183" customWidth="1"/>
    <col min="9729" max="9729" width="8.75" style="183" customWidth="1"/>
    <col min="9730" max="9730" width="9.625" style="183" customWidth="1"/>
    <col min="9731" max="9731" width="11.25" style="183" customWidth="1"/>
    <col min="9732" max="9732" width="9.625" style="183" customWidth="1"/>
    <col min="9733" max="9733" width="10.375" style="183" customWidth="1"/>
    <col min="9734" max="9734" width="8.875" style="183" customWidth="1"/>
    <col min="9735" max="9735" width="9" style="183"/>
    <col min="9736" max="9736" width="9.5" style="183" bestFit="1" customWidth="1"/>
    <col min="9737" max="9979" width="9" style="183"/>
    <col min="9980" max="9980" width="10" style="183" customWidth="1"/>
    <col min="9981" max="9981" width="3.125" style="183" customWidth="1"/>
    <col min="9982" max="9982" width="11.25" style="183" customWidth="1"/>
    <col min="9983" max="9983" width="10.625" style="183" customWidth="1"/>
    <col min="9984" max="9984" width="8.875" style="183" customWidth="1"/>
    <col min="9985" max="9985" width="8.75" style="183" customWidth="1"/>
    <col min="9986" max="9986" width="9.625" style="183" customWidth="1"/>
    <col min="9987" max="9987" width="11.25" style="183" customWidth="1"/>
    <col min="9988" max="9988" width="9.625" style="183" customWidth="1"/>
    <col min="9989" max="9989" width="10.375" style="183" customWidth="1"/>
    <col min="9990" max="9990" width="8.875" style="183" customWidth="1"/>
    <col min="9991" max="9991" width="9" style="183"/>
    <col min="9992" max="9992" width="9.5" style="183" bestFit="1" customWidth="1"/>
    <col min="9993" max="10235" width="9" style="183"/>
    <col min="10236" max="10236" width="10" style="183" customWidth="1"/>
    <col min="10237" max="10237" width="3.125" style="183" customWidth="1"/>
    <col min="10238" max="10238" width="11.25" style="183" customWidth="1"/>
    <col min="10239" max="10239" width="10.625" style="183" customWidth="1"/>
    <col min="10240" max="10240" width="8.875" style="183" customWidth="1"/>
    <col min="10241" max="10241" width="8.75" style="183" customWidth="1"/>
    <col min="10242" max="10242" width="9.625" style="183" customWidth="1"/>
    <col min="10243" max="10243" width="11.25" style="183" customWidth="1"/>
    <col min="10244" max="10244" width="9.625" style="183" customWidth="1"/>
    <col min="10245" max="10245" width="10.375" style="183" customWidth="1"/>
    <col min="10246" max="10246" width="8.875" style="183" customWidth="1"/>
    <col min="10247" max="10247" width="9" style="183"/>
    <col min="10248" max="10248" width="9.5" style="183" bestFit="1" customWidth="1"/>
    <col min="10249" max="10491" width="9" style="183"/>
    <col min="10492" max="10492" width="10" style="183" customWidth="1"/>
    <col min="10493" max="10493" width="3.125" style="183" customWidth="1"/>
    <col min="10494" max="10494" width="11.25" style="183" customWidth="1"/>
    <col min="10495" max="10495" width="10.625" style="183" customWidth="1"/>
    <col min="10496" max="10496" width="8.875" style="183" customWidth="1"/>
    <col min="10497" max="10497" width="8.75" style="183" customWidth="1"/>
    <col min="10498" max="10498" width="9.625" style="183" customWidth="1"/>
    <col min="10499" max="10499" width="11.25" style="183" customWidth="1"/>
    <col min="10500" max="10500" width="9.625" style="183" customWidth="1"/>
    <col min="10501" max="10501" width="10.375" style="183" customWidth="1"/>
    <col min="10502" max="10502" width="8.875" style="183" customWidth="1"/>
    <col min="10503" max="10503" width="9" style="183"/>
    <col min="10504" max="10504" width="9.5" style="183" bestFit="1" customWidth="1"/>
    <col min="10505" max="10747" width="9" style="183"/>
    <col min="10748" max="10748" width="10" style="183" customWidth="1"/>
    <col min="10749" max="10749" width="3.125" style="183" customWidth="1"/>
    <col min="10750" max="10750" width="11.25" style="183" customWidth="1"/>
    <col min="10751" max="10751" width="10.625" style="183" customWidth="1"/>
    <col min="10752" max="10752" width="8.875" style="183" customWidth="1"/>
    <col min="10753" max="10753" width="8.75" style="183" customWidth="1"/>
    <col min="10754" max="10754" width="9.625" style="183" customWidth="1"/>
    <col min="10755" max="10755" width="11.25" style="183" customWidth="1"/>
    <col min="10756" max="10756" width="9.625" style="183" customWidth="1"/>
    <col min="10757" max="10757" width="10.375" style="183" customWidth="1"/>
    <col min="10758" max="10758" width="8.875" style="183" customWidth="1"/>
    <col min="10759" max="10759" width="9" style="183"/>
    <col min="10760" max="10760" width="9.5" style="183" bestFit="1" customWidth="1"/>
    <col min="10761" max="11003" width="9" style="183"/>
    <col min="11004" max="11004" width="10" style="183" customWidth="1"/>
    <col min="11005" max="11005" width="3.125" style="183" customWidth="1"/>
    <col min="11006" max="11006" width="11.25" style="183" customWidth="1"/>
    <col min="11007" max="11007" width="10.625" style="183" customWidth="1"/>
    <col min="11008" max="11008" width="8.875" style="183" customWidth="1"/>
    <col min="11009" max="11009" width="8.75" style="183" customWidth="1"/>
    <col min="11010" max="11010" width="9.625" style="183" customWidth="1"/>
    <col min="11011" max="11011" width="11.25" style="183" customWidth="1"/>
    <col min="11012" max="11012" width="9.625" style="183" customWidth="1"/>
    <col min="11013" max="11013" width="10.375" style="183" customWidth="1"/>
    <col min="11014" max="11014" width="8.875" style="183" customWidth="1"/>
    <col min="11015" max="11015" width="9" style="183"/>
    <col min="11016" max="11016" width="9.5" style="183" bestFit="1" customWidth="1"/>
    <col min="11017" max="11259" width="9" style="183"/>
    <col min="11260" max="11260" width="10" style="183" customWidth="1"/>
    <col min="11261" max="11261" width="3.125" style="183" customWidth="1"/>
    <col min="11262" max="11262" width="11.25" style="183" customWidth="1"/>
    <col min="11263" max="11263" width="10.625" style="183" customWidth="1"/>
    <col min="11264" max="11264" width="8.875" style="183" customWidth="1"/>
    <col min="11265" max="11265" width="8.75" style="183" customWidth="1"/>
    <col min="11266" max="11266" width="9.625" style="183" customWidth="1"/>
    <col min="11267" max="11267" width="11.25" style="183" customWidth="1"/>
    <col min="11268" max="11268" width="9.625" style="183" customWidth="1"/>
    <col min="11269" max="11269" width="10.375" style="183" customWidth="1"/>
    <col min="11270" max="11270" width="8.875" style="183" customWidth="1"/>
    <col min="11271" max="11271" width="9" style="183"/>
    <col min="11272" max="11272" width="9.5" style="183" bestFit="1" customWidth="1"/>
    <col min="11273" max="11515" width="9" style="183"/>
    <col min="11516" max="11516" width="10" style="183" customWidth="1"/>
    <col min="11517" max="11517" width="3.125" style="183" customWidth="1"/>
    <col min="11518" max="11518" width="11.25" style="183" customWidth="1"/>
    <col min="11519" max="11519" width="10.625" style="183" customWidth="1"/>
    <col min="11520" max="11520" width="8.875" style="183" customWidth="1"/>
    <col min="11521" max="11521" width="8.75" style="183" customWidth="1"/>
    <col min="11522" max="11522" width="9.625" style="183" customWidth="1"/>
    <col min="11523" max="11523" width="11.25" style="183" customWidth="1"/>
    <col min="11524" max="11524" width="9.625" style="183" customWidth="1"/>
    <col min="11525" max="11525" width="10.375" style="183" customWidth="1"/>
    <col min="11526" max="11526" width="8.875" style="183" customWidth="1"/>
    <col min="11527" max="11527" width="9" style="183"/>
    <col min="11528" max="11528" width="9.5" style="183" bestFit="1" customWidth="1"/>
    <col min="11529" max="11771" width="9" style="183"/>
    <col min="11772" max="11772" width="10" style="183" customWidth="1"/>
    <col min="11773" max="11773" width="3.125" style="183" customWidth="1"/>
    <col min="11774" max="11774" width="11.25" style="183" customWidth="1"/>
    <col min="11775" max="11775" width="10.625" style="183" customWidth="1"/>
    <col min="11776" max="11776" width="8.875" style="183" customWidth="1"/>
    <col min="11777" max="11777" width="8.75" style="183" customWidth="1"/>
    <col min="11778" max="11778" width="9.625" style="183" customWidth="1"/>
    <col min="11779" max="11779" width="11.25" style="183" customWidth="1"/>
    <col min="11780" max="11780" width="9.625" style="183" customWidth="1"/>
    <col min="11781" max="11781" width="10.375" style="183" customWidth="1"/>
    <col min="11782" max="11782" width="8.875" style="183" customWidth="1"/>
    <col min="11783" max="11783" width="9" style="183"/>
    <col min="11784" max="11784" width="9.5" style="183" bestFit="1" customWidth="1"/>
    <col min="11785" max="12027" width="9" style="183"/>
    <col min="12028" max="12028" width="10" style="183" customWidth="1"/>
    <col min="12029" max="12029" width="3.125" style="183" customWidth="1"/>
    <col min="12030" max="12030" width="11.25" style="183" customWidth="1"/>
    <col min="12031" max="12031" width="10.625" style="183" customWidth="1"/>
    <col min="12032" max="12032" width="8.875" style="183" customWidth="1"/>
    <col min="12033" max="12033" width="8.75" style="183" customWidth="1"/>
    <col min="12034" max="12034" width="9.625" style="183" customWidth="1"/>
    <col min="12035" max="12035" width="11.25" style="183" customWidth="1"/>
    <col min="12036" max="12036" width="9.625" style="183" customWidth="1"/>
    <col min="12037" max="12037" width="10.375" style="183" customWidth="1"/>
    <col min="12038" max="12038" width="8.875" style="183" customWidth="1"/>
    <col min="12039" max="12039" width="9" style="183"/>
    <col min="12040" max="12040" width="9.5" style="183" bestFit="1" customWidth="1"/>
    <col min="12041" max="12283" width="9" style="183"/>
    <col min="12284" max="12284" width="10" style="183" customWidth="1"/>
    <col min="12285" max="12285" width="3.125" style="183" customWidth="1"/>
    <col min="12286" max="12286" width="11.25" style="183" customWidth="1"/>
    <col min="12287" max="12287" width="10.625" style="183" customWidth="1"/>
    <col min="12288" max="12288" width="8.875" style="183" customWidth="1"/>
    <col min="12289" max="12289" width="8.75" style="183" customWidth="1"/>
    <col min="12290" max="12290" width="9.625" style="183" customWidth="1"/>
    <col min="12291" max="12291" width="11.25" style="183" customWidth="1"/>
    <col min="12292" max="12292" width="9.625" style="183" customWidth="1"/>
    <col min="12293" max="12293" width="10.375" style="183" customWidth="1"/>
    <col min="12294" max="12294" width="8.875" style="183" customWidth="1"/>
    <col min="12295" max="12295" width="9" style="183"/>
    <col min="12296" max="12296" width="9.5" style="183" bestFit="1" customWidth="1"/>
    <col min="12297" max="12539" width="9" style="183"/>
    <col min="12540" max="12540" width="10" style="183" customWidth="1"/>
    <col min="12541" max="12541" width="3.125" style="183" customWidth="1"/>
    <col min="12542" max="12542" width="11.25" style="183" customWidth="1"/>
    <col min="12543" max="12543" width="10.625" style="183" customWidth="1"/>
    <col min="12544" max="12544" width="8.875" style="183" customWidth="1"/>
    <col min="12545" max="12545" width="8.75" style="183" customWidth="1"/>
    <col min="12546" max="12546" width="9.625" style="183" customWidth="1"/>
    <col min="12547" max="12547" width="11.25" style="183" customWidth="1"/>
    <col min="12548" max="12548" width="9.625" style="183" customWidth="1"/>
    <col min="12549" max="12549" width="10.375" style="183" customWidth="1"/>
    <col min="12550" max="12550" width="8.875" style="183" customWidth="1"/>
    <col min="12551" max="12551" width="9" style="183"/>
    <col min="12552" max="12552" width="9.5" style="183" bestFit="1" customWidth="1"/>
    <col min="12553" max="12795" width="9" style="183"/>
    <col min="12796" max="12796" width="10" style="183" customWidth="1"/>
    <col min="12797" max="12797" width="3.125" style="183" customWidth="1"/>
    <col min="12798" max="12798" width="11.25" style="183" customWidth="1"/>
    <col min="12799" max="12799" width="10.625" style="183" customWidth="1"/>
    <col min="12800" max="12800" width="8.875" style="183" customWidth="1"/>
    <col min="12801" max="12801" width="8.75" style="183" customWidth="1"/>
    <col min="12802" max="12802" width="9.625" style="183" customWidth="1"/>
    <col min="12803" max="12803" width="11.25" style="183" customWidth="1"/>
    <col min="12804" max="12804" width="9.625" style="183" customWidth="1"/>
    <col min="12805" max="12805" width="10.375" style="183" customWidth="1"/>
    <col min="12806" max="12806" width="8.875" style="183" customWidth="1"/>
    <col min="12807" max="12807" width="9" style="183"/>
    <col min="12808" max="12808" width="9.5" style="183" bestFit="1" customWidth="1"/>
    <col min="12809" max="13051" width="9" style="183"/>
    <col min="13052" max="13052" width="10" style="183" customWidth="1"/>
    <col min="13053" max="13053" width="3.125" style="183" customWidth="1"/>
    <col min="13054" max="13054" width="11.25" style="183" customWidth="1"/>
    <col min="13055" max="13055" width="10.625" style="183" customWidth="1"/>
    <col min="13056" max="13056" width="8.875" style="183" customWidth="1"/>
    <col min="13057" max="13057" width="8.75" style="183" customWidth="1"/>
    <col min="13058" max="13058" width="9.625" style="183" customWidth="1"/>
    <col min="13059" max="13059" width="11.25" style="183" customWidth="1"/>
    <col min="13060" max="13060" width="9.625" style="183" customWidth="1"/>
    <col min="13061" max="13061" width="10.375" style="183" customWidth="1"/>
    <col min="13062" max="13062" width="8.875" style="183" customWidth="1"/>
    <col min="13063" max="13063" width="9" style="183"/>
    <col min="13064" max="13064" width="9.5" style="183" bestFit="1" customWidth="1"/>
    <col min="13065" max="13307" width="9" style="183"/>
    <col min="13308" max="13308" width="10" style="183" customWidth="1"/>
    <col min="13309" max="13309" width="3.125" style="183" customWidth="1"/>
    <col min="13310" max="13310" width="11.25" style="183" customWidth="1"/>
    <col min="13311" max="13311" width="10.625" style="183" customWidth="1"/>
    <col min="13312" max="13312" width="8.875" style="183" customWidth="1"/>
    <col min="13313" max="13313" width="8.75" style="183" customWidth="1"/>
    <col min="13314" max="13314" width="9.625" style="183" customWidth="1"/>
    <col min="13315" max="13315" width="11.25" style="183" customWidth="1"/>
    <col min="13316" max="13316" width="9.625" style="183" customWidth="1"/>
    <col min="13317" max="13317" width="10.375" style="183" customWidth="1"/>
    <col min="13318" max="13318" width="8.875" style="183" customWidth="1"/>
    <col min="13319" max="13319" width="9" style="183"/>
    <col min="13320" max="13320" width="9.5" style="183" bestFit="1" customWidth="1"/>
    <col min="13321" max="13563" width="9" style="183"/>
    <col min="13564" max="13564" width="10" style="183" customWidth="1"/>
    <col min="13565" max="13565" width="3.125" style="183" customWidth="1"/>
    <col min="13566" max="13566" width="11.25" style="183" customWidth="1"/>
    <col min="13567" max="13567" width="10.625" style="183" customWidth="1"/>
    <col min="13568" max="13568" width="8.875" style="183" customWidth="1"/>
    <col min="13569" max="13569" width="8.75" style="183" customWidth="1"/>
    <col min="13570" max="13570" width="9.625" style="183" customWidth="1"/>
    <col min="13571" max="13571" width="11.25" style="183" customWidth="1"/>
    <col min="13572" max="13572" width="9.625" style="183" customWidth="1"/>
    <col min="13573" max="13573" width="10.375" style="183" customWidth="1"/>
    <col min="13574" max="13574" width="8.875" style="183" customWidth="1"/>
    <col min="13575" max="13575" width="9" style="183"/>
    <col min="13576" max="13576" width="9.5" style="183" bestFit="1" customWidth="1"/>
    <col min="13577" max="13819" width="9" style="183"/>
    <col min="13820" max="13820" width="10" style="183" customWidth="1"/>
    <col min="13821" max="13821" width="3.125" style="183" customWidth="1"/>
    <col min="13822" max="13822" width="11.25" style="183" customWidth="1"/>
    <col min="13823" max="13823" width="10.625" style="183" customWidth="1"/>
    <col min="13824" max="13824" width="8.875" style="183" customWidth="1"/>
    <col min="13825" max="13825" width="8.75" style="183" customWidth="1"/>
    <col min="13826" max="13826" width="9.625" style="183" customWidth="1"/>
    <col min="13827" max="13827" width="11.25" style="183" customWidth="1"/>
    <col min="13828" max="13828" width="9.625" style="183" customWidth="1"/>
    <col min="13829" max="13829" width="10.375" style="183" customWidth="1"/>
    <col min="13830" max="13830" width="8.875" style="183" customWidth="1"/>
    <col min="13831" max="13831" width="9" style="183"/>
    <col min="13832" max="13832" width="9.5" style="183" bestFit="1" customWidth="1"/>
    <col min="13833" max="14075" width="9" style="183"/>
    <col min="14076" max="14076" width="10" style="183" customWidth="1"/>
    <col min="14077" max="14077" width="3.125" style="183" customWidth="1"/>
    <col min="14078" max="14078" width="11.25" style="183" customWidth="1"/>
    <col min="14079" max="14079" width="10.625" style="183" customWidth="1"/>
    <col min="14080" max="14080" width="8.875" style="183" customWidth="1"/>
    <col min="14081" max="14081" width="8.75" style="183" customWidth="1"/>
    <col min="14082" max="14082" width="9.625" style="183" customWidth="1"/>
    <col min="14083" max="14083" width="11.25" style="183" customWidth="1"/>
    <col min="14084" max="14084" width="9.625" style="183" customWidth="1"/>
    <col min="14085" max="14085" width="10.375" style="183" customWidth="1"/>
    <col min="14086" max="14086" width="8.875" style="183" customWidth="1"/>
    <col min="14087" max="14087" width="9" style="183"/>
    <col min="14088" max="14088" width="9.5" style="183" bestFit="1" customWidth="1"/>
    <col min="14089" max="14331" width="9" style="183"/>
    <col min="14332" max="14332" width="10" style="183" customWidth="1"/>
    <col min="14333" max="14333" width="3.125" style="183" customWidth="1"/>
    <col min="14334" max="14334" width="11.25" style="183" customWidth="1"/>
    <col min="14335" max="14335" width="10.625" style="183" customWidth="1"/>
    <col min="14336" max="14336" width="8.875" style="183" customWidth="1"/>
    <col min="14337" max="14337" width="8.75" style="183" customWidth="1"/>
    <col min="14338" max="14338" width="9.625" style="183" customWidth="1"/>
    <col min="14339" max="14339" width="11.25" style="183" customWidth="1"/>
    <col min="14340" max="14340" width="9.625" style="183" customWidth="1"/>
    <col min="14341" max="14341" width="10.375" style="183" customWidth="1"/>
    <col min="14342" max="14342" width="8.875" style="183" customWidth="1"/>
    <col min="14343" max="14343" width="9" style="183"/>
    <col min="14344" max="14344" width="9.5" style="183" bestFit="1" customWidth="1"/>
    <col min="14345" max="14587" width="9" style="183"/>
    <col min="14588" max="14588" width="10" style="183" customWidth="1"/>
    <col min="14589" max="14589" width="3.125" style="183" customWidth="1"/>
    <col min="14590" max="14590" width="11.25" style="183" customWidth="1"/>
    <col min="14591" max="14591" width="10.625" style="183" customWidth="1"/>
    <col min="14592" max="14592" width="8.875" style="183" customWidth="1"/>
    <col min="14593" max="14593" width="8.75" style="183" customWidth="1"/>
    <col min="14594" max="14594" width="9.625" style="183" customWidth="1"/>
    <col min="14595" max="14595" width="11.25" style="183" customWidth="1"/>
    <col min="14596" max="14596" width="9.625" style="183" customWidth="1"/>
    <col min="14597" max="14597" width="10.375" style="183" customWidth="1"/>
    <col min="14598" max="14598" width="8.875" style="183" customWidth="1"/>
    <col min="14599" max="14599" width="9" style="183"/>
    <col min="14600" max="14600" width="9.5" style="183" bestFit="1" customWidth="1"/>
    <col min="14601" max="14843" width="9" style="183"/>
    <col min="14844" max="14844" width="10" style="183" customWidth="1"/>
    <col min="14845" max="14845" width="3.125" style="183" customWidth="1"/>
    <col min="14846" max="14846" width="11.25" style="183" customWidth="1"/>
    <col min="14847" max="14847" width="10.625" style="183" customWidth="1"/>
    <col min="14848" max="14848" width="8.875" style="183" customWidth="1"/>
    <col min="14849" max="14849" width="8.75" style="183" customWidth="1"/>
    <col min="14850" max="14850" width="9.625" style="183" customWidth="1"/>
    <col min="14851" max="14851" width="11.25" style="183" customWidth="1"/>
    <col min="14852" max="14852" width="9.625" style="183" customWidth="1"/>
    <col min="14853" max="14853" width="10.375" style="183" customWidth="1"/>
    <col min="14854" max="14854" width="8.875" style="183" customWidth="1"/>
    <col min="14855" max="14855" width="9" style="183"/>
    <col min="14856" max="14856" width="9.5" style="183" bestFit="1" customWidth="1"/>
    <col min="14857" max="15099" width="9" style="183"/>
    <col min="15100" max="15100" width="10" style="183" customWidth="1"/>
    <col min="15101" max="15101" width="3.125" style="183" customWidth="1"/>
    <col min="15102" max="15102" width="11.25" style="183" customWidth="1"/>
    <col min="15103" max="15103" width="10.625" style="183" customWidth="1"/>
    <col min="15104" max="15104" width="8.875" style="183" customWidth="1"/>
    <col min="15105" max="15105" width="8.75" style="183" customWidth="1"/>
    <col min="15106" max="15106" width="9.625" style="183" customWidth="1"/>
    <col min="15107" max="15107" width="11.25" style="183" customWidth="1"/>
    <col min="15108" max="15108" width="9.625" style="183" customWidth="1"/>
    <col min="15109" max="15109" width="10.375" style="183" customWidth="1"/>
    <col min="15110" max="15110" width="8.875" style="183" customWidth="1"/>
    <col min="15111" max="15111" width="9" style="183"/>
    <col min="15112" max="15112" width="9.5" style="183" bestFit="1" customWidth="1"/>
    <col min="15113" max="15355" width="9" style="183"/>
    <col min="15356" max="15356" width="10" style="183" customWidth="1"/>
    <col min="15357" max="15357" width="3.125" style="183" customWidth="1"/>
    <col min="15358" max="15358" width="11.25" style="183" customWidth="1"/>
    <col min="15359" max="15359" width="10.625" style="183" customWidth="1"/>
    <col min="15360" max="15360" width="8.875" style="183" customWidth="1"/>
    <col min="15361" max="15361" width="8.75" style="183" customWidth="1"/>
    <col min="15362" max="15362" width="9.625" style="183" customWidth="1"/>
    <col min="15363" max="15363" width="11.25" style="183" customWidth="1"/>
    <col min="15364" max="15364" width="9.625" style="183" customWidth="1"/>
    <col min="15365" max="15365" width="10.375" style="183" customWidth="1"/>
    <col min="15366" max="15366" width="8.875" style="183" customWidth="1"/>
    <col min="15367" max="15367" width="9" style="183"/>
    <col min="15368" max="15368" width="9.5" style="183" bestFit="1" customWidth="1"/>
    <col min="15369" max="15611" width="9" style="183"/>
    <col min="15612" max="15612" width="10" style="183" customWidth="1"/>
    <col min="15613" max="15613" width="3.125" style="183" customWidth="1"/>
    <col min="15614" max="15614" width="11.25" style="183" customWidth="1"/>
    <col min="15615" max="15615" width="10.625" style="183" customWidth="1"/>
    <col min="15616" max="15616" width="8.875" style="183" customWidth="1"/>
    <col min="15617" max="15617" width="8.75" style="183" customWidth="1"/>
    <col min="15618" max="15618" width="9.625" style="183" customWidth="1"/>
    <col min="15619" max="15619" width="11.25" style="183" customWidth="1"/>
    <col min="15620" max="15620" width="9.625" style="183" customWidth="1"/>
    <col min="15621" max="15621" width="10.375" style="183" customWidth="1"/>
    <col min="15622" max="15622" width="8.875" style="183" customWidth="1"/>
    <col min="15623" max="15623" width="9" style="183"/>
    <col min="15624" max="15624" width="9.5" style="183" bestFit="1" customWidth="1"/>
    <col min="15625" max="15867" width="9" style="183"/>
    <col min="15868" max="15868" width="10" style="183" customWidth="1"/>
    <col min="15869" max="15869" width="3.125" style="183" customWidth="1"/>
    <col min="15870" max="15870" width="11.25" style="183" customWidth="1"/>
    <col min="15871" max="15871" width="10.625" style="183" customWidth="1"/>
    <col min="15872" max="15872" width="8.875" style="183" customWidth="1"/>
    <col min="15873" max="15873" width="8.75" style="183" customWidth="1"/>
    <col min="15874" max="15874" width="9.625" style="183" customWidth="1"/>
    <col min="15875" max="15875" width="11.25" style="183" customWidth="1"/>
    <col min="15876" max="15876" width="9.625" style="183" customWidth="1"/>
    <col min="15877" max="15877" width="10.375" style="183" customWidth="1"/>
    <col min="15878" max="15878" width="8.875" style="183" customWidth="1"/>
    <col min="15879" max="15879" width="9" style="183"/>
    <col min="15880" max="15880" width="9.5" style="183" bestFit="1" customWidth="1"/>
    <col min="15881" max="16123" width="9" style="183"/>
    <col min="16124" max="16124" width="10" style="183" customWidth="1"/>
    <col min="16125" max="16125" width="3.125" style="183" customWidth="1"/>
    <col min="16126" max="16126" width="11.25" style="183" customWidth="1"/>
    <col min="16127" max="16127" width="10.625" style="183" customWidth="1"/>
    <col min="16128" max="16128" width="8.875" style="183" customWidth="1"/>
    <col min="16129" max="16129" width="8.75" style="183" customWidth="1"/>
    <col min="16130" max="16130" width="9.625" style="183" customWidth="1"/>
    <col min="16131" max="16131" width="11.25" style="183" customWidth="1"/>
    <col min="16132" max="16132" width="9.625" style="183" customWidth="1"/>
    <col min="16133" max="16133" width="10.375" style="183" customWidth="1"/>
    <col min="16134" max="16134" width="8.875" style="183" customWidth="1"/>
    <col min="16135" max="16135" width="9" style="183"/>
    <col min="16136" max="16136" width="9.5" style="183" bestFit="1" customWidth="1"/>
    <col min="16137" max="16384" width="9" style="183"/>
  </cols>
  <sheetData>
    <row r="1" spans="1:24" ht="30.6" customHeight="1">
      <c r="A1" s="4022" t="s">
        <v>3702</v>
      </c>
      <c r="B1" s="4022"/>
      <c r="C1" s="4022"/>
      <c r="D1" s="4022"/>
      <c r="E1" s="4022"/>
      <c r="F1" s="4022"/>
      <c r="G1" s="4022"/>
      <c r="H1" s="4022"/>
      <c r="I1" s="4022"/>
      <c r="J1" s="4022"/>
      <c r="K1" s="4022"/>
      <c r="L1" s="4022"/>
      <c r="M1" s="4022"/>
      <c r="N1" s="4022"/>
      <c r="O1" s="4022"/>
      <c r="P1" s="4022"/>
      <c r="Q1" s="4022"/>
      <c r="R1" s="4022"/>
      <c r="S1" s="4022"/>
      <c r="T1" s="4022"/>
      <c r="U1" s="4022"/>
      <c r="V1" s="4022"/>
      <c r="W1" s="4022"/>
      <c r="X1" s="4022"/>
    </row>
    <row r="2" spans="1:24" s="184" customFormat="1" ht="25.35" customHeight="1">
      <c r="A2" s="4023" t="s">
        <v>3703</v>
      </c>
      <c r="B2" s="4026" t="s">
        <v>349</v>
      </c>
      <c r="C2" s="4028" t="s">
        <v>3704</v>
      </c>
      <c r="D2" s="4029"/>
      <c r="E2" s="4029"/>
      <c r="F2" s="4029"/>
      <c r="G2" s="4029"/>
      <c r="H2" s="4029"/>
      <c r="I2" s="4029"/>
      <c r="J2" s="4030"/>
      <c r="K2" s="4031" t="s">
        <v>3705</v>
      </c>
      <c r="L2" s="4032"/>
      <c r="M2" s="4032"/>
      <c r="N2" s="4033"/>
      <c r="O2" s="4034" t="s">
        <v>3706</v>
      </c>
      <c r="P2" s="4035"/>
      <c r="Q2" s="4035"/>
      <c r="R2" s="4035"/>
      <c r="S2" s="4035"/>
      <c r="T2" s="4035"/>
      <c r="U2" s="4035"/>
      <c r="V2" s="4036"/>
      <c r="W2" s="4037" t="s">
        <v>996</v>
      </c>
      <c r="X2" s="4038"/>
    </row>
    <row r="3" spans="1:24" ht="25.35" customHeight="1">
      <c r="A3" s="4024"/>
      <c r="B3" s="4027"/>
      <c r="C3" s="4041" t="s">
        <v>3707</v>
      </c>
      <c r="D3" s="4042"/>
      <c r="E3" s="4041" t="s">
        <v>3708</v>
      </c>
      <c r="F3" s="4042"/>
      <c r="G3" s="4041" t="s">
        <v>3709</v>
      </c>
      <c r="H3" s="4042"/>
      <c r="I3" s="4041" t="s">
        <v>3710</v>
      </c>
      <c r="J3" s="4042"/>
      <c r="K3" s="4041" t="s">
        <v>3707</v>
      </c>
      <c r="L3" s="4042"/>
      <c r="M3" s="4041" t="s">
        <v>3711</v>
      </c>
      <c r="N3" s="4042"/>
      <c r="O3" s="4041" t="s">
        <v>3707</v>
      </c>
      <c r="P3" s="4042"/>
      <c r="Q3" s="4041" t="s">
        <v>3708</v>
      </c>
      <c r="R3" s="4042"/>
      <c r="S3" s="4041" t="s">
        <v>3709</v>
      </c>
      <c r="T3" s="4042"/>
      <c r="U3" s="4041" t="s">
        <v>3712</v>
      </c>
      <c r="V3" s="4042"/>
      <c r="W3" s="4039"/>
      <c r="X3" s="4040"/>
    </row>
    <row r="4" spans="1:24" ht="25.35" customHeight="1">
      <c r="A4" s="4025"/>
      <c r="B4" s="2465" t="s">
        <v>3713</v>
      </c>
      <c r="C4" s="2466" t="s">
        <v>1189</v>
      </c>
      <c r="D4" s="2466" t="s">
        <v>0</v>
      </c>
      <c r="E4" s="2466" t="s">
        <v>1189</v>
      </c>
      <c r="F4" s="2466" t="s">
        <v>0</v>
      </c>
      <c r="G4" s="2466" t="s">
        <v>1189</v>
      </c>
      <c r="H4" s="2466" t="s">
        <v>0</v>
      </c>
      <c r="I4" s="2466" t="s">
        <v>1189</v>
      </c>
      <c r="J4" s="2466" t="s">
        <v>0</v>
      </c>
      <c r="K4" s="2466" t="s">
        <v>1189</v>
      </c>
      <c r="L4" s="2466" t="s">
        <v>0</v>
      </c>
      <c r="M4" s="2466" t="s">
        <v>1189</v>
      </c>
      <c r="N4" s="2466" t="s">
        <v>0</v>
      </c>
      <c r="O4" s="2466" t="s">
        <v>1189</v>
      </c>
      <c r="P4" s="2466" t="s">
        <v>0</v>
      </c>
      <c r="Q4" s="2466" t="s">
        <v>1189</v>
      </c>
      <c r="R4" s="2466" t="s">
        <v>0</v>
      </c>
      <c r="S4" s="2466" t="s">
        <v>1189</v>
      </c>
      <c r="T4" s="2466" t="s">
        <v>0</v>
      </c>
      <c r="U4" s="2466" t="s">
        <v>1189</v>
      </c>
      <c r="V4" s="2466" t="s">
        <v>0</v>
      </c>
      <c r="W4" s="2466" t="s">
        <v>1189</v>
      </c>
      <c r="X4" s="2467" t="s">
        <v>0</v>
      </c>
    </row>
    <row r="5" spans="1:24" ht="25.35" customHeight="1">
      <c r="A5" s="871" t="s">
        <v>1145</v>
      </c>
      <c r="B5" s="2468">
        <v>35460</v>
      </c>
      <c r="C5" s="2469">
        <v>1454</v>
      </c>
      <c r="D5" s="2470">
        <v>4.1003948110547102</v>
      </c>
      <c r="E5" s="2469">
        <v>1242</v>
      </c>
      <c r="F5" s="2470">
        <v>3.5025380710659899</v>
      </c>
      <c r="G5" s="2469">
        <v>738</v>
      </c>
      <c r="H5" s="2470">
        <v>2.0812182741116749</v>
      </c>
      <c r="I5" s="2469">
        <v>40</v>
      </c>
      <c r="J5" s="2470">
        <v>0.11280315848843769</v>
      </c>
      <c r="K5" s="2469">
        <v>15931</v>
      </c>
      <c r="L5" s="2470">
        <v>44.926677946982515</v>
      </c>
      <c r="M5" s="2469">
        <v>13486</v>
      </c>
      <c r="N5" s="2470">
        <v>38.031584884376763</v>
      </c>
      <c r="O5" s="2471">
        <v>662</v>
      </c>
      <c r="P5" s="2472">
        <f>O5/B5*100</f>
        <v>1.8668922729836435</v>
      </c>
      <c r="Q5" s="2471">
        <v>1186</v>
      </c>
      <c r="R5" s="2472">
        <f>Q5/B5*100</f>
        <v>3.3446136491821772</v>
      </c>
      <c r="S5" s="2471">
        <v>142</v>
      </c>
      <c r="T5" s="2472">
        <f>S5/B5*100</f>
        <v>0.40045121263395378</v>
      </c>
      <c r="U5" s="2471">
        <v>3</v>
      </c>
      <c r="V5" s="2472">
        <f>U5/B5*100</f>
        <v>8.4602368866328256E-3</v>
      </c>
      <c r="W5" s="2471">
        <v>576</v>
      </c>
      <c r="X5" s="2382">
        <f>W5/B5*100</f>
        <v>1.6243654822335025</v>
      </c>
    </row>
    <row r="6" spans="1:24" ht="25.35" customHeight="1">
      <c r="A6" s="2473" t="s">
        <v>1107</v>
      </c>
      <c r="B6" s="2474">
        <v>36440</v>
      </c>
      <c r="C6" s="2469">
        <v>1649</v>
      </c>
      <c r="D6" s="2257">
        <v>4.5252469813391878</v>
      </c>
      <c r="E6" s="2469">
        <v>1822</v>
      </c>
      <c r="F6" s="2257">
        <v>5</v>
      </c>
      <c r="G6" s="2469">
        <v>1002</v>
      </c>
      <c r="H6" s="2257">
        <v>2.7497255762897912</v>
      </c>
      <c r="I6" s="2469">
        <v>48</v>
      </c>
      <c r="J6" s="2257">
        <v>0.13172338090010977</v>
      </c>
      <c r="K6" s="2469">
        <v>14279</v>
      </c>
      <c r="L6" s="2257">
        <v>39.184961580680572</v>
      </c>
      <c r="M6" s="2469">
        <v>15057</v>
      </c>
      <c r="N6" s="2257">
        <v>41.319978046103181</v>
      </c>
      <c r="O6" s="2471">
        <v>501</v>
      </c>
      <c r="P6" s="2472">
        <f t="shared" ref="P6:P14" si="0">O6/B6*100</f>
        <v>1.3748627881448956</v>
      </c>
      <c r="Q6" s="2471">
        <v>1054</v>
      </c>
      <c r="R6" s="2472">
        <f t="shared" ref="R6:R14" si="1">Q6/B6*100</f>
        <v>2.8924259055982438</v>
      </c>
      <c r="S6" s="2471">
        <v>386</v>
      </c>
      <c r="T6" s="2472">
        <f t="shared" ref="T6:T14" si="2">S6/B6*100</f>
        <v>1.0592755214050493</v>
      </c>
      <c r="U6" s="2471">
        <v>5</v>
      </c>
      <c r="V6" s="2472">
        <f t="shared" ref="V6:V14" si="3">U6/B6*100</f>
        <v>1.3721185510428101E-2</v>
      </c>
      <c r="W6" s="2471">
        <v>637</v>
      </c>
      <c r="X6" s="2382">
        <f t="shared" ref="X6:X14" si="4">W6/B6*100</f>
        <v>1.7480790340285399</v>
      </c>
    </row>
    <row r="7" spans="1:24" ht="25.35" customHeight="1">
      <c r="A7" s="2473" t="s">
        <v>1060</v>
      </c>
      <c r="B7" s="2474">
        <v>36410</v>
      </c>
      <c r="C7" s="2469">
        <v>1521</v>
      </c>
      <c r="D7" s="2257">
        <v>4.1774237846745406</v>
      </c>
      <c r="E7" s="2469">
        <v>2271</v>
      </c>
      <c r="F7" s="2257">
        <v>6.2372974457566599</v>
      </c>
      <c r="G7" s="2469">
        <v>1122</v>
      </c>
      <c r="H7" s="2257">
        <v>3.0815709969788521</v>
      </c>
      <c r="I7" s="2469">
        <v>60</v>
      </c>
      <c r="J7" s="2257">
        <v>0.16478989288656962</v>
      </c>
      <c r="K7" s="2469">
        <v>13507</v>
      </c>
      <c r="L7" s="2257">
        <v>37.096951386981594</v>
      </c>
      <c r="M7" s="2469">
        <v>15036</v>
      </c>
      <c r="N7" s="2257">
        <v>41.296347157374349</v>
      </c>
      <c r="O7" s="2471">
        <v>531</v>
      </c>
      <c r="P7" s="2472">
        <f t="shared" si="0"/>
        <v>1.4583905520461411</v>
      </c>
      <c r="Q7" s="2471">
        <v>1175</v>
      </c>
      <c r="R7" s="2472">
        <f t="shared" si="1"/>
        <v>3.2271354023619887</v>
      </c>
      <c r="S7" s="2471">
        <v>553</v>
      </c>
      <c r="T7" s="2472">
        <f t="shared" si="2"/>
        <v>1.5188135127712168</v>
      </c>
      <c r="U7" s="2471">
        <v>6</v>
      </c>
      <c r="V7" s="2472">
        <f t="shared" si="3"/>
        <v>1.6478989288656962E-2</v>
      </c>
      <c r="W7" s="2471">
        <v>628</v>
      </c>
      <c r="X7" s="2382">
        <f t="shared" si="4"/>
        <v>1.7248008788794289</v>
      </c>
    </row>
    <row r="8" spans="1:24" ht="25.35" customHeight="1">
      <c r="A8" s="2473" t="s">
        <v>1061</v>
      </c>
      <c r="B8" s="2474">
        <v>36096</v>
      </c>
      <c r="C8" s="2469">
        <v>1419</v>
      </c>
      <c r="D8" s="2257">
        <v>3.9311835106382982</v>
      </c>
      <c r="E8" s="2469">
        <v>2214</v>
      </c>
      <c r="F8" s="2257">
        <v>6.1336436170212769</v>
      </c>
      <c r="G8" s="2469">
        <v>1178</v>
      </c>
      <c r="H8" s="2257">
        <v>3.2635195035460995</v>
      </c>
      <c r="I8" s="2469">
        <v>56</v>
      </c>
      <c r="J8" s="2257">
        <v>0.15514184397163122</v>
      </c>
      <c r="K8" s="2469">
        <v>11524</v>
      </c>
      <c r="L8" s="2257">
        <v>31.925975177304966</v>
      </c>
      <c r="M8" s="2469">
        <v>16171</v>
      </c>
      <c r="N8" s="2257">
        <v>44.799977836879435</v>
      </c>
      <c r="O8" s="2471">
        <v>474</v>
      </c>
      <c r="P8" s="2472">
        <f t="shared" si="0"/>
        <v>1.3131648936170213</v>
      </c>
      <c r="Q8" s="2471">
        <v>1320</v>
      </c>
      <c r="R8" s="2472">
        <f t="shared" si="1"/>
        <v>3.6569148936170213</v>
      </c>
      <c r="S8" s="2471">
        <v>805</v>
      </c>
      <c r="T8" s="2472">
        <f t="shared" si="2"/>
        <v>2.2301640070921986</v>
      </c>
      <c r="U8" s="2471">
        <v>11</v>
      </c>
      <c r="V8" s="2472">
        <f t="shared" si="3"/>
        <v>3.0474290780141845E-2</v>
      </c>
      <c r="W8" s="2471">
        <v>924</v>
      </c>
      <c r="X8" s="2382">
        <f t="shared" si="4"/>
        <v>2.5598404255319149</v>
      </c>
    </row>
    <row r="9" spans="1:24" ht="25.35" customHeight="1">
      <c r="A9" s="2473" t="s">
        <v>1062</v>
      </c>
      <c r="B9" s="2474">
        <v>34672</v>
      </c>
      <c r="C9" s="2469">
        <v>1199</v>
      </c>
      <c r="D9" s="2257">
        <v>3.4581218274111674</v>
      </c>
      <c r="E9" s="2469">
        <v>1943</v>
      </c>
      <c r="F9" s="2257">
        <v>5.6039455468389479</v>
      </c>
      <c r="G9" s="2469">
        <v>1248</v>
      </c>
      <c r="H9" s="2257">
        <v>3.599446239040148</v>
      </c>
      <c r="I9" s="2469">
        <v>31</v>
      </c>
      <c r="J9" s="2257">
        <v>8.9409321642824183E-2</v>
      </c>
      <c r="K9" s="2469">
        <v>9254</v>
      </c>
      <c r="L9" s="2257">
        <v>26.69012459621597</v>
      </c>
      <c r="M9" s="2469">
        <v>17941</v>
      </c>
      <c r="N9" s="2257">
        <v>51.744923857868017</v>
      </c>
      <c r="O9" s="2471">
        <v>432</v>
      </c>
      <c r="P9" s="2472">
        <f t="shared" si="0"/>
        <v>1.2459621596677435</v>
      </c>
      <c r="Q9" s="2471">
        <v>1250</v>
      </c>
      <c r="R9" s="2472">
        <f t="shared" si="1"/>
        <v>3.6052145823719428</v>
      </c>
      <c r="S9" s="2471">
        <v>730</v>
      </c>
      <c r="T9" s="2472">
        <f t="shared" si="2"/>
        <v>2.1054453161052145</v>
      </c>
      <c r="U9" s="2471">
        <v>4</v>
      </c>
      <c r="V9" s="2472">
        <f t="shared" si="3"/>
        <v>1.1536686663590217E-2</v>
      </c>
      <c r="W9" s="2471">
        <v>640</v>
      </c>
      <c r="X9" s="2382">
        <f t="shared" si="4"/>
        <v>1.8458698661744346</v>
      </c>
    </row>
    <row r="10" spans="1:24" ht="25.35" customHeight="1">
      <c r="A10" s="2473" t="s">
        <v>1063</v>
      </c>
      <c r="B10" s="2474">
        <v>35960</v>
      </c>
      <c r="C10" s="2469">
        <v>928</v>
      </c>
      <c r="D10" s="2257">
        <v>2.5806451612903225</v>
      </c>
      <c r="E10" s="2469">
        <v>1629</v>
      </c>
      <c r="F10" s="2257">
        <v>4.5300333704115685</v>
      </c>
      <c r="G10" s="2469">
        <v>965</v>
      </c>
      <c r="H10" s="2257">
        <v>2.6835372636262513</v>
      </c>
      <c r="I10" s="2469">
        <v>18</v>
      </c>
      <c r="J10" s="2257">
        <v>5.0055617352614018E-2</v>
      </c>
      <c r="K10" s="2469">
        <v>9410</v>
      </c>
      <c r="L10" s="2257">
        <v>26.167964404894327</v>
      </c>
      <c r="M10" s="2469">
        <v>20068</v>
      </c>
      <c r="N10" s="2257">
        <v>55.806451612903231</v>
      </c>
      <c r="O10" s="2471">
        <v>452</v>
      </c>
      <c r="P10" s="2472">
        <f t="shared" si="0"/>
        <v>1.256952169076752</v>
      </c>
      <c r="Q10" s="2471">
        <v>1256</v>
      </c>
      <c r="R10" s="2472">
        <f t="shared" si="1"/>
        <v>3.4927697441601775</v>
      </c>
      <c r="S10" s="2471">
        <v>736</v>
      </c>
      <c r="T10" s="2472">
        <f t="shared" si="2"/>
        <v>2.0467185761957731</v>
      </c>
      <c r="U10" s="2471">
        <v>3</v>
      </c>
      <c r="V10" s="2472">
        <f t="shared" si="3"/>
        <v>8.3426028921023358E-3</v>
      </c>
      <c r="W10" s="2471">
        <v>495</v>
      </c>
      <c r="X10" s="2382">
        <f t="shared" si="4"/>
        <v>1.3765294771968855</v>
      </c>
    </row>
    <row r="11" spans="1:24" ht="25.35" customHeight="1">
      <c r="A11" s="2473" t="s">
        <v>1064</v>
      </c>
      <c r="B11" s="2474">
        <v>40625</v>
      </c>
      <c r="C11" s="2469">
        <v>855</v>
      </c>
      <c r="D11" s="2257">
        <v>2.1046153846153848</v>
      </c>
      <c r="E11" s="2469">
        <v>1555</v>
      </c>
      <c r="F11" s="2257">
        <v>3.8276923076923075</v>
      </c>
      <c r="G11" s="2469">
        <v>868</v>
      </c>
      <c r="H11" s="2257">
        <v>2.1366153846153848</v>
      </c>
      <c r="I11" s="2469">
        <v>14</v>
      </c>
      <c r="J11" s="2257">
        <v>3.446153846153846E-2</v>
      </c>
      <c r="K11" s="2469">
        <v>10245</v>
      </c>
      <c r="L11" s="2257">
        <v>25.21846153846154</v>
      </c>
      <c r="M11" s="2469">
        <v>23727</v>
      </c>
      <c r="N11" s="2257">
        <v>58.404923076923076</v>
      </c>
      <c r="O11" s="2471">
        <v>492</v>
      </c>
      <c r="P11" s="2472">
        <f t="shared" si="0"/>
        <v>1.2110769230769232</v>
      </c>
      <c r="Q11" s="2471">
        <v>1500</v>
      </c>
      <c r="R11" s="2472">
        <f t="shared" si="1"/>
        <v>3.6923076923076925</v>
      </c>
      <c r="S11" s="2471">
        <v>863</v>
      </c>
      <c r="T11" s="2472">
        <f t="shared" si="2"/>
        <v>2.1243076923076925</v>
      </c>
      <c r="U11" s="2471">
        <v>2</v>
      </c>
      <c r="V11" s="2472">
        <f t="shared" si="3"/>
        <v>4.9230769230769232E-3</v>
      </c>
      <c r="W11" s="2471">
        <v>504</v>
      </c>
      <c r="X11" s="2382">
        <f t="shared" si="4"/>
        <v>1.2406153846153847</v>
      </c>
    </row>
    <row r="12" spans="1:24" ht="25.35" customHeight="1">
      <c r="A12" s="2473" t="s">
        <v>1065</v>
      </c>
      <c r="B12" s="2474">
        <v>43281</v>
      </c>
      <c r="C12" s="2469">
        <v>859</v>
      </c>
      <c r="D12" s="2257">
        <v>1.9847046047919412</v>
      </c>
      <c r="E12" s="2469">
        <v>1831</v>
      </c>
      <c r="F12" s="2257">
        <v>4.2304937501444053</v>
      </c>
      <c r="G12" s="2469">
        <v>714</v>
      </c>
      <c r="H12" s="2257">
        <v>1.6496846191169336</v>
      </c>
      <c r="I12" s="2469">
        <v>15</v>
      </c>
      <c r="J12" s="2257">
        <v>3.4657239897414566E-2</v>
      </c>
      <c r="K12" s="2469">
        <v>10358</v>
      </c>
      <c r="L12" s="2257">
        <v>23.931979390494675</v>
      </c>
      <c r="M12" s="2469">
        <v>26177</v>
      </c>
      <c r="N12" s="2257">
        <v>60.481504586308077</v>
      </c>
      <c r="O12" s="2471">
        <v>555</v>
      </c>
      <c r="P12" s="2472">
        <f t="shared" si="0"/>
        <v>1.2823178762043392</v>
      </c>
      <c r="Q12" s="2471">
        <v>1724</v>
      </c>
      <c r="R12" s="2472">
        <f t="shared" si="1"/>
        <v>3.9832721055428477</v>
      </c>
      <c r="S12" s="2471">
        <v>513</v>
      </c>
      <c r="T12" s="2472">
        <f t="shared" si="2"/>
        <v>1.1852776044915783</v>
      </c>
      <c r="U12" s="2471">
        <v>2</v>
      </c>
      <c r="V12" s="2472">
        <f t="shared" si="3"/>
        <v>4.6209653196552757E-3</v>
      </c>
      <c r="W12" s="2471">
        <v>533</v>
      </c>
      <c r="X12" s="2382">
        <f t="shared" si="4"/>
        <v>1.2314872576881311</v>
      </c>
    </row>
    <row r="13" spans="1:24" ht="25.35" customHeight="1">
      <c r="A13" s="2473" t="s">
        <v>1066</v>
      </c>
      <c r="B13" s="2474">
        <v>44541</v>
      </c>
      <c r="C13" s="2469">
        <v>1008</v>
      </c>
      <c r="D13" s="2257">
        <v>2.2630834512022631</v>
      </c>
      <c r="E13" s="2469">
        <v>2241</v>
      </c>
      <c r="F13" s="2257">
        <v>5.0313194584764593</v>
      </c>
      <c r="G13" s="2469">
        <v>917</v>
      </c>
      <c r="H13" s="2257">
        <v>2.0587773063020589</v>
      </c>
      <c r="I13" s="2469">
        <v>21</v>
      </c>
      <c r="J13" s="2257">
        <v>4.7147571900047147E-2</v>
      </c>
      <c r="K13" s="2469">
        <v>10163</v>
      </c>
      <c r="L13" s="2257">
        <v>22.81717967715139</v>
      </c>
      <c r="M13" s="2469">
        <v>26767</v>
      </c>
      <c r="N13" s="2257">
        <v>60.095193192788663</v>
      </c>
      <c r="O13" s="2471">
        <v>543</v>
      </c>
      <c r="P13" s="2472">
        <f t="shared" si="0"/>
        <v>1.2191015019869333</v>
      </c>
      <c r="Q13" s="2471">
        <v>1877</v>
      </c>
      <c r="R13" s="2472">
        <f t="shared" si="1"/>
        <v>4.2140948788756427</v>
      </c>
      <c r="S13" s="2471">
        <v>387</v>
      </c>
      <c r="T13" s="2472">
        <f t="shared" si="2"/>
        <v>0.86886239644372609</v>
      </c>
      <c r="U13" s="2471">
        <v>4</v>
      </c>
      <c r="V13" s="2472">
        <f t="shared" si="3"/>
        <v>8.9804898857232668E-3</v>
      </c>
      <c r="W13" s="2475">
        <v>613</v>
      </c>
      <c r="X13" s="2382">
        <f t="shared" si="4"/>
        <v>1.3762600749870906</v>
      </c>
    </row>
    <row r="14" spans="1:24" ht="25.35" customHeight="1">
      <c r="A14" s="782" t="s">
        <v>1067</v>
      </c>
      <c r="B14" s="2476">
        <v>42218</v>
      </c>
      <c r="C14" s="2477">
        <v>962</v>
      </c>
      <c r="D14" s="2272">
        <v>2.2786489175233315</v>
      </c>
      <c r="E14" s="2477">
        <v>2487</v>
      </c>
      <c r="F14" s="2272">
        <v>5.8908522431190491</v>
      </c>
      <c r="G14" s="2477">
        <v>1122</v>
      </c>
      <c r="H14" s="2272">
        <v>2.6576341844710787</v>
      </c>
      <c r="I14" s="2477">
        <v>22</v>
      </c>
      <c r="J14" s="2272">
        <v>5.2110474205315262E-2</v>
      </c>
      <c r="K14" s="2477">
        <v>9793</v>
      </c>
      <c r="L14" s="2272">
        <v>23.196266995120567</v>
      </c>
      <c r="M14" s="2477">
        <v>24521</v>
      </c>
      <c r="N14" s="2272">
        <v>58.081860817660711</v>
      </c>
      <c r="O14" s="2478">
        <v>470</v>
      </c>
      <c r="P14" s="2479">
        <f t="shared" si="0"/>
        <v>1.1132692216590081</v>
      </c>
      <c r="Q14" s="2480">
        <v>1878</v>
      </c>
      <c r="R14" s="2479">
        <f t="shared" si="1"/>
        <v>4.4483395707991855</v>
      </c>
      <c r="S14" s="2478">
        <v>389</v>
      </c>
      <c r="T14" s="2479">
        <f t="shared" si="2"/>
        <v>0.92140793026671086</v>
      </c>
      <c r="U14" s="2478">
        <v>1</v>
      </c>
      <c r="V14" s="2479">
        <f t="shared" si="3"/>
        <v>2.3686579184234212E-3</v>
      </c>
      <c r="W14" s="2478">
        <v>573</v>
      </c>
      <c r="X14" s="2481">
        <f t="shared" si="4"/>
        <v>1.3572409872566205</v>
      </c>
    </row>
    <row r="15" spans="1:24" s="195" customFormat="1" ht="19.5" customHeight="1">
      <c r="A15" s="4043" t="s">
        <v>997</v>
      </c>
      <c r="B15" s="4043"/>
      <c r="C15" s="4043"/>
      <c r="D15" s="4043"/>
      <c r="E15" s="4043"/>
      <c r="F15" s="4043"/>
      <c r="G15" s="4043"/>
      <c r="H15" s="4043"/>
      <c r="I15" s="4043"/>
      <c r="J15" s="4043"/>
      <c r="K15" s="2482"/>
      <c r="L15" s="2482"/>
      <c r="P15" s="854"/>
    </row>
    <row r="16" spans="1:24" s="198" customFormat="1">
      <c r="A16" s="4043" t="s">
        <v>3714</v>
      </c>
      <c r="B16" s="4043"/>
      <c r="C16" s="4043"/>
      <c r="D16" s="4043"/>
      <c r="E16" s="4043"/>
      <c r="F16" s="4043"/>
      <c r="G16" s="4043"/>
      <c r="H16" s="4043"/>
      <c r="I16" s="4043"/>
      <c r="J16" s="4043"/>
      <c r="K16" s="2482"/>
      <c r="L16" s="2482"/>
    </row>
  </sheetData>
  <mergeCells count="19">
    <mergeCell ref="A15:J15"/>
    <mergeCell ref="A16:J16"/>
    <mergeCell ref="I3:J3"/>
    <mergeCell ref="K3:L3"/>
    <mergeCell ref="M3:N3"/>
    <mergeCell ref="A1:X1"/>
    <mergeCell ref="A2:A4"/>
    <mergeCell ref="B2:B3"/>
    <mergeCell ref="C2:J2"/>
    <mergeCell ref="K2:N2"/>
    <mergeCell ref="O2:V2"/>
    <mergeCell ref="W2:X3"/>
    <mergeCell ref="C3:D3"/>
    <mergeCell ref="E3:F3"/>
    <mergeCell ref="G3:H3"/>
    <mergeCell ref="U3:V3"/>
    <mergeCell ref="O3:P3"/>
    <mergeCell ref="Q3:R3"/>
    <mergeCell ref="S3:T3"/>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49" firstPageNumber="262" orientation="landscape" r:id="rId1"/>
  <headerFooter differentOddEven="1" scaleWithDoc="0">
    <oddHeader>&amp;L&amp;"Times New Roman,標準"&amp;8 107&amp;"標楷體,標準"年犯罪狀況及其分析</oddHeader>
    <evenHeader>&amp;R&amp;"標楷體,標準"&amp;8第四篇　特定類型犯罪者之犯罪趨勢與處遇</evenHead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K16"/>
  <sheetViews>
    <sheetView showGridLines="0" workbookViewId="0">
      <selection activeCell="A18" sqref="A18:H18"/>
    </sheetView>
  </sheetViews>
  <sheetFormatPr defaultRowHeight="15.75"/>
  <cols>
    <col min="1" max="1" width="13.5" style="183" customWidth="1"/>
    <col min="2" max="11" width="10.625" style="183" customWidth="1"/>
    <col min="12" max="256" width="9" style="183"/>
    <col min="257" max="257" width="13.5" style="183" customWidth="1"/>
    <col min="258" max="258" width="9" style="183" customWidth="1"/>
    <col min="259" max="259" width="9.75" style="183" customWidth="1"/>
    <col min="260" max="261" width="9.625" style="183" customWidth="1"/>
    <col min="262" max="262" width="11" style="183" customWidth="1"/>
    <col min="263" max="263" width="9.625" style="183" customWidth="1"/>
    <col min="264" max="264" width="9.375" style="183" customWidth="1"/>
    <col min="265" max="265" width="9.75" style="183" customWidth="1"/>
    <col min="266" max="266" width="9" style="183" customWidth="1"/>
    <col min="267" max="267" width="11.125" style="183" bestFit="1" customWidth="1"/>
    <col min="268" max="512" width="9" style="183"/>
    <col min="513" max="513" width="13.5" style="183" customWidth="1"/>
    <col min="514" max="514" width="9" style="183" customWidth="1"/>
    <col min="515" max="515" width="9.75" style="183" customWidth="1"/>
    <col min="516" max="517" width="9.625" style="183" customWidth="1"/>
    <col min="518" max="518" width="11" style="183" customWidth="1"/>
    <col min="519" max="519" width="9.625" style="183" customWidth="1"/>
    <col min="520" max="520" width="9.375" style="183" customWidth="1"/>
    <col min="521" max="521" width="9.75" style="183" customWidth="1"/>
    <col min="522" max="522" width="9" style="183" customWidth="1"/>
    <col min="523" max="523" width="11.125" style="183" bestFit="1" customWidth="1"/>
    <col min="524" max="768" width="9" style="183"/>
    <col min="769" max="769" width="13.5" style="183" customWidth="1"/>
    <col min="770" max="770" width="9" style="183" customWidth="1"/>
    <col min="771" max="771" width="9.75" style="183" customWidth="1"/>
    <col min="772" max="773" width="9.625" style="183" customWidth="1"/>
    <col min="774" max="774" width="11" style="183" customWidth="1"/>
    <col min="775" max="775" width="9.625" style="183" customWidth="1"/>
    <col min="776" max="776" width="9.375" style="183" customWidth="1"/>
    <col min="777" max="777" width="9.75" style="183" customWidth="1"/>
    <col min="778" max="778" width="9" style="183" customWidth="1"/>
    <col min="779" max="779" width="11.125" style="183" bestFit="1" customWidth="1"/>
    <col min="780" max="1024" width="9" style="183"/>
    <col min="1025" max="1025" width="13.5" style="183" customWidth="1"/>
    <col min="1026" max="1026" width="9" style="183" customWidth="1"/>
    <col min="1027" max="1027" width="9.75" style="183" customWidth="1"/>
    <col min="1028" max="1029" width="9.625" style="183" customWidth="1"/>
    <col min="1030" max="1030" width="11" style="183" customWidth="1"/>
    <col min="1031" max="1031" width="9.625" style="183" customWidth="1"/>
    <col min="1032" max="1032" width="9.375" style="183" customWidth="1"/>
    <col min="1033" max="1033" width="9.75" style="183" customWidth="1"/>
    <col min="1034" max="1034" width="9" style="183" customWidth="1"/>
    <col min="1035" max="1035" width="11.125" style="183" bestFit="1" customWidth="1"/>
    <col min="1036" max="1280" width="9" style="183"/>
    <col min="1281" max="1281" width="13.5" style="183" customWidth="1"/>
    <col min="1282" max="1282" width="9" style="183" customWidth="1"/>
    <col min="1283" max="1283" width="9.75" style="183" customWidth="1"/>
    <col min="1284" max="1285" width="9.625" style="183" customWidth="1"/>
    <col min="1286" max="1286" width="11" style="183" customWidth="1"/>
    <col min="1287" max="1287" width="9.625" style="183" customWidth="1"/>
    <col min="1288" max="1288" width="9.375" style="183" customWidth="1"/>
    <col min="1289" max="1289" width="9.75" style="183" customWidth="1"/>
    <col min="1290" max="1290" width="9" style="183" customWidth="1"/>
    <col min="1291" max="1291" width="11.125" style="183" bestFit="1" customWidth="1"/>
    <col min="1292" max="1536" width="9" style="183"/>
    <col min="1537" max="1537" width="13.5" style="183" customWidth="1"/>
    <col min="1538" max="1538" width="9" style="183" customWidth="1"/>
    <col min="1539" max="1539" width="9.75" style="183" customWidth="1"/>
    <col min="1540" max="1541" width="9.625" style="183" customWidth="1"/>
    <col min="1542" max="1542" width="11" style="183" customWidth="1"/>
    <col min="1543" max="1543" width="9.625" style="183" customWidth="1"/>
    <col min="1544" max="1544" width="9.375" style="183" customWidth="1"/>
    <col min="1545" max="1545" width="9.75" style="183" customWidth="1"/>
    <col min="1546" max="1546" width="9" style="183" customWidth="1"/>
    <col min="1547" max="1547" width="11.125" style="183" bestFit="1" customWidth="1"/>
    <col min="1548" max="1792" width="9" style="183"/>
    <col min="1793" max="1793" width="13.5" style="183" customWidth="1"/>
    <col min="1794" max="1794" width="9" style="183" customWidth="1"/>
    <col min="1795" max="1795" width="9.75" style="183" customWidth="1"/>
    <col min="1796" max="1797" width="9.625" style="183" customWidth="1"/>
    <col min="1798" max="1798" width="11" style="183" customWidth="1"/>
    <col min="1799" max="1799" width="9.625" style="183" customWidth="1"/>
    <col min="1800" max="1800" width="9.375" style="183" customWidth="1"/>
    <col min="1801" max="1801" width="9.75" style="183" customWidth="1"/>
    <col min="1802" max="1802" width="9" style="183" customWidth="1"/>
    <col min="1803" max="1803" width="11.125" style="183" bestFit="1" customWidth="1"/>
    <col min="1804" max="2048" width="9" style="183"/>
    <col min="2049" max="2049" width="13.5" style="183" customWidth="1"/>
    <col min="2050" max="2050" width="9" style="183" customWidth="1"/>
    <col min="2051" max="2051" width="9.75" style="183" customWidth="1"/>
    <col min="2052" max="2053" width="9.625" style="183" customWidth="1"/>
    <col min="2054" max="2054" width="11" style="183" customWidth="1"/>
    <col min="2055" max="2055" width="9.625" style="183" customWidth="1"/>
    <col min="2056" max="2056" width="9.375" style="183" customWidth="1"/>
    <col min="2057" max="2057" width="9.75" style="183" customWidth="1"/>
    <col min="2058" max="2058" width="9" style="183" customWidth="1"/>
    <col min="2059" max="2059" width="11.125" style="183" bestFit="1" customWidth="1"/>
    <col min="2060" max="2304" width="9" style="183"/>
    <col min="2305" max="2305" width="13.5" style="183" customWidth="1"/>
    <col min="2306" max="2306" width="9" style="183" customWidth="1"/>
    <col min="2307" max="2307" width="9.75" style="183" customWidth="1"/>
    <col min="2308" max="2309" width="9.625" style="183" customWidth="1"/>
    <col min="2310" max="2310" width="11" style="183" customWidth="1"/>
    <col min="2311" max="2311" width="9.625" style="183" customWidth="1"/>
    <col min="2312" max="2312" width="9.375" style="183" customWidth="1"/>
    <col min="2313" max="2313" width="9.75" style="183" customWidth="1"/>
    <col min="2314" max="2314" width="9" style="183" customWidth="1"/>
    <col min="2315" max="2315" width="11.125" style="183" bestFit="1" customWidth="1"/>
    <col min="2316" max="2560" width="9" style="183"/>
    <col min="2561" max="2561" width="13.5" style="183" customWidth="1"/>
    <col min="2562" max="2562" width="9" style="183" customWidth="1"/>
    <col min="2563" max="2563" width="9.75" style="183" customWidth="1"/>
    <col min="2564" max="2565" width="9.625" style="183" customWidth="1"/>
    <col min="2566" max="2566" width="11" style="183" customWidth="1"/>
    <col min="2567" max="2567" width="9.625" style="183" customWidth="1"/>
    <col min="2568" max="2568" width="9.375" style="183" customWidth="1"/>
    <col min="2569" max="2569" width="9.75" style="183" customWidth="1"/>
    <col min="2570" max="2570" width="9" style="183" customWidth="1"/>
    <col min="2571" max="2571" width="11.125" style="183" bestFit="1" customWidth="1"/>
    <col min="2572" max="2816" width="9" style="183"/>
    <col min="2817" max="2817" width="13.5" style="183" customWidth="1"/>
    <col min="2818" max="2818" width="9" style="183" customWidth="1"/>
    <col min="2819" max="2819" width="9.75" style="183" customWidth="1"/>
    <col min="2820" max="2821" width="9.625" style="183" customWidth="1"/>
    <col min="2822" max="2822" width="11" style="183" customWidth="1"/>
    <col min="2823" max="2823" width="9.625" style="183" customWidth="1"/>
    <col min="2824" max="2824" width="9.375" style="183" customWidth="1"/>
    <col min="2825" max="2825" width="9.75" style="183" customWidth="1"/>
    <col min="2826" max="2826" width="9" style="183" customWidth="1"/>
    <col min="2827" max="2827" width="11.125" style="183" bestFit="1" customWidth="1"/>
    <col min="2828" max="3072" width="9" style="183"/>
    <col min="3073" max="3073" width="13.5" style="183" customWidth="1"/>
    <col min="3074" max="3074" width="9" style="183" customWidth="1"/>
    <col min="3075" max="3075" width="9.75" style="183" customWidth="1"/>
    <col min="3076" max="3077" width="9.625" style="183" customWidth="1"/>
    <col min="3078" max="3078" width="11" style="183" customWidth="1"/>
    <col min="3079" max="3079" width="9.625" style="183" customWidth="1"/>
    <col min="3080" max="3080" width="9.375" style="183" customWidth="1"/>
    <col min="3081" max="3081" width="9.75" style="183" customWidth="1"/>
    <col min="3082" max="3082" width="9" style="183" customWidth="1"/>
    <col min="3083" max="3083" width="11.125" style="183" bestFit="1" customWidth="1"/>
    <col min="3084" max="3328" width="9" style="183"/>
    <col min="3329" max="3329" width="13.5" style="183" customWidth="1"/>
    <col min="3330" max="3330" width="9" style="183" customWidth="1"/>
    <col min="3331" max="3331" width="9.75" style="183" customWidth="1"/>
    <col min="3332" max="3333" width="9.625" style="183" customWidth="1"/>
    <col min="3334" max="3334" width="11" style="183" customWidth="1"/>
    <col min="3335" max="3335" width="9.625" style="183" customWidth="1"/>
    <col min="3336" max="3336" width="9.375" style="183" customWidth="1"/>
    <col min="3337" max="3337" width="9.75" style="183" customWidth="1"/>
    <col min="3338" max="3338" width="9" style="183" customWidth="1"/>
    <col min="3339" max="3339" width="11.125" style="183" bestFit="1" customWidth="1"/>
    <col min="3340" max="3584" width="9" style="183"/>
    <col min="3585" max="3585" width="13.5" style="183" customWidth="1"/>
    <col min="3586" max="3586" width="9" style="183" customWidth="1"/>
    <col min="3587" max="3587" width="9.75" style="183" customWidth="1"/>
    <col min="3588" max="3589" width="9.625" style="183" customWidth="1"/>
    <col min="3590" max="3590" width="11" style="183" customWidth="1"/>
    <col min="3591" max="3591" width="9.625" style="183" customWidth="1"/>
    <col min="3592" max="3592" width="9.375" style="183" customWidth="1"/>
    <col min="3593" max="3593" width="9.75" style="183" customWidth="1"/>
    <col min="3594" max="3594" width="9" style="183" customWidth="1"/>
    <col min="3595" max="3595" width="11.125" style="183" bestFit="1" customWidth="1"/>
    <col min="3596" max="3840" width="9" style="183"/>
    <col min="3841" max="3841" width="13.5" style="183" customWidth="1"/>
    <col min="3842" max="3842" width="9" style="183" customWidth="1"/>
    <col min="3843" max="3843" width="9.75" style="183" customWidth="1"/>
    <col min="3844" max="3845" width="9.625" style="183" customWidth="1"/>
    <col min="3846" max="3846" width="11" style="183" customWidth="1"/>
    <col min="3847" max="3847" width="9.625" style="183" customWidth="1"/>
    <col min="3848" max="3848" width="9.375" style="183" customWidth="1"/>
    <col min="3849" max="3849" width="9.75" style="183" customWidth="1"/>
    <col min="3850" max="3850" width="9" style="183" customWidth="1"/>
    <col min="3851" max="3851" width="11.125" style="183" bestFit="1" customWidth="1"/>
    <col min="3852" max="4096" width="9" style="183"/>
    <col min="4097" max="4097" width="13.5" style="183" customWidth="1"/>
    <col min="4098" max="4098" width="9" style="183" customWidth="1"/>
    <col min="4099" max="4099" width="9.75" style="183" customWidth="1"/>
    <col min="4100" max="4101" width="9.625" style="183" customWidth="1"/>
    <col min="4102" max="4102" width="11" style="183" customWidth="1"/>
    <col min="4103" max="4103" width="9.625" style="183" customWidth="1"/>
    <col min="4104" max="4104" width="9.375" style="183" customWidth="1"/>
    <col min="4105" max="4105" width="9.75" style="183" customWidth="1"/>
    <col min="4106" max="4106" width="9" style="183" customWidth="1"/>
    <col min="4107" max="4107" width="11.125" style="183" bestFit="1" customWidth="1"/>
    <col min="4108" max="4352" width="9" style="183"/>
    <col min="4353" max="4353" width="13.5" style="183" customWidth="1"/>
    <col min="4354" max="4354" width="9" style="183" customWidth="1"/>
    <col min="4355" max="4355" width="9.75" style="183" customWidth="1"/>
    <col min="4356" max="4357" width="9.625" style="183" customWidth="1"/>
    <col min="4358" max="4358" width="11" style="183" customWidth="1"/>
    <col min="4359" max="4359" width="9.625" style="183" customWidth="1"/>
    <col min="4360" max="4360" width="9.375" style="183" customWidth="1"/>
    <col min="4361" max="4361" width="9.75" style="183" customWidth="1"/>
    <col min="4362" max="4362" width="9" style="183" customWidth="1"/>
    <col min="4363" max="4363" width="11.125" style="183" bestFit="1" customWidth="1"/>
    <col min="4364" max="4608" width="9" style="183"/>
    <col min="4609" max="4609" width="13.5" style="183" customWidth="1"/>
    <col min="4610" max="4610" width="9" style="183" customWidth="1"/>
    <col min="4611" max="4611" width="9.75" style="183" customWidth="1"/>
    <col min="4612" max="4613" width="9.625" style="183" customWidth="1"/>
    <col min="4614" max="4614" width="11" style="183" customWidth="1"/>
    <col min="4615" max="4615" width="9.625" style="183" customWidth="1"/>
    <col min="4616" max="4616" width="9.375" style="183" customWidth="1"/>
    <col min="4617" max="4617" width="9.75" style="183" customWidth="1"/>
    <col min="4618" max="4618" width="9" style="183" customWidth="1"/>
    <col min="4619" max="4619" width="11.125" style="183" bestFit="1" customWidth="1"/>
    <col min="4620" max="4864" width="9" style="183"/>
    <col min="4865" max="4865" width="13.5" style="183" customWidth="1"/>
    <col min="4866" max="4866" width="9" style="183" customWidth="1"/>
    <col min="4867" max="4867" width="9.75" style="183" customWidth="1"/>
    <col min="4868" max="4869" width="9.625" style="183" customWidth="1"/>
    <col min="4870" max="4870" width="11" style="183" customWidth="1"/>
    <col min="4871" max="4871" width="9.625" style="183" customWidth="1"/>
    <col min="4872" max="4872" width="9.375" style="183" customWidth="1"/>
    <col min="4873" max="4873" width="9.75" style="183" customWidth="1"/>
    <col min="4874" max="4874" width="9" style="183" customWidth="1"/>
    <col min="4875" max="4875" width="11.125" style="183" bestFit="1" customWidth="1"/>
    <col min="4876" max="5120" width="9" style="183"/>
    <col min="5121" max="5121" width="13.5" style="183" customWidth="1"/>
    <col min="5122" max="5122" width="9" style="183" customWidth="1"/>
    <col min="5123" max="5123" width="9.75" style="183" customWidth="1"/>
    <col min="5124" max="5125" width="9.625" style="183" customWidth="1"/>
    <col min="5126" max="5126" width="11" style="183" customWidth="1"/>
    <col min="5127" max="5127" width="9.625" style="183" customWidth="1"/>
    <col min="5128" max="5128" width="9.375" style="183" customWidth="1"/>
    <col min="5129" max="5129" width="9.75" style="183" customWidth="1"/>
    <col min="5130" max="5130" width="9" style="183" customWidth="1"/>
    <col min="5131" max="5131" width="11.125" style="183" bestFit="1" customWidth="1"/>
    <col min="5132" max="5376" width="9" style="183"/>
    <col min="5377" max="5377" width="13.5" style="183" customWidth="1"/>
    <col min="5378" max="5378" width="9" style="183" customWidth="1"/>
    <col min="5379" max="5379" width="9.75" style="183" customWidth="1"/>
    <col min="5380" max="5381" width="9.625" style="183" customWidth="1"/>
    <col min="5382" max="5382" width="11" style="183" customWidth="1"/>
    <col min="5383" max="5383" width="9.625" style="183" customWidth="1"/>
    <col min="5384" max="5384" width="9.375" style="183" customWidth="1"/>
    <col min="5385" max="5385" width="9.75" style="183" customWidth="1"/>
    <col min="5386" max="5386" width="9" style="183" customWidth="1"/>
    <col min="5387" max="5387" width="11.125" style="183" bestFit="1" customWidth="1"/>
    <col min="5388" max="5632" width="9" style="183"/>
    <col min="5633" max="5633" width="13.5" style="183" customWidth="1"/>
    <col min="5634" max="5634" width="9" style="183" customWidth="1"/>
    <col min="5635" max="5635" width="9.75" style="183" customWidth="1"/>
    <col min="5636" max="5637" width="9.625" style="183" customWidth="1"/>
    <col min="5638" max="5638" width="11" style="183" customWidth="1"/>
    <col min="5639" max="5639" width="9.625" style="183" customWidth="1"/>
    <col min="5640" max="5640" width="9.375" style="183" customWidth="1"/>
    <col min="5641" max="5641" width="9.75" style="183" customWidth="1"/>
    <col min="5642" max="5642" width="9" style="183" customWidth="1"/>
    <col min="5643" max="5643" width="11.125" style="183" bestFit="1" customWidth="1"/>
    <col min="5644" max="5888" width="9" style="183"/>
    <col min="5889" max="5889" width="13.5" style="183" customWidth="1"/>
    <col min="5890" max="5890" width="9" style="183" customWidth="1"/>
    <col min="5891" max="5891" width="9.75" style="183" customWidth="1"/>
    <col min="5892" max="5893" width="9.625" style="183" customWidth="1"/>
    <col min="5894" max="5894" width="11" style="183" customWidth="1"/>
    <col min="5895" max="5895" width="9.625" style="183" customWidth="1"/>
    <col min="5896" max="5896" width="9.375" style="183" customWidth="1"/>
    <col min="5897" max="5897" width="9.75" style="183" customWidth="1"/>
    <col min="5898" max="5898" width="9" style="183" customWidth="1"/>
    <col min="5899" max="5899" width="11.125" style="183" bestFit="1" customWidth="1"/>
    <col min="5900" max="6144" width="9" style="183"/>
    <col min="6145" max="6145" width="13.5" style="183" customWidth="1"/>
    <col min="6146" max="6146" width="9" style="183" customWidth="1"/>
    <col min="6147" max="6147" width="9.75" style="183" customWidth="1"/>
    <col min="6148" max="6149" width="9.625" style="183" customWidth="1"/>
    <col min="6150" max="6150" width="11" style="183" customWidth="1"/>
    <col min="6151" max="6151" width="9.625" style="183" customWidth="1"/>
    <col min="6152" max="6152" width="9.375" style="183" customWidth="1"/>
    <col min="6153" max="6153" width="9.75" style="183" customWidth="1"/>
    <col min="6154" max="6154" width="9" style="183" customWidth="1"/>
    <col min="6155" max="6155" width="11.125" style="183" bestFit="1" customWidth="1"/>
    <col min="6156" max="6400" width="9" style="183"/>
    <col min="6401" max="6401" width="13.5" style="183" customWidth="1"/>
    <col min="6402" max="6402" width="9" style="183" customWidth="1"/>
    <col min="6403" max="6403" width="9.75" style="183" customWidth="1"/>
    <col min="6404" max="6405" width="9.625" style="183" customWidth="1"/>
    <col min="6406" max="6406" width="11" style="183" customWidth="1"/>
    <col min="6407" max="6407" width="9.625" style="183" customWidth="1"/>
    <col min="6408" max="6408" width="9.375" style="183" customWidth="1"/>
    <col min="6409" max="6409" width="9.75" style="183" customWidth="1"/>
    <col min="6410" max="6410" width="9" style="183" customWidth="1"/>
    <col min="6411" max="6411" width="11.125" style="183" bestFit="1" customWidth="1"/>
    <col min="6412" max="6656" width="9" style="183"/>
    <col min="6657" max="6657" width="13.5" style="183" customWidth="1"/>
    <col min="6658" max="6658" width="9" style="183" customWidth="1"/>
    <col min="6659" max="6659" width="9.75" style="183" customWidth="1"/>
    <col min="6660" max="6661" width="9.625" style="183" customWidth="1"/>
    <col min="6662" max="6662" width="11" style="183" customWidth="1"/>
    <col min="6663" max="6663" width="9.625" style="183" customWidth="1"/>
    <col min="6664" max="6664" width="9.375" style="183" customWidth="1"/>
    <col min="6665" max="6665" width="9.75" style="183" customWidth="1"/>
    <col min="6666" max="6666" width="9" style="183" customWidth="1"/>
    <col min="6667" max="6667" width="11.125" style="183" bestFit="1" customWidth="1"/>
    <col min="6668" max="6912" width="9" style="183"/>
    <col min="6913" max="6913" width="13.5" style="183" customWidth="1"/>
    <col min="6914" max="6914" width="9" style="183" customWidth="1"/>
    <col min="6915" max="6915" width="9.75" style="183" customWidth="1"/>
    <col min="6916" max="6917" width="9.625" style="183" customWidth="1"/>
    <col min="6918" max="6918" width="11" style="183" customWidth="1"/>
    <col min="6919" max="6919" width="9.625" style="183" customWidth="1"/>
    <col min="6920" max="6920" width="9.375" style="183" customWidth="1"/>
    <col min="6921" max="6921" width="9.75" style="183" customWidth="1"/>
    <col min="6922" max="6922" width="9" style="183" customWidth="1"/>
    <col min="6923" max="6923" width="11.125" style="183" bestFit="1" customWidth="1"/>
    <col min="6924" max="7168" width="9" style="183"/>
    <col min="7169" max="7169" width="13.5" style="183" customWidth="1"/>
    <col min="7170" max="7170" width="9" style="183" customWidth="1"/>
    <col min="7171" max="7171" width="9.75" style="183" customWidth="1"/>
    <col min="7172" max="7173" width="9.625" style="183" customWidth="1"/>
    <col min="7174" max="7174" width="11" style="183" customWidth="1"/>
    <col min="7175" max="7175" width="9.625" style="183" customWidth="1"/>
    <col min="7176" max="7176" width="9.375" style="183" customWidth="1"/>
    <col min="7177" max="7177" width="9.75" style="183" customWidth="1"/>
    <col min="7178" max="7178" width="9" style="183" customWidth="1"/>
    <col min="7179" max="7179" width="11.125" style="183" bestFit="1" customWidth="1"/>
    <col min="7180" max="7424" width="9" style="183"/>
    <col min="7425" max="7425" width="13.5" style="183" customWidth="1"/>
    <col min="7426" max="7426" width="9" style="183" customWidth="1"/>
    <col min="7427" max="7427" width="9.75" style="183" customWidth="1"/>
    <col min="7428" max="7429" width="9.625" style="183" customWidth="1"/>
    <col min="7430" max="7430" width="11" style="183" customWidth="1"/>
    <col min="7431" max="7431" width="9.625" style="183" customWidth="1"/>
    <col min="7432" max="7432" width="9.375" style="183" customWidth="1"/>
    <col min="7433" max="7433" width="9.75" style="183" customWidth="1"/>
    <col min="7434" max="7434" width="9" style="183" customWidth="1"/>
    <col min="7435" max="7435" width="11.125" style="183" bestFit="1" customWidth="1"/>
    <col min="7436" max="7680" width="9" style="183"/>
    <col min="7681" max="7681" width="13.5" style="183" customWidth="1"/>
    <col min="7682" max="7682" width="9" style="183" customWidth="1"/>
    <col min="7683" max="7683" width="9.75" style="183" customWidth="1"/>
    <col min="7684" max="7685" width="9.625" style="183" customWidth="1"/>
    <col min="7686" max="7686" width="11" style="183" customWidth="1"/>
    <col min="7687" max="7687" width="9.625" style="183" customWidth="1"/>
    <col min="7688" max="7688" width="9.375" style="183" customWidth="1"/>
    <col min="7689" max="7689" width="9.75" style="183" customWidth="1"/>
    <col min="7690" max="7690" width="9" style="183" customWidth="1"/>
    <col min="7691" max="7691" width="11.125" style="183" bestFit="1" customWidth="1"/>
    <col min="7692" max="7936" width="9" style="183"/>
    <col min="7937" max="7937" width="13.5" style="183" customWidth="1"/>
    <col min="7938" max="7938" width="9" style="183" customWidth="1"/>
    <col min="7939" max="7939" width="9.75" style="183" customWidth="1"/>
    <col min="7940" max="7941" width="9.625" style="183" customWidth="1"/>
    <col min="7942" max="7942" width="11" style="183" customWidth="1"/>
    <col min="7943" max="7943" width="9.625" style="183" customWidth="1"/>
    <col min="7944" max="7944" width="9.375" style="183" customWidth="1"/>
    <col min="7945" max="7945" width="9.75" style="183" customWidth="1"/>
    <col min="7946" max="7946" width="9" style="183" customWidth="1"/>
    <col min="7947" max="7947" width="11.125" style="183" bestFit="1" customWidth="1"/>
    <col min="7948" max="8192" width="9" style="183"/>
    <col min="8193" max="8193" width="13.5" style="183" customWidth="1"/>
    <col min="8194" max="8194" width="9" style="183" customWidth="1"/>
    <col min="8195" max="8195" width="9.75" style="183" customWidth="1"/>
    <col min="8196" max="8197" width="9.625" style="183" customWidth="1"/>
    <col min="8198" max="8198" width="11" style="183" customWidth="1"/>
    <col min="8199" max="8199" width="9.625" style="183" customWidth="1"/>
    <col min="8200" max="8200" width="9.375" style="183" customWidth="1"/>
    <col min="8201" max="8201" width="9.75" style="183" customWidth="1"/>
    <col min="8202" max="8202" width="9" style="183" customWidth="1"/>
    <col min="8203" max="8203" width="11.125" style="183" bestFit="1" customWidth="1"/>
    <col min="8204" max="8448" width="9" style="183"/>
    <col min="8449" max="8449" width="13.5" style="183" customWidth="1"/>
    <col min="8450" max="8450" width="9" style="183" customWidth="1"/>
    <col min="8451" max="8451" width="9.75" style="183" customWidth="1"/>
    <col min="8452" max="8453" width="9.625" style="183" customWidth="1"/>
    <col min="8454" max="8454" width="11" style="183" customWidth="1"/>
    <col min="8455" max="8455" width="9.625" style="183" customWidth="1"/>
    <col min="8456" max="8456" width="9.375" style="183" customWidth="1"/>
    <col min="8457" max="8457" width="9.75" style="183" customWidth="1"/>
    <col min="8458" max="8458" width="9" style="183" customWidth="1"/>
    <col min="8459" max="8459" width="11.125" style="183" bestFit="1" customWidth="1"/>
    <col min="8460" max="8704" width="9" style="183"/>
    <col min="8705" max="8705" width="13.5" style="183" customWidth="1"/>
    <col min="8706" max="8706" width="9" style="183" customWidth="1"/>
    <col min="8707" max="8707" width="9.75" style="183" customWidth="1"/>
    <col min="8708" max="8709" width="9.625" style="183" customWidth="1"/>
    <col min="8710" max="8710" width="11" style="183" customWidth="1"/>
    <col min="8711" max="8711" width="9.625" style="183" customWidth="1"/>
    <col min="8712" max="8712" width="9.375" style="183" customWidth="1"/>
    <col min="8713" max="8713" width="9.75" style="183" customWidth="1"/>
    <col min="8714" max="8714" width="9" style="183" customWidth="1"/>
    <col min="8715" max="8715" width="11.125" style="183" bestFit="1" customWidth="1"/>
    <col min="8716" max="8960" width="9" style="183"/>
    <col min="8961" max="8961" width="13.5" style="183" customWidth="1"/>
    <col min="8962" max="8962" width="9" style="183" customWidth="1"/>
    <col min="8963" max="8963" width="9.75" style="183" customWidth="1"/>
    <col min="8964" max="8965" width="9.625" style="183" customWidth="1"/>
    <col min="8966" max="8966" width="11" style="183" customWidth="1"/>
    <col min="8967" max="8967" width="9.625" style="183" customWidth="1"/>
    <col min="8968" max="8968" width="9.375" style="183" customWidth="1"/>
    <col min="8969" max="8969" width="9.75" style="183" customWidth="1"/>
    <col min="8970" max="8970" width="9" style="183" customWidth="1"/>
    <col min="8971" max="8971" width="11.125" style="183" bestFit="1" customWidth="1"/>
    <col min="8972" max="9216" width="9" style="183"/>
    <col min="9217" max="9217" width="13.5" style="183" customWidth="1"/>
    <col min="9218" max="9218" width="9" style="183" customWidth="1"/>
    <col min="9219" max="9219" width="9.75" style="183" customWidth="1"/>
    <col min="9220" max="9221" width="9.625" style="183" customWidth="1"/>
    <col min="9222" max="9222" width="11" style="183" customWidth="1"/>
    <col min="9223" max="9223" width="9.625" style="183" customWidth="1"/>
    <col min="9224" max="9224" width="9.375" style="183" customWidth="1"/>
    <col min="9225" max="9225" width="9.75" style="183" customWidth="1"/>
    <col min="9226" max="9226" width="9" style="183" customWidth="1"/>
    <col min="9227" max="9227" width="11.125" style="183" bestFit="1" customWidth="1"/>
    <col min="9228" max="9472" width="9" style="183"/>
    <col min="9473" max="9473" width="13.5" style="183" customWidth="1"/>
    <col min="9474" max="9474" width="9" style="183" customWidth="1"/>
    <col min="9475" max="9475" width="9.75" style="183" customWidth="1"/>
    <col min="9476" max="9477" width="9.625" style="183" customWidth="1"/>
    <col min="9478" max="9478" width="11" style="183" customWidth="1"/>
    <col min="9479" max="9479" width="9.625" style="183" customWidth="1"/>
    <col min="9480" max="9480" width="9.375" style="183" customWidth="1"/>
    <col min="9481" max="9481" width="9.75" style="183" customWidth="1"/>
    <col min="9482" max="9482" width="9" style="183" customWidth="1"/>
    <col min="9483" max="9483" width="11.125" style="183" bestFit="1" customWidth="1"/>
    <col min="9484" max="9728" width="9" style="183"/>
    <col min="9729" max="9729" width="13.5" style="183" customWidth="1"/>
    <col min="9730" max="9730" width="9" style="183" customWidth="1"/>
    <col min="9731" max="9731" width="9.75" style="183" customWidth="1"/>
    <col min="9732" max="9733" width="9.625" style="183" customWidth="1"/>
    <col min="9734" max="9734" width="11" style="183" customWidth="1"/>
    <col min="9735" max="9735" width="9.625" style="183" customWidth="1"/>
    <col min="9736" max="9736" width="9.375" style="183" customWidth="1"/>
    <col min="9737" max="9737" width="9.75" style="183" customWidth="1"/>
    <col min="9738" max="9738" width="9" style="183" customWidth="1"/>
    <col min="9739" max="9739" width="11.125" style="183" bestFit="1" customWidth="1"/>
    <col min="9740" max="9984" width="9" style="183"/>
    <col min="9985" max="9985" width="13.5" style="183" customWidth="1"/>
    <col min="9986" max="9986" width="9" style="183" customWidth="1"/>
    <col min="9987" max="9987" width="9.75" style="183" customWidth="1"/>
    <col min="9988" max="9989" width="9.625" style="183" customWidth="1"/>
    <col min="9990" max="9990" width="11" style="183" customWidth="1"/>
    <col min="9991" max="9991" width="9.625" style="183" customWidth="1"/>
    <col min="9992" max="9992" width="9.375" style="183" customWidth="1"/>
    <col min="9993" max="9993" width="9.75" style="183" customWidth="1"/>
    <col min="9994" max="9994" width="9" style="183" customWidth="1"/>
    <col min="9995" max="9995" width="11.125" style="183" bestFit="1" customWidth="1"/>
    <col min="9996" max="10240" width="9" style="183"/>
    <col min="10241" max="10241" width="13.5" style="183" customWidth="1"/>
    <col min="10242" max="10242" width="9" style="183" customWidth="1"/>
    <col min="10243" max="10243" width="9.75" style="183" customWidth="1"/>
    <col min="10244" max="10245" width="9.625" style="183" customWidth="1"/>
    <col min="10246" max="10246" width="11" style="183" customWidth="1"/>
    <col min="10247" max="10247" width="9.625" style="183" customWidth="1"/>
    <col min="10248" max="10248" width="9.375" style="183" customWidth="1"/>
    <col min="10249" max="10249" width="9.75" style="183" customWidth="1"/>
    <col min="10250" max="10250" width="9" style="183" customWidth="1"/>
    <col min="10251" max="10251" width="11.125" style="183" bestFit="1" customWidth="1"/>
    <col min="10252" max="10496" width="9" style="183"/>
    <col min="10497" max="10497" width="13.5" style="183" customWidth="1"/>
    <col min="10498" max="10498" width="9" style="183" customWidth="1"/>
    <col min="10499" max="10499" width="9.75" style="183" customWidth="1"/>
    <col min="10500" max="10501" width="9.625" style="183" customWidth="1"/>
    <col min="10502" max="10502" width="11" style="183" customWidth="1"/>
    <col min="10503" max="10503" width="9.625" style="183" customWidth="1"/>
    <col min="10504" max="10504" width="9.375" style="183" customWidth="1"/>
    <col min="10505" max="10505" width="9.75" style="183" customWidth="1"/>
    <col min="10506" max="10506" width="9" style="183" customWidth="1"/>
    <col min="10507" max="10507" width="11.125" style="183" bestFit="1" customWidth="1"/>
    <col min="10508" max="10752" width="9" style="183"/>
    <col min="10753" max="10753" width="13.5" style="183" customWidth="1"/>
    <col min="10754" max="10754" width="9" style="183" customWidth="1"/>
    <col min="10755" max="10755" width="9.75" style="183" customWidth="1"/>
    <col min="10756" max="10757" width="9.625" style="183" customWidth="1"/>
    <col min="10758" max="10758" width="11" style="183" customWidth="1"/>
    <col min="10759" max="10759" width="9.625" style="183" customWidth="1"/>
    <col min="10760" max="10760" width="9.375" style="183" customWidth="1"/>
    <col min="10761" max="10761" width="9.75" style="183" customWidth="1"/>
    <col min="10762" max="10762" width="9" style="183" customWidth="1"/>
    <col min="10763" max="10763" width="11.125" style="183" bestFit="1" customWidth="1"/>
    <col min="10764" max="11008" width="9" style="183"/>
    <col min="11009" max="11009" width="13.5" style="183" customWidth="1"/>
    <col min="11010" max="11010" width="9" style="183" customWidth="1"/>
    <col min="11011" max="11011" width="9.75" style="183" customWidth="1"/>
    <col min="11012" max="11013" width="9.625" style="183" customWidth="1"/>
    <col min="11014" max="11014" width="11" style="183" customWidth="1"/>
    <col min="11015" max="11015" width="9.625" style="183" customWidth="1"/>
    <col min="11016" max="11016" width="9.375" style="183" customWidth="1"/>
    <col min="11017" max="11017" width="9.75" style="183" customWidth="1"/>
    <col min="11018" max="11018" width="9" style="183" customWidth="1"/>
    <col min="11019" max="11019" width="11.125" style="183" bestFit="1" customWidth="1"/>
    <col min="11020" max="11264" width="9" style="183"/>
    <col min="11265" max="11265" width="13.5" style="183" customWidth="1"/>
    <col min="11266" max="11266" width="9" style="183" customWidth="1"/>
    <col min="11267" max="11267" width="9.75" style="183" customWidth="1"/>
    <col min="11268" max="11269" width="9.625" style="183" customWidth="1"/>
    <col min="11270" max="11270" width="11" style="183" customWidth="1"/>
    <col min="11271" max="11271" width="9.625" style="183" customWidth="1"/>
    <col min="11272" max="11272" width="9.375" style="183" customWidth="1"/>
    <col min="11273" max="11273" width="9.75" style="183" customWidth="1"/>
    <col min="11274" max="11274" width="9" style="183" customWidth="1"/>
    <col min="11275" max="11275" width="11.125" style="183" bestFit="1" customWidth="1"/>
    <col min="11276" max="11520" width="9" style="183"/>
    <col min="11521" max="11521" width="13.5" style="183" customWidth="1"/>
    <col min="11522" max="11522" width="9" style="183" customWidth="1"/>
    <col min="11523" max="11523" width="9.75" style="183" customWidth="1"/>
    <col min="11524" max="11525" width="9.625" style="183" customWidth="1"/>
    <col min="11526" max="11526" width="11" style="183" customWidth="1"/>
    <col min="11527" max="11527" width="9.625" style="183" customWidth="1"/>
    <col min="11528" max="11528" width="9.375" style="183" customWidth="1"/>
    <col min="11529" max="11529" width="9.75" style="183" customWidth="1"/>
    <col min="11530" max="11530" width="9" style="183" customWidth="1"/>
    <col min="11531" max="11531" width="11.125" style="183" bestFit="1" customWidth="1"/>
    <col min="11532" max="11776" width="9" style="183"/>
    <col min="11777" max="11777" width="13.5" style="183" customWidth="1"/>
    <col min="11778" max="11778" width="9" style="183" customWidth="1"/>
    <col min="11779" max="11779" width="9.75" style="183" customWidth="1"/>
    <col min="11780" max="11781" width="9.625" style="183" customWidth="1"/>
    <col min="11782" max="11782" width="11" style="183" customWidth="1"/>
    <col min="11783" max="11783" width="9.625" style="183" customWidth="1"/>
    <col min="11784" max="11784" width="9.375" style="183" customWidth="1"/>
    <col min="11785" max="11785" width="9.75" style="183" customWidth="1"/>
    <col min="11786" max="11786" width="9" style="183" customWidth="1"/>
    <col min="11787" max="11787" width="11.125" style="183" bestFit="1" customWidth="1"/>
    <col min="11788" max="12032" width="9" style="183"/>
    <col min="12033" max="12033" width="13.5" style="183" customWidth="1"/>
    <col min="12034" max="12034" width="9" style="183" customWidth="1"/>
    <col min="12035" max="12035" width="9.75" style="183" customWidth="1"/>
    <col min="12036" max="12037" width="9.625" style="183" customWidth="1"/>
    <col min="12038" max="12038" width="11" style="183" customWidth="1"/>
    <col min="12039" max="12039" width="9.625" style="183" customWidth="1"/>
    <col min="12040" max="12040" width="9.375" style="183" customWidth="1"/>
    <col min="12041" max="12041" width="9.75" style="183" customWidth="1"/>
    <col min="12042" max="12042" width="9" style="183" customWidth="1"/>
    <col min="12043" max="12043" width="11.125" style="183" bestFit="1" customWidth="1"/>
    <col min="12044" max="12288" width="9" style="183"/>
    <col min="12289" max="12289" width="13.5" style="183" customWidth="1"/>
    <col min="12290" max="12290" width="9" style="183" customWidth="1"/>
    <col min="12291" max="12291" width="9.75" style="183" customWidth="1"/>
    <col min="12292" max="12293" width="9.625" style="183" customWidth="1"/>
    <col min="12294" max="12294" width="11" style="183" customWidth="1"/>
    <col min="12295" max="12295" width="9.625" style="183" customWidth="1"/>
    <col min="12296" max="12296" width="9.375" style="183" customWidth="1"/>
    <col min="12297" max="12297" width="9.75" style="183" customWidth="1"/>
    <col min="12298" max="12298" width="9" style="183" customWidth="1"/>
    <col min="12299" max="12299" width="11.125" style="183" bestFit="1" customWidth="1"/>
    <col min="12300" max="12544" width="9" style="183"/>
    <col min="12545" max="12545" width="13.5" style="183" customWidth="1"/>
    <col min="12546" max="12546" width="9" style="183" customWidth="1"/>
    <col min="12547" max="12547" width="9.75" style="183" customWidth="1"/>
    <col min="12548" max="12549" width="9.625" style="183" customWidth="1"/>
    <col min="12550" max="12550" width="11" style="183" customWidth="1"/>
    <col min="12551" max="12551" width="9.625" style="183" customWidth="1"/>
    <col min="12552" max="12552" width="9.375" style="183" customWidth="1"/>
    <col min="12553" max="12553" width="9.75" style="183" customWidth="1"/>
    <col min="12554" max="12554" width="9" style="183" customWidth="1"/>
    <col min="12555" max="12555" width="11.125" style="183" bestFit="1" customWidth="1"/>
    <col min="12556" max="12800" width="9" style="183"/>
    <col min="12801" max="12801" width="13.5" style="183" customWidth="1"/>
    <col min="12802" max="12802" width="9" style="183" customWidth="1"/>
    <col min="12803" max="12803" width="9.75" style="183" customWidth="1"/>
    <col min="12804" max="12805" width="9.625" style="183" customWidth="1"/>
    <col min="12806" max="12806" width="11" style="183" customWidth="1"/>
    <col min="12807" max="12807" width="9.625" style="183" customWidth="1"/>
    <col min="12808" max="12808" width="9.375" style="183" customWidth="1"/>
    <col min="12809" max="12809" width="9.75" style="183" customWidth="1"/>
    <col min="12810" max="12810" width="9" style="183" customWidth="1"/>
    <col min="12811" max="12811" width="11.125" style="183" bestFit="1" customWidth="1"/>
    <col min="12812" max="13056" width="9" style="183"/>
    <col min="13057" max="13057" width="13.5" style="183" customWidth="1"/>
    <col min="13058" max="13058" width="9" style="183" customWidth="1"/>
    <col min="13059" max="13059" width="9.75" style="183" customWidth="1"/>
    <col min="13060" max="13061" width="9.625" style="183" customWidth="1"/>
    <col min="13062" max="13062" width="11" style="183" customWidth="1"/>
    <col min="13063" max="13063" width="9.625" style="183" customWidth="1"/>
    <col min="13064" max="13064" width="9.375" style="183" customWidth="1"/>
    <col min="13065" max="13065" width="9.75" style="183" customWidth="1"/>
    <col min="13066" max="13066" width="9" style="183" customWidth="1"/>
    <col min="13067" max="13067" width="11.125" style="183" bestFit="1" customWidth="1"/>
    <col min="13068" max="13312" width="9" style="183"/>
    <col min="13313" max="13313" width="13.5" style="183" customWidth="1"/>
    <col min="13314" max="13314" width="9" style="183" customWidth="1"/>
    <col min="13315" max="13315" width="9.75" style="183" customWidth="1"/>
    <col min="13316" max="13317" width="9.625" style="183" customWidth="1"/>
    <col min="13318" max="13318" width="11" style="183" customWidth="1"/>
    <col min="13319" max="13319" width="9.625" style="183" customWidth="1"/>
    <col min="13320" max="13320" width="9.375" style="183" customWidth="1"/>
    <col min="13321" max="13321" width="9.75" style="183" customWidth="1"/>
    <col min="13322" max="13322" width="9" style="183" customWidth="1"/>
    <col min="13323" max="13323" width="11.125" style="183" bestFit="1" customWidth="1"/>
    <col min="13324" max="13568" width="9" style="183"/>
    <col min="13569" max="13569" width="13.5" style="183" customWidth="1"/>
    <col min="13570" max="13570" width="9" style="183" customWidth="1"/>
    <col min="13571" max="13571" width="9.75" style="183" customWidth="1"/>
    <col min="13572" max="13573" width="9.625" style="183" customWidth="1"/>
    <col min="13574" max="13574" width="11" style="183" customWidth="1"/>
    <col min="13575" max="13575" width="9.625" style="183" customWidth="1"/>
    <col min="13576" max="13576" width="9.375" style="183" customWidth="1"/>
    <col min="13577" max="13577" width="9.75" style="183" customWidth="1"/>
    <col min="13578" max="13578" width="9" style="183" customWidth="1"/>
    <col min="13579" max="13579" width="11.125" style="183" bestFit="1" customWidth="1"/>
    <col min="13580" max="13824" width="9" style="183"/>
    <col min="13825" max="13825" width="13.5" style="183" customWidth="1"/>
    <col min="13826" max="13826" width="9" style="183" customWidth="1"/>
    <col min="13827" max="13827" width="9.75" style="183" customWidth="1"/>
    <col min="13828" max="13829" width="9.625" style="183" customWidth="1"/>
    <col min="13830" max="13830" width="11" style="183" customWidth="1"/>
    <col min="13831" max="13831" width="9.625" style="183" customWidth="1"/>
    <col min="13832" max="13832" width="9.375" style="183" customWidth="1"/>
    <col min="13833" max="13833" width="9.75" style="183" customWidth="1"/>
    <col min="13834" max="13834" width="9" style="183" customWidth="1"/>
    <col min="13835" max="13835" width="11.125" style="183" bestFit="1" customWidth="1"/>
    <col min="13836" max="14080" width="9" style="183"/>
    <col min="14081" max="14081" width="13.5" style="183" customWidth="1"/>
    <col min="14082" max="14082" width="9" style="183" customWidth="1"/>
    <col min="14083" max="14083" width="9.75" style="183" customWidth="1"/>
    <col min="14084" max="14085" width="9.625" style="183" customWidth="1"/>
    <col min="14086" max="14086" width="11" style="183" customWidth="1"/>
    <col min="14087" max="14087" width="9.625" style="183" customWidth="1"/>
    <col min="14088" max="14088" width="9.375" style="183" customWidth="1"/>
    <col min="14089" max="14089" width="9.75" style="183" customWidth="1"/>
    <col min="14090" max="14090" width="9" style="183" customWidth="1"/>
    <col min="14091" max="14091" width="11.125" style="183" bestFit="1" customWidth="1"/>
    <col min="14092" max="14336" width="9" style="183"/>
    <col min="14337" max="14337" width="13.5" style="183" customWidth="1"/>
    <col min="14338" max="14338" width="9" style="183" customWidth="1"/>
    <col min="14339" max="14339" width="9.75" style="183" customWidth="1"/>
    <col min="14340" max="14341" width="9.625" style="183" customWidth="1"/>
    <col min="14342" max="14342" width="11" style="183" customWidth="1"/>
    <col min="14343" max="14343" width="9.625" style="183" customWidth="1"/>
    <col min="14344" max="14344" width="9.375" style="183" customWidth="1"/>
    <col min="14345" max="14345" width="9.75" style="183" customWidth="1"/>
    <col min="14346" max="14346" width="9" style="183" customWidth="1"/>
    <col min="14347" max="14347" width="11.125" style="183" bestFit="1" customWidth="1"/>
    <col min="14348" max="14592" width="9" style="183"/>
    <col min="14593" max="14593" width="13.5" style="183" customWidth="1"/>
    <col min="14594" max="14594" width="9" style="183" customWidth="1"/>
    <col min="14595" max="14595" width="9.75" style="183" customWidth="1"/>
    <col min="14596" max="14597" width="9.625" style="183" customWidth="1"/>
    <col min="14598" max="14598" width="11" style="183" customWidth="1"/>
    <col min="14599" max="14599" width="9.625" style="183" customWidth="1"/>
    <col min="14600" max="14600" width="9.375" style="183" customWidth="1"/>
    <col min="14601" max="14601" width="9.75" style="183" customWidth="1"/>
    <col min="14602" max="14602" width="9" style="183" customWidth="1"/>
    <col min="14603" max="14603" width="11.125" style="183" bestFit="1" customWidth="1"/>
    <col min="14604" max="14848" width="9" style="183"/>
    <col min="14849" max="14849" width="13.5" style="183" customWidth="1"/>
    <col min="14850" max="14850" width="9" style="183" customWidth="1"/>
    <col min="14851" max="14851" width="9.75" style="183" customWidth="1"/>
    <col min="14852" max="14853" width="9.625" style="183" customWidth="1"/>
    <col min="14854" max="14854" width="11" style="183" customWidth="1"/>
    <col min="14855" max="14855" width="9.625" style="183" customWidth="1"/>
    <col min="14856" max="14856" width="9.375" style="183" customWidth="1"/>
    <col min="14857" max="14857" width="9.75" style="183" customWidth="1"/>
    <col min="14858" max="14858" width="9" style="183" customWidth="1"/>
    <col min="14859" max="14859" width="11.125" style="183" bestFit="1" customWidth="1"/>
    <col min="14860" max="15104" width="9" style="183"/>
    <col min="15105" max="15105" width="13.5" style="183" customWidth="1"/>
    <col min="15106" max="15106" width="9" style="183" customWidth="1"/>
    <col min="15107" max="15107" width="9.75" style="183" customWidth="1"/>
    <col min="15108" max="15109" width="9.625" style="183" customWidth="1"/>
    <col min="15110" max="15110" width="11" style="183" customWidth="1"/>
    <col min="15111" max="15111" width="9.625" style="183" customWidth="1"/>
    <col min="15112" max="15112" width="9.375" style="183" customWidth="1"/>
    <col min="15113" max="15113" width="9.75" style="183" customWidth="1"/>
    <col min="15114" max="15114" width="9" style="183" customWidth="1"/>
    <col min="15115" max="15115" width="11.125" style="183" bestFit="1" customWidth="1"/>
    <col min="15116" max="15360" width="9" style="183"/>
    <col min="15361" max="15361" width="13.5" style="183" customWidth="1"/>
    <col min="15362" max="15362" width="9" style="183" customWidth="1"/>
    <col min="15363" max="15363" width="9.75" style="183" customWidth="1"/>
    <col min="15364" max="15365" width="9.625" style="183" customWidth="1"/>
    <col min="15366" max="15366" width="11" style="183" customWidth="1"/>
    <col min="15367" max="15367" width="9.625" style="183" customWidth="1"/>
    <col min="15368" max="15368" width="9.375" style="183" customWidth="1"/>
    <col min="15369" max="15369" width="9.75" style="183" customWidth="1"/>
    <col min="15370" max="15370" width="9" style="183" customWidth="1"/>
    <col min="15371" max="15371" width="11.125" style="183" bestFit="1" customWidth="1"/>
    <col min="15372" max="15616" width="9" style="183"/>
    <col min="15617" max="15617" width="13.5" style="183" customWidth="1"/>
    <col min="15618" max="15618" width="9" style="183" customWidth="1"/>
    <col min="15619" max="15619" width="9.75" style="183" customWidth="1"/>
    <col min="15620" max="15621" width="9.625" style="183" customWidth="1"/>
    <col min="15622" max="15622" width="11" style="183" customWidth="1"/>
    <col min="15623" max="15623" width="9.625" style="183" customWidth="1"/>
    <col min="15624" max="15624" width="9.375" style="183" customWidth="1"/>
    <col min="15625" max="15625" width="9.75" style="183" customWidth="1"/>
    <col min="15626" max="15626" width="9" style="183" customWidth="1"/>
    <col min="15627" max="15627" width="11.125" style="183" bestFit="1" customWidth="1"/>
    <col min="15628" max="15872" width="9" style="183"/>
    <col min="15873" max="15873" width="13.5" style="183" customWidth="1"/>
    <col min="15874" max="15874" width="9" style="183" customWidth="1"/>
    <col min="15875" max="15875" width="9.75" style="183" customWidth="1"/>
    <col min="15876" max="15877" width="9.625" style="183" customWidth="1"/>
    <col min="15878" max="15878" width="11" style="183" customWidth="1"/>
    <col min="15879" max="15879" width="9.625" style="183" customWidth="1"/>
    <col min="15880" max="15880" width="9.375" style="183" customWidth="1"/>
    <col min="15881" max="15881" width="9.75" style="183" customWidth="1"/>
    <col min="15882" max="15882" width="9" style="183" customWidth="1"/>
    <col min="15883" max="15883" width="11.125" style="183" bestFit="1" customWidth="1"/>
    <col min="15884" max="16128" width="9" style="183"/>
    <col min="16129" max="16129" width="13.5" style="183" customWidth="1"/>
    <col min="16130" max="16130" width="9" style="183" customWidth="1"/>
    <col min="16131" max="16131" width="9.75" style="183" customWidth="1"/>
    <col min="16132" max="16133" width="9.625" style="183" customWidth="1"/>
    <col min="16134" max="16134" width="11" style="183" customWidth="1"/>
    <col min="16135" max="16135" width="9.625" style="183" customWidth="1"/>
    <col min="16136" max="16136" width="9.375" style="183" customWidth="1"/>
    <col min="16137" max="16137" width="9.75" style="183" customWidth="1"/>
    <col min="16138" max="16138" width="9" style="183" customWidth="1"/>
    <col min="16139" max="16139" width="11.125" style="183" bestFit="1" customWidth="1"/>
    <col min="16140" max="16384" width="9" style="183"/>
  </cols>
  <sheetData>
    <row r="1" spans="1:11" ht="30.6" customHeight="1">
      <c r="A1" s="2930" t="s">
        <v>3715</v>
      </c>
      <c r="B1" s="2930"/>
      <c r="C1" s="2930"/>
      <c r="D1" s="2930"/>
      <c r="E1" s="2930"/>
      <c r="F1" s="2930"/>
      <c r="G1" s="2930"/>
      <c r="H1" s="2930"/>
      <c r="I1" s="2930"/>
      <c r="J1" s="2930"/>
      <c r="K1" s="2930"/>
    </row>
    <row r="2" spans="1:11" ht="24.75" customHeight="1">
      <c r="A2" s="4046" t="s">
        <v>3716</v>
      </c>
      <c r="B2" s="3964" t="s">
        <v>3717</v>
      </c>
      <c r="C2" s="3958"/>
      <c r="D2" s="3958"/>
      <c r="E2" s="3958"/>
      <c r="F2" s="3958"/>
      <c r="G2" s="4049" t="s">
        <v>3718</v>
      </c>
      <c r="H2" s="3958"/>
      <c r="I2" s="3958"/>
      <c r="J2" s="3958"/>
      <c r="K2" s="3958"/>
    </row>
    <row r="3" spans="1:11" ht="18.75" customHeight="1">
      <c r="A3" s="4047"/>
      <c r="B3" s="2483" t="s">
        <v>3719</v>
      </c>
      <c r="C3" s="3966" t="s">
        <v>3720</v>
      </c>
      <c r="D3" s="3964"/>
      <c r="E3" s="3966" t="s">
        <v>3721</v>
      </c>
      <c r="F3" s="3964"/>
      <c r="G3" s="2484" t="s">
        <v>3522</v>
      </c>
      <c r="H3" s="3966" t="s">
        <v>3722</v>
      </c>
      <c r="I3" s="3958"/>
      <c r="J3" s="3966" t="s">
        <v>3723</v>
      </c>
      <c r="K3" s="3958"/>
    </row>
    <row r="4" spans="1:11" ht="18.75" customHeight="1">
      <c r="A4" s="4048"/>
      <c r="B4" s="2485" t="s">
        <v>1516</v>
      </c>
      <c r="C4" s="2486" t="s">
        <v>3658</v>
      </c>
      <c r="D4" s="2306" t="s">
        <v>3458</v>
      </c>
      <c r="E4" s="2486" t="s">
        <v>3658</v>
      </c>
      <c r="F4" s="2306" t="s">
        <v>3458</v>
      </c>
      <c r="G4" s="2487" t="s">
        <v>3699</v>
      </c>
      <c r="H4" s="2486" t="s">
        <v>1516</v>
      </c>
      <c r="I4" s="2306" t="s">
        <v>934</v>
      </c>
      <c r="J4" s="2486" t="s">
        <v>3699</v>
      </c>
      <c r="K4" s="2306" t="s">
        <v>3458</v>
      </c>
    </row>
    <row r="5" spans="1:11" ht="18.75" customHeight="1">
      <c r="A5" s="871" t="s">
        <v>3613</v>
      </c>
      <c r="B5" s="2390">
        <v>2293</v>
      </c>
      <c r="C5" s="2390">
        <v>1510</v>
      </c>
      <c r="D5" s="2488">
        <v>65.852594853903184</v>
      </c>
      <c r="E5" s="2390">
        <v>783</v>
      </c>
      <c r="F5" s="2489">
        <v>34.147405146096816</v>
      </c>
      <c r="G5" s="2389">
        <v>898</v>
      </c>
      <c r="H5" s="2390">
        <v>712</v>
      </c>
      <c r="I5" s="2488">
        <v>79.287305122494431</v>
      </c>
      <c r="J5" s="2390">
        <v>186</v>
      </c>
      <c r="K5" s="2489">
        <v>20.712694877505569</v>
      </c>
    </row>
    <row r="6" spans="1:11" ht="18.75" customHeight="1">
      <c r="A6" s="2473" t="s">
        <v>1107</v>
      </c>
      <c r="B6" s="2390">
        <v>3691</v>
      </c>
      <c r="C6" s="2390">
        <v>1867</v>
      </c>
      <c r="D6" s="2490">
        <v>50.582497968030346</v>
      </c>
      <c r="E6" s="2390">
        <v>1824</v>
      </c>
      <c r="F6" s="2491">
        <v>49.417502031969654</v>
      </c>
      <c r="G6" s="2389">
        <v>1308</v>
      </c>
      <c r="H6" s="2390">
        <v>842</v>
      </c>
      <c r="I6" s="2490">
        <v>64.37308868501529</v>
      </c>
      <c r="J6" s="2390">
        <v>466</v>
      </c>
      <c r="K6" s="2491">
        <v>35.62691131498471</v>
      </c>
    </row>
    <row r="7" spans="1:11" ht="18.75" customHeight="1">
      <c r="A7" s="2473" t="s">
        <v>1060</v>
      </c>
      <c r="B7" s="2390">
        <v>3292</v>
      </c>
      <c r="C7" s="2390">
        <v>1312</v>
      </c>
      <c r="D7" s="2490">
        <v>39.85419198055893</v>
      </c>
      <c r="E7" s="2390">
        <v>1980</v>
      </c>
      <c r="F7" s="2491">
        <v>60.14580801944107</v>
      </c>
      <c r="G7" s="2389">
        <v>2125</v>
      </c>
      <c r="H7" s="2390">
        <v>1099</v>
      </c>
      <c r="I7" s="2490">
        <v>51.717647058823538</v>
      </c>
      <c r="J7" s="2390">
        <v>1026</v>
      </c>
      <c r="K7" s="2491">
        <v>48.28235294117647</v>
      </c>
    </row>
    <row r="8" spans="1:11" ht="18.75" customHeight="1">
      <c r="A8" s="2473" t="s">
        <v>1061</v>
      </c>
      <c r="B8" s="2390">
        <v>2751</v>
      </c>
      <c r="C8" s="2390">
        <v>792</v>
      </c>
      <c r="D8" s="2490">
        <v>28.789531079607418</v>
      </c>
      <c r="E8" s="2390">
        <v>1959</v>
      </c>
      <c r="F8" s="2491">
        <v>71.210468920392586</v>
      </c>
      <c r="G8" s="2389">
        <v>1607</v>
      </c>
      <c r="H8" s="2390">
        <v>627</v>
      </c>
      <c r="I8" s="2490">
        <v>39.016801493466083</v>
      </c>
      <c r="J8" s="2390">
        <v>980</v>
      </c>
      <c r="K8" s="2491">
        <v>60.98319850653391</v>
      </c>
    </row>
    <row r="9" spans="1:11" ht="18.75" customHeight="1">
      <c r="A9" s="2473" t="s">
        <v>1062</v>
      </c>
      <c r="B9" s="2390">
        <v>2307</v>
      </c>
      <c r="C9" s="2390">
        <v>579</v>
      </c>
      <c r="D9" s="2490">
        <v>25.097529258777634</v>
      </c>
      <c r="E9" s="2390">
        <v>1728</v>
      </c>
      <c r="F9" s="2491">
        <v>74.902470741222373</v>
      </c>
      <c r="G9" s="2389">
        <v>1389</v>
      </c>
      <c r="H9" s="2390">
        <v>454</v>
      </c>
      <c r="I9" s="2490">
        <v>32.685385169186468</v>
      </c>
      <c r="J9" s="2390">
        <v>935</v>
      </c>
      <c r="K9" s="2491">
        <v>67.314614830813539</v>
      </c>
    </row>
    <row r="10" spans="1:11" ht="18.75" customHeight="1">
      <c r="A10" s="2473" t="s">
        <v>1063</v>
      </c>
      <c r="B10" s="2390">
        <v>2476</v>
      </c>
      <c r="C10" s="2390">
        <v>503</v>
      </c>
      <c r="D10" s="2490">
        <v>20.315024232633281</v>
      </c>
      <c r="E10" s="2390">
        <v>1973</v>
      </c>
      <c r="F10" s="2491">
        <v>79.684975767366723</v>
      </c>
      <c r="G10" s="2389">
        <v>1231</v>
      </c>
      <c r="H10" s="2390">
        <v>313</v>
      </c>
      <c r="I10" s="2490">
        <v>25.426482534524773</v>
      </c>
      <c r="J10" s="2390">
        <v>918</v>
      </c>
      <c r="K10" s="2491">
        <v>74.57351746547522</v>
      </c>
    </row>
    <row r="11" spans="1:11" ht="18.75" customHeight="1">
      <c r="A11" s="2473" t="s">
        <v>1064</v>
      </c>
      <c r="B11" s="2390">
        <v>3201</v>
      </c>
      <c r="C11" s="2390">
        <v>631</v>
      </c>
      <c r="D11" s="2490">
        <v>19.712589815682598</v>
      </c>
      <c r="E11" s="2390">
        <v>2570</v>
      </c>
      <c r="F11" s="2491">
        <v>80.287410184317395</v>
      </c>
      <c r="G11" s="2389">
        <v>1231</v>
      </c>
      <c r="H11" s="2390">
        <v>262</v>
      </c>
      <c r="I11" s="2490">
        <v>21.283509341998375</v>
      </c>
      <c r="J11" s="2390">
        <v>969</v>
      </c>
      <c r="K11" s="2491">
        <v>78.716490658001632</v>
      </c>
    </row>
    <row r="12" spans="1:11" ht="18.75" customHeight="1">
      <c r="A12" s="2473" t="s">
        <v>1065</v>
      </c>
      <c r="B12" s="2390">
        <v>6782</v>
      </c>
      <c r="C12" s="2390">
        <v>1376</v>
      </c>
      <c r="D12" s="2490">
        <v>20.289000294898258</v>
      </c>
      <c r="E12" s="2390">
        <v>5406</v>
      </c>
      <c r="F12" s="2491">
        <v>79.710999705101742</v>
      </c>
      <c r="G12" s="2389">
        <v>1693</v>
      </c>
      <c r="H12" s="2390">
        <v>342</v>
      </c>
      <c r="I12" s="2490">
        <v>20.200826934435913</v>
      </c>
      <c r="J12" s="2390">
        <v>1351</v>
      </c>
      <c r="K12" s="2491">
        <v>79.799173065564091</v>
      </c>
    </row>
    <row r="13" spans="1:11" ht="18.75" customHeight="1">
      <c r="A13" s="2473" t="s">
        <v>1066</v>
      </c>
      <c r="B13" s="2390">
        <v>7313</v>
      </c>
      <c r="C13" s="2390">
        <v>1499</v>
      </c>
      <c r="D13" s="2490">
        <v>20.497743744017502</v>
      </c>
      <c r="E13" s="2390">
        <v>5814</v>
      </c>
      <c r="F13" s="2491">
        <v>79.502256255982502</v>
      </c>
      <c r="G13" s="2389">
        <v>2982</v>
      </c>
      <c r="H13" s="2390">
        <v>657</v>
      </c>
      <c r="I13" s="2490">
        <v>22.032193158953721</v>
      </c>
      <c r="J13" s="2390">
        <v>2325</v>
      </c>
      <c r="K13" s="2491">
        <v>77.967806841046269</v>
      </c>
    </row>
    <row r="14" spans="1:11" s="2494" customFormat="1" ht="20.25" customHeight="1">
      <c r="A14" s="782" t="s">
        <v>1067</v>
      </c>
      <c r="B14" s="2441">
        <v>6305</v>
      </c>
      <c r="C14" s="2441">
        <v>1407</v>
      </c>
      <c r="D14" s="2492">
        <v>22.315622521808091</v>
      </c>
      <c r="E14" s="2441">
        <v>4898</v>
      </c>
      <c r="F14" s="2493">
        <v>77.684377478191919</v>
      </c>
      <c r="G14" s="2392">
        <v>3291</v>
      </c>
      <c r="H14" s="2441">
        <v>771</v>
      </c>
      <c r="I14" s="2492">
        <v>23.427529626253417</v>
      </c>
      <c r="J14" s="2441">
        <v>2520</v>
      </c>
      <c r="K14" s="2493">
        <v>76.572470373746583</v>
      </c>
    </row>
    <row r="15" spans="1:11">
      <c r="A15" s="4044" t="s">
        <v>3674</v>
      </c>
      <c r="B15" s="4045"/>
      <c r="C15" s="4045"/>
      <c r="D15" s="4045"/>
      <c r="E15" s="2424"/>
      <c r="F15" s="2424"/>
      <c r="G15" s="2424"/>
      <c r="H15" s="2424"/>
      <c r="I15" s="2424"/>
      <c r="J15" s="2495"/>
      <c r="K15" s="2495"/>
    </row>
    <row r="16" spans="1:11">
      <c r="A16" s="4045" t="s">
        <v>3724</v>
      </c>
      <c r="B16" s="4045"/>
      <c r="C16" s="4045"/>
      <c r="D16" s="4045"/>
      <c r="E16" s="4045"/>
      <c r="F16" s="4045"/>
      <c r="G16" s="4045"/>
    </row>
  </sheetData>
  <mergeCells count="10">
    <mergeCell ref="A15:D15"/>
    <mergeCell ref="A16:G16"/>
    <mergeCell ref="A1:K1"/>
    <mergeCell ref="A2:A4"/>
    <mergeCell ref="B2:F2"/>
    <mergeCell ref="G2:K2"/>
    <mergeCell ref="C3:D3"/>
    <mergeCell ref="E3:F3"/>
    <mergeCell ref="H3:I3"/>
    <mergeCell ref="J3:K3"/>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85" firstPageNumber="262" orientation="landscape" r:id="rId1"/>
  <headerFooter differentOddEven="1" scaleWithDoc="0">
    <oddHeader>&amp;L&amp;"Times New Roman,標準"&amp;8 107&amp;"標楷體,標準"年犯罪狀況及其分析</oddHeader>
    <evenHeader>&amp;R&amp;"標楷體,標準"&amp;8第四篇　特定類型犯罪者之犯罪趨勢與處遇</evenHead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M17"/>
  <sheetViews>
    <sheetView showGridLines="0" workbookViewId="0">
      <selection activeCell="A18" sqref="A18:H18"/>
    </sheetView>
  </sheetViews>
  <sheetFormatPr defaultRowHeight="15.75"/>
  <cols>
    <col min="1" max="1" width="12.875" style="2278" customWidth="1"/>
    <col min="2" max="9" width="8.25" style="2278" customWidth="1"/>
    <col min="10" max="10" width="10.25" style="2278" customWidth="1"/>
    <col min="11" max="11" width="9.5" style="2278" bestFit="1" customWidth="1"/>
    <col min="12" max="12" width="9.625" style="2278" bestFit="1" customWidth="1"/>
    <col min="13" max="13" width="9.5" style="2278" bestFit="1" customWidth="1"/>
    <col min="14" max="254" width="9" style="2278"/>
    <col min="255" max="255" width="12.875" style="2278" customWidth="1"/>
    <col min="256" max="263" width="8.25" style="2278" customWidth="1"/>
    <col min="264" max="264" width="8.625" style="2278" customWidth="1"/>
    <col min="265" max="265" width="9.5" style="2278" bestFit="1" customWidth="1"/>
    <col min="266" max="266" width="9.625" style="2278" bestFit="1" customWidth="1"/>
    <col min="267" max="267" width="9.5" style="2278" bestFit="1" customWidth="1"/>
    <col min="268" max="510" width="9" style="2278"/>
    <col min="511" max="511" width="12.875" style="2278" customWidth="1"/>
    <col min="512" max="519" width="8.25" style="2278" customWidth="1"/>
    <col min="520" max="520" width="8.625" style="2278" customWidth="1"/>
    <col min="521" max="521" width="9.5" style="2278" bestFit="1" customWidth="1"/>
    <col min="522" max="522" width="9.625" style="2278" bestFit="1" customWidth="1"/>
    <col min="523" max="523" width="9.5" style="2278" bestFit="1" customWidth="1"/>
    <col min="524" max="766" width="9" style="2278"/>
    <col min="767" max="767" width="12.875" style="2278" customWidth="1"/>
    <col min="768" max="775" width="8.25" style="2278" customWidth="1"/>
    <col min="776" max="776" width="8.625" style="2278" customWidth="1"/>
    <col min="777" max="777" width="9.5" style="2278" bestFit="1" customWidth="1"/>
    <col min="778" max="778" width="9.625" style="2278" bestFit="1" customWidth="1"/>
    <col min="779" max="779" width="9.5" style="2278" bestFit="1" customWidth="1"/>
    <col min="780" max="1022" width="9" style="2278"/>
    <col min="1023" max="1023" width="12.875" style="2278" customWidth="1"/>
    <col min="1024" max="1031" width="8.25" style="2278" customWidth="1"/>
    <col min="1032" max="1032" width="8.625" style="2278" customWidth="1"/>
    <col min="1033" max="1033" width="9.5" style="2278" bestFit="1" customWidth="1"/>
    <col min="1034" max="1034" width="9.625" style="2278" bestFit="1" customWidth="1"/>
    <col min="1035" max="1035" width="9.5" style="2278" bestFit="1" customWidth="1"/>
    <col min="1036" max="1278" width="9" style="2278"/>
    <col min="1279" max="1279" width="12.875" style="2278" customWidth="1"/>
    <col min="1280" max="1287" width="8.25" style="2278" customWidth="1"/>
    <col min="1288" max="1288" width="8.625" style="2278" customWidth="1"/>
    <col min="1289" max="1289" width="9.5" style="2278" bestFit="1" customWidth="1"/>
    <col min="1290" max="1290" width="9.625" style="2278" bestFit="1" customWidth="1"/>
    <col min="1291" max="1291" width="9.5" style="2278" bestFit="1" customWidth="1"/>
    <col min="1292" max="1534" width="9" style="2278"/>
    <col min="1535" max="1535" width="12.875" style="2278" customWidth="1"/>
    <col min="1536" max="1543" width="8.25" style="2278" customWidth="1"/>
    <col min="1544" max="1544" width="8.625" style="2278" customWidth="1"/>
    <col min="1545" max="1545" width="9.5" style="2278" bestFit="1" customWidth="1"/>
    <col min="1546" max="1546" width="9.625" style="2278" bestFit="1" customWidth="1"/>
    <col min="1547" max="1547" width="9.5" style="2278" bestFit="1" customWidth="1"/>
    <col min="1548" max="1790" width="9" style="2278"/>
    <col min="1791" max="1791" width="12.875" style="2278" customWidth="1"/>
    <col min="1792" max="1799" width="8.25" style="2278" customWidth="1"/>
    <col min="1800" max="1800" width="8.625" style="2278" customWidth="1"/>
    <col min="1801" max="1801" width="9.5" style="2278" bestFit="1" customWidth="1"/>
    <col min="1802" max="1802" width="9.625" style="2278" bestFit="1" customWidth="1"/>
    <col min="1803" max="1803" width="9.5" style="2278" bestFit="1" customWidth="1"/>
    <col min="1804" max="2046" width="9" style="2278"/>
    <col min="2047" max="2047" width="12.875" style="2278" customWidth="1"/>
    <col min="2048" max="2055" width="8.25" style="2278" customWidth="1"/>
    <col min="2056" max="2056" width="8.625" style="2278" customWidth="1"/>
    <col min="2057" max="2057" width="9.5" style="2278" bestFit="1" customWidth="1"/>
    <col min="2058" max="2058" width="9.625" style="2278" bestFit="1" customWidth="1"/>
    <col min="2059" max="2059" width="9.5" style="2278" bestFit="1" customWidth="1"/>
    <col min="2060" max="2302" width="9" style="2278"/>
    <col min="2303" max="2303" width="12.875" style="2278" customWidth="1"/>
    <col min="2304" max="2311" width="8.25" style="2278" customWidth="1"/>
    <col min="2312" max="2312" width="8.625" style="2278" customWidth="1"/>
    <col min="2313" max="2313" width="9.5" style="2278" bestFit="1" customWidth="1"/>
    <col min="2314" max="2314" width="9.625" style="2278" bestFit="1" customWidth="1"/>
    <col min="2315" max="2315" width="9.5" style="2278" bestFit="1" customWidth="1"/>
    <col min="2316" max="2558" width="9" style="2278"/>
    <col min="2559" max="2559" width="12.875" style="2278" customWidth="1"/>
    <col min="2560" max="2567" width="8.25" style="2278" customWidth="1"/>
    <col min="2568" max="2568" width="8.625" style="2278" customWidth="1"/>
    <col min="2569" max="2569" width="9.5" style="2278" bestFit="1" customWidth="1"/>
    <col min="2570" max="2570" width="9.625" style="2278" bestFit="1" customWidth="1"/>
    <col min="2571" max="2571" width="9.5" style="2278" bestFit="1" customWidth="1"/>
    <col min="2572" max="2814" width="9" style="2278"/>
    <col min="2815" max="2815" width="12.875" style="2278" customWidth="1"/>
    <col min="2816" max="2823" width="8.25" style="2278" customWidth="1"/>
    <col min="2824" max="2824" width="8.625" style="2278" customWidth="1"/>
    <col min="2825" max="2825" width="9.5" style="2278" bestFit="1" customWidth="1"/>
    <col min="2826" max="2826" width="9.625" style="2278" bestFit="1" customWidth="1"/>
    <col min="2827" max="2827" width="9.5" style="2278" bestFit="1" customWidth="1"/>
    <col min="2828" max="3070" width="9" style="2278"/>
    <col min="3071" max="3071" width="12.875" style="2278" customWidth="1"/>
    <col min="3072" max="3079" width="8.25" style="2278" customWidth="1"/>
    <col min="3080" max="3080" width="8.625" style="2278" customWidth="1"/>
    <col min="3081" max="3081" width="9.5" style="2278" bestFit="1" customWidth="1"/>
    <col min="3082" max="3082" width="9.625" style="2278" bestFit="1" customWidth="1"/>
    <col min="3083" max="3083" width="9.5" style="2278" bestFit="1" customWidth="1"/>
    <col min="3084" max="3326" width="9" style="2278"/>
    <col min="3327" max="3327" width="12.875" style="2278" customWidth="1"/>
    <col min="3328" max="3335" width="8.25" style="2278" customWidth="1"/>
    <col min="3336" max="3336" width="8.625" style="2278" customWidth="1"/>
    <col min="3337" max="3337" width="9.5" style="2278" bestFit="1" customWidth="1"/>
    <col min="3338" max="3338" width="9.625" style="2278" bestFit="1" customWidth="1"/>
    <col min="3339" max="3339" width="9.5" style="2278" bestFit="1" customWidth="1"/>
    <col min="3340" max="3582" width="9" style="2278"/>
    <col min="3583" max="3583" width="12.875" style="2278" customWidth="1"/>
    <col min="3584" max="3591" width="8.25" style="2278" customWidth="1"/>
    <col min="3592" max="3592" width="8.625" style="2278" customWidth="1"/>
    <col min="3593" max="3593" width="9.5" style="2278" bestFit="1" customWidth="1"/>
    <col min="3594" max="3594" width="9.625" style="2278" bestFit="1" customWidth="1"/>
    <col min="3595" max="3595" width="9.5" style="2278" bestFit="1" customWidth="1"/>
    <col min="3596" max="3838" width="9" style="2278"/>
    <col min="3839" max="3839" width="12.875" style="2278" customWidth="1"/>
    <col min="3840" max="3847" width="8.25" style="2278" customWidth="1"/>
    <col min="3848" max="3848" width="8.625" style="2278" customWidth="1"/>
    <col min="3849" max="3849" width="9.5" style="2278" bestFit="1" customWidth="1"/>
    <col min="3850" max="3850" width="9.625" style="2278" bestFit="1" customWidth="1"/>
    <col min="3851" max="3851" width="9.5" style="2278" bestFit="1" customWidth="1"/>
    <col min="3852" max="4094" width="9" style="2278"/>
    <col min="4095" max="4095" width="12.875" style="2278" customWidth="1"/>
    <col min="4096" max="4103" width="8.25" style="2278" customWidth="1"/>
    <col min="4104" max="4104" width="8.625" style="2278" customWidth="1"/>
    <col min="4105" max="4105" width="9.5" style="2278" bestFit="1" customWidth="1"/>
    <col min="4106" max="4106" width="9.625" style="2278" bestFit="1" customWidth="1"/>
    <col min="4107" max="4107" width="9.5" style="2278" bestFit="1" customWidth="1"/>
    <col min="4108" max="4350" width="9" style="2278"/>
    <col min="4351" max="4351" width="12.875" style="2278" customWidth="1"/>
    <col min="4352" max="4359" width="8.25" style="2278" customWidth="1"/>
    <col min="4360" max="4360" width="8.625" style="2278" customWidth="1"/>
    <col min="4361" max="4361" width="9.5" style="2278" bestFit="1" customWidth="1"/>
    <col min="4362" max="4362" width="9.625" style="2278" bestFit="1" customWidth="1"/>
    <col min="4363" max="4363" width="9.5" style="2278" bestFit="1" customWidth="1"/>
    <col min="4364" max="4606" width="9" style="2278"/>
    <col min="4607" max="4607" width="12.875" style="2278" customWidth="1"/>
    <col min="4608" max="4615" width="8.25" style="2278" customWidth="1"/>
    <col min="4616" max="4616" width="8.625" style="2278" customWidth="1"/>
    <col min="4617" max="4617" width="9.5" style="2278" bestFit="1" customWidth="1"/>
    <col min="4618" max="4618" width="9.625" style="2278" bestFit="1" customWidth="1"/>
    <col min="4619" max="4619" width="9.5" style="2278" bestFit="1" customWidth="1"/>
    <col min="4620" max="4862" width="9" style="2278"/>
    <col min="4863" max="4863" width="12.875" style="2278" customWidth="1"/>
    <col min="4864" max="4871" width="8.25" style="2278" customWidth="1"/>
    <col min="4872" max="4872" width="8.625" style="2278" customWidth="1"/>
    <col min="4873" max="4873" width="9.5" style="2278" bestFit="1" customWidth="1"/>
    <col min="4874" max="4874" width="9.625" style="2278" bestFit="1" customWidth="1"/>
    <col min="4875" max="4875" width="9.5" style="2278" bestFit="1" customWidth="1"/>
    <col min="4876" max="5118" width="9" style="2278"/>
    <col min="5119" max="5119" width="12.875" style="2278" customWidth="1"/>
    <col min="5120" max="5127" width="8.25" style="2278" customWidth="1"/>
    <col min="5128" max="5128" width="8.625" style="2278" customWidth="1"/>
    <col min="5129" max="5129" width="9.5" style="2278" bestFit="1" customWidth="1"/>
    <col min="5130" max="5130" width="9.625" style="2278" bestFit="1" customWidth="1"/>
    <col min="5131" max="5131" width="9.5" style="2278" bestFit="1" customWidth="1"/>
    <col min="5132" max="5374" width="9" style="2278"/>
    <col min="5375" max="5375" width="12.875" style="2278" customWidth="1"/>
    <col min="5376" max="5383" width="8.25" style="2278" customWidth="1"/>
    <col min="5384" max="5384" width="8.625" style="2278" customWidth="1"/>
    <col min="5385" max="5385" width="9.5" style="2278" bestFit="1" customWidth="1"/>
    <col min="5386" max="5386" width="9.625" style="2278" bestFit="1" customWidth="1"/>
    <col min="5387" max="5387" width="9.5" style="2278" bestFit="1" customWidth="1"/>
    <col min="5388" max="5630" width="9" style="2278"/>
    <col min="5631" max="5631" width="12.875" style="2278" customWidth="1"/>
    <col min="5632" max="5639" width="8.25" style="2278" customWidth="1"/>
    <col min="5640" max="5640" width="8.625" style="2278" customWidth="1"/>
    <col min="5641" max="5641" width="9.5" style="2278" bestFit="1" customWidth="1"/>
    <col min="5642" max="5642" width="9.625" style="2278" bestFit="1" customWidth="1"/>
    <col min="5643" max="5643" width="9.5" style="2278" bestFit="1" customWidth="1"/>
    <col min="5644" max="5886" width="9" style="2278"/>
    <col min="5887" max="5887" width="12.875" style="2278" customWidth="1"/>
    <col min="5888" max="5895" width="8.25" style="2278" customWidth="1"/>
    <col min="5896" max="5896" width="8.625" style="2278" customWidth="1"/>
    <col min="5897" max="5897" width="9.5" style="2278" bestFit="1" customWidth="1"/>
    <col min="5898" max="5898" width="9.625" style="2278" bestFit="1" customWidth="1"/>
    <col min="5899" max="5899" width="9.5" style="2278" bestFit="1" customWidth="1"/>
    <col min="5900" max="6142" width="9" style="2278"/>
    <col min="6143" max="6143" width="12.875" style="2278" customWidth="1"/>
    <col min="6144" max="6151" width="8.25" style="2278" customWidth="1"/>
    <col min="6152" max="6152" width="8.625" style="2278" customWidth="1"/>
    <col min="6153" max="6153" width="9.5" style="2278" bestFit="1" customWidth="1"/>
    <col min="6154" max="6154" width="9.625" style="2278" bestFit="1" customWidth="1"/>
    <col min="6155" max="6155" width="9.5" style="2278" bestFit="1" customWidth="1"/>
    <col min="6156" max="6398" width="9" style="2278"/>
    <col min="6399" max="6399" width="12.875" style="2278" customWidth="1"/>
    <col min="6400" max="6407" width="8.25" style="2278" customWidth="1"/>
    <col min="6408" max="6408" width="8.625" style="2278" customWidth="1"/>
    <col min="6409" max="6409" width="9.5" style="2278" bestFit="1" customWidth="1"/>
    <col min="6410" max="6410" width="9.625" style="2278" bestFit="1" customWidth="1"/>
    <col min="6411" max="6411" width="9.5" style="2278" bestFit="1" customWidth="1"/>
    <col min="6412" max="6654" width="9" style="2278"/>
    <col min="6655" max="6655" width="12.875" style="2278" customWidth="1"/>
    <col min="6656" max="6663" width="8.25" style="2278" customWidth="1"/>
    <col min="6664" max="6664" width="8.625" style="2278" customWidth="1"/>
    <col min="6665" max="6665" width="9.5" style="2278" bestFit="1" customWidth="1"/>
    <col min="6666" max="6666" width="9.625" style="2278" bestFit="1" customWidth="1"/>
    <col min="6667" max="6667" width="9.5" style="2278" bestFit="1" customWidth="1"/>
    <col min="6668" max="6910" width="9" style="2278"/>
    <col min="6911" max="6911" width="12.875" style="2278" customWidth="1"/>
    <col min="6912" max="6919" width="8.25" style="2278" customWidth="1"/>
    <col min="6920" max="6920" width="8.625" style="2278" customWidth="1"/>
    <col min="6921" max="6921" width="9.5" style="2278" bestFit="1" customWidth="1"/>
    <col min="6922" max="6922" width="9.625" style="2278" bestFit="1" customWidth="1"/>
    <col min="6923" max="6923" width="9.5" style="2278" bestFit="1" customWidth="1"/>
    <col min="6924" max="7166" width="9" style="2278"/>
    <col min="7167" max="7167" width="12.875" style="2278" customWidth="1"/>
    <col min="7168" max="7175" width="8.25" style="2278" customWidth="1"/>
    <col min="7176" max="7176" width="8.625" style="2278" customWidth="1"/>
    <col min="7177" max="7177" width="9.5" style="2278" bestFit="1" customWidth="1"/>
    <col min="7178" max="7178" width="9.625" style="2278" bestFit="1" customWidth="1"/>
    <col min="7179" max="7179" width="9.5" style="2278" bestFit="1" customWidth="1"/>
    <col min="7180" max="7422" width="9" style="2278"/>
    <col min="7423" max="7423" width="12.875" style="2278" customWidth="1"/>
    <col min="7424" max="7431" width="8.25" style="2278" customWidth="1"/>
    <col min="7432" max="7432" width="8.625" style="2278" customWidth="1"/>
    <col min="7433" max="7433" width="9.5" style="2278" bestFit="1" customWidth="1"/>
    <col min="7434" max="7434" width="9.625" style="2278" bestFit="1" customWidth="1"/>
    <col min="7435" max="7435" width="9.5" style="2278" bestFit="1" customWidth="1"/>
    <col min="7436" max="7678" width="9" style="2278"/>
    <col min="7679" max="7679" width="12.875" style="2278" customWidth="1"/>
    <col min="7680" max="7687" width="8.25" style="2278" customWidth="1"/>
    <col min="7688" max="7688" width="8.625" style="2278" customWidth="1"/>
    <col min="7689" max="7689" width="9.5" style="2278" bestFit="1" customWidth="1"/>
    <col min="7690" max="7690" width="9.625" style="2278" bestFit="1" customWidth="1"/>
    <col min="7691" max="7691" width="9.5" style="2278" bestFit="1" customWidth="1"/>
    <col min="7692" max="7934" width="9" style="2278"/>
    <col min="7935" max="7935" width="12.875" style="2278" customWidth="1"/>
    <col min="7936" max="7943" width="8.25" style="2278" customWidth="1"/>
    <col min="7944" max="7944" width="8.625" style="2278" customWidth="1"/>
    <col min="7945" max="7945" width="9.5" style="2278" bestFit="1" customWidth="1"/>
    <col min="7946" max="7946" width="9.625" style="2278" bestFit="1" customWidth="1"/>
    <col min="7947" max="7947" width="9.5" style="2278" bestFit="1" customWidth="1"/>
    <col min="7948" max="8190" width="9" style="2278"/>
    <col min="8191" max="8191" width="12.875" style="2278" customWidth="1"/>
    <col min="8192" max="8199" width="8.25" style="2278" customWidth="1"/>
    <col min="8200" max="8200" width="8.625" style="2278" customWidth="1"/>
    <col min="8201" max="8201" width="9.5" style="2278" bestFit="1" customWidth="1"/>
    <col min="8202" max="8202" width="9.625" style="2278" bestFit="1" customWidth="1"/>
    <col min="8203" max="8203" width="9.5" style="2278" bestFit="1" customWidth="1"/>
    <col min="8204" max="8446" width="9" style="2278"/>
    <col min="8447" max="8447" width="12.875" style="2278" customWidth="1"/>
    <col min="8448" max="8455" width="8.25" style="2278" customWidth="1"/>
    <col min="8456" max="8456" width="8.625" style="2278" customWidth="1"/>
    <col min="8457" max="8457" width="9.5" style="2278" bestFit="1" customWidth="1"/>
    <col min="8458" max="8458" width="9.625" style="2278" bestFit="1" customWidth="1"/>
    <col min="8459" max="8459" width="9.5" style="2278" bestFit="1" customWidth="1"/>
    <col min="8460" max="8702" width="9" style="2278"/>
    <col min="8703" max="8703" width="12.875" style="2278" customWidth="1"/>
    <col min="8704" max="8711" width="8.25" style="2278" customWidth="1"/>
    <col min="8712" max="8712" width="8.625" style="2278" customWidth="1"/>
    <col min="8713" max="8713" width="9.5" style="2278" bestFit="1" customWidth="1"/>
    <col min="8714" max="8714" width="9.625" style="2278" bestFit="1" customWidth="1"/>
    <col min="8715" max="8715" width="9.5" style="2278" bestFit="1" customWidth="1"/>
    <col min="8716" max="8958" width="9" style="2278"/>
    <col min="8959" max="8959" width="12.875" style="2278" customWidth="1"/>
    <col min="8960" max="8967" width="8.25" style="2278" customWidth="1"/>
    <col min="8968" max="8968" width="8.625" style="2278" customWidth="1"/>
    <col min="8969" max="8969" width="9.5" style="2278" bestFit="1" customWidth="1"/>
    <col min="8970" max="8970" width="9.625" style="2278" bestFit="1" customWidth="1"/>
    <col min="8971" max="8971" width="9.5" style="2278" bestFit="1" customWidth="1"/>
    <col min="8972" max="9214" width="9" style="2278"/>
    <col min="9215" max="9215" width="12.875" style="2278" customWidth="1"/>
    <col min="9216" max="9223" width="8.25" style="2278" customWidth="1"/>
    <col min="9224" max="9224" width="8.625" style="2278" customWidth="1"/>
    <col min="9225" max="9225" width="9.5" style="2278" bestFit="1" customWidth="1"/>
    <col min="9226" max="9226" width="9.625" style="2278" bestFit="1" customWidth="1"/>
    <col min="9227" max="9227" width="9.5" style="2278" bestFit="1" customWidth="1"/>
    <col min="9228" max="9470" width="9" style="2278"/>
    <col min="9471" max="9471" width="12.875" style="2278" customWidth="1"/>
    <col min="9472" max="9479" width="8.25" style="2278" customWidth="1"/>
    <col min="9480" max="9480" width="8.625" style="2278" customWidth="1"/>
    <col min="9481" max="9481" width="9.5" style="2278" bestFit="1" customWidth="1"/>
    <col min="9482" max="9482" width="9.625" style="2278" bestFit="1" customWidth="1"/>
    <col min="9483" max="9483" width="9.5" style="2278" bestFit="1" customWidth="1"/>
    <col min="9484" max="9726" width="9" style="2278"/>
    <col min="9727" max="9727" width="12.875" style="2278" customWidth="1"/>
    <col min="9728" max="9735" width="8.25" style="2278" customWidth="1"/>
    <col min="9736" max="9736" width="8.625" style="2278" customWidth="1"/>
    <col min="9737" max="9737" width="9.5" style="2278" bestFit="1" customWidth="1"/>
    <col min="9738" max="9738" width="9.625" style="2278" bestFit="1" customWidth="1"/>
    <col min="9739" max="9739" width="9.5" style="2278" bestFit="1" customWidth="1"/>
    <col min="9740" max="9982" width="9" style="2278"/>
    <col min="9983" max="9983" width="12.875" style="2278" customWidth="1"/>
    <col min="9984" max="9991" width="8.25" style="2278" customWidth="1"/>
    <col min="9992" max="9992" width="8.625" style="2278" customWidth="1"/>
    <col min="9993" max="9993" width="9.5" style="2278" bestFit="1" customWidth="1"/>
    <col min="9994" max="9994" width="9.625" style="2278" bestFit="1" customWidth="1"/>
    <col min="9995" max="9995" width="9.5" style="2278" bestFit="1" customWidth="1"/>
    <col min="9996" max="10238" width="9" style="2278"/>
    <col min="10239" max="10239" width="12.875" style="2278" customWidth="1"/>
    <col min="10240" max="10247" width="8.25" style="2278" customWidth="1"/>
    <col min="10248" max="10248" width="8.625" style="2278" customWidth="1"/>
    <col min="10249" max="10249" width="9.5" style="2278" bestFit="1" customWidth="1"/>
    <col min="10250" max="10250" width="9.625" style="2278" bestFit="1" customWidth="1"/>
    <col min="10251" max="10251" width="9.5" style="2278" bestFit="1" customWidth="1"/>
    <col min="10252" max="10494" width="9" style="2278"/>
    <col min="10495" max="10495" width="12.875" style="2278" customWidth="1"/>
    <col min="10496" max="10503" width="8.25" style="2278" customWidth="1"/>
    <col min="10504" max="10504" width="8.625" style="2278" customWidth="1"/>
    <col min="10505" max="10505" width="9.5" style="2278" bestFit="1" customWidth="1"/>
    <col min="10506" max="10506" width="9.625" style="2278" bestFit="1" customWidth="1"/>
    <col min="10507" max="10507" width="9.5" style="2278" bestFit="1" customWidth="1"/>
    <col min="10508" max="10750" width="9" style="2278"/>
    <col min="10751" max="10751" width="12.875" style="2278" customWidth="1"/>
    <col min="10752" max="10759" width="8.25" style="2278" customWidth="1"/>
    <col min="10760" max="10760" width="8.625" style="2278" customWidth="1"/>
    <col min="10761" max="10761" width="9.5" style="2278" bestFit="1" customWidth="1"/>
    <col min="10762" max="10762" width="9.625" style="2278" bestFit="1" customWidth="1"/>
    <col min="10763" max="10763" width="9.5" style="2278" bestFit="1" customWidth="1"/>
    <col min="10764" max="11006" width="9" style="2278"/>
    <col min="11007" max="11007" width="12.875" style="2278" customWidth="1"/>
    <col min="11008" max="11015" width="8.25" style="2278" customWidth="1"/>
    <col min="11016" max="11016" width="8.625" style="2278" customWidth="1"/>
    <col min="11017" max="11017" width="9.5" style="2278" bestFit="1" customWidth="1"/>
    <col min="11018" max="11018" width="9.625" style="2278" bestFit="1" customWidth="1"/>
    <col min="11019" max="11019" width="9.5" style="2278" bestFit="1" customWidth="1"/>
    <col min="11020" max="11262" width="9" style="2278"/>
    <col min="11263" max="11263" width="12.875" style="2278" customWidth="1"/>
    <col min="11264" max="11271" width="8.25" style="2278" customWidth="1"/>
    <col min="11272" max="11272" width="8.625" style="2278" customWidth="1"/>
    <col min="11273" max="11273" width="9.5" style="2278" bestFit="1" customWidth="1"/>
    <col min="11274" max="11274" width="9.625" style="2278" bestFit="1" customWidth="1"/>
    <col min="11275" max="11275" width="9.5" style="2278" bestFit="1" customWidth="1"/>
    <col min="11276" max="11518" width="9" style="2278"/>
    <col min="11519" max="11519" width="12.875" style="2278" customWidth="1"/>
    <col min="11520" max="11527" width="8.25" style="2278" customWidth="1"/>
    <col min="11528" max="11528" width="8.625" style="2278" customWidth="1"/>
    <col min="11529" max="11529" width="9.5" style="2278" bestFit="1" customWidth="1"/>
    <col min="11530" max="11530" width="9.625" style="2278" bestFit="1" customWidth="1"/>
    <col min="11531" max="11531" width="9.5" style="2278" bestFit="1" customWidth="1"/>
    <col min="11532" max="11774" width="9" style="2278"/>
    <col min="11775" max="11775" width="12.875" style="2278" customWidth="1"/>
    <col min="11776" max="11783" width="8.25" style="2278" customWidth="1"/>
    <col min="11784" max="11784" width="8.625" style="2278" customWidth="1"/>
    <col min="11785" max="11785" width="9.5" style="2278" bestFit="1" customWidth="1"/>
    <col min="11786" max="11786" width="9.625" style="2278" bestFit="1" customWidth="1"/>
    <col min="11787" max="11787" width="9.5" style="2278" bestFit="1" customWidth="1"/>
    <col min="11788" max="12030" width="9" style="2278"/>
    <col min="12031" max="12031" width="12.875" style="2278" customWidth="1"/>
    <col min="12032" max="12039" width="8.25" style="2278" customWidth="1"/>
    <col min="12040" max="12040" width="8.625" style="2278" customWidth="1"/>
    <col min="12041" max="12041" width="9.5" style="2278" bestFit="1" customWidth="1"/>
    <col min="12042" max="12042" width="9.625" style="2278" bestFit="1" customWidth="1"/>
    <col min="12043" max="12043" width="9.5" style="2278" bestFit="1" customWidth="1"/>
    <col min="12044" max="12286" width="9" style="2278"/>
    <col min="12287" max="12287" width="12.875" style="2278" customWidth="1"/>
    <col min="12288" max="12295" width="8.25" style="2278" customWidth="1"/>
    <col min="12296" max="12296" width="8.625" style="2278" customWidth="1"/>
    <col min="12297" max="12297" width="9.5" style="2278" bestFit="1" customWidth="1"/>
    <col min="12298" max="12298" width="9.625" style="2278" bestFit="1" customWidth="1"/>
    <col min="12299" max="12299" width="9.5" style="2278" bestFit="1" customWidth="1"/>
    <col min="12300" max="12542" width="9" style="2278"/>
    <col min="12543" max="12543" width="12.875" style="2278" customWidth="1"/>
    <col min="12544" max="12551" width="8.25" style="2278" customWidth="1"/>
    <col min="12552" max="12552" width="8.625" style="2278" customWidth="1"/>
    <col min="12553" max="12553" width="9.5" style="2278" bestFit="1" customWidth="1"/>
    <col min="12554" max="12554" width="9.625" style="2278" bestFit="1" customWidth="1"/>
    <col min="12555" max="12555" width="9.5" style="2278" bestFit="1" customWidth="1"/>
    <col min="12556" max="12798" width="9" style="2278"/>
    <col min="12799" max="12799" width="12.875" style="2278" customWidth="1"/>
    <col min="12800" max="12807" width="8.25" style="2278" customWidth="1"/>
    <col min="12808" max="12808" width="8.625" style="2278" customWidth="1"/>
    <col min="12809" max="12809" width="9.5" style="2278" bestFit="1" customWidth="1"/>
    <col min="12810" max="12810" width="9.625" style="2278" bestFit="1" customWidth="1"/>
    <col min="12811" max="12811" width="9.5" style="2278" bestFit="1" customWidth="1"/>
    <col min="12812" max="13054" width="9" style="2278"/>
    <col min="13055" max="13055" width="12.875" style="2278" customWidth="1"/>
    <col min="13056" max="13063" width="8.25" style="2278" customWidth="1"/>
    <col min="13064" max="13064" width="8.625" style="2278" customWidth="1"/>
    <col min="13065" max="13065" width="9.5" style="2278" bestFit="1" customWidth="1"/>
    <col min="13066" max="13066" width="9.625" style="2278" bestFit="1" customWidth="1"/>
    <col min="13067" max="13067" width="9.5" style="2278" bestFit="1" customWidth="1"/>
    <col min="13068" max="13310" width="9" style="2278"/>
    <col min="13311" max="13311" width="12.875" style="2278" customWidth="1"/>
    <col min="13312" max="13319" width="8.25" style="2278" customWidth="1"/>
    <col min="13320" max="13320" width="8.625" style="2278" customWidth="1"/>
    <col min="13321" max="13321" width="9.5" style="2278" bestFit="1" customWidth="1"/>
    <col min="13322" max="13322" width="9.625" style="2278" bestFit="1" customWidth="1"/>
    <col min="13323" max="13323" width="9.5" style="2278" bestFit="1" customWidth="1"/>
    <col min="13324" max="13566" width="9" style="2278"/>
    <col min="13567" max="13567" width="12.875" style="2278" customWidth="1"/>
    <col min="13568" max="13575" width="8.25" style="2278" customWidth="1"/>
    <col min="13576" max="13576" width="8.625" style="2278" customWidth="1"/>
    <col min="13577" max="13577" width="9.5" style="2278" bestFit="1" customWidth="1"/>
    <col min="13578" max="13578" width="9.625" style="2278" bestFit="1" customWidth="1"/>
    <col min="13579" max="13579" width="9.5" style="2278" bestFit="1" customWidth="1"/>
    <col min="13580" max="13822" width="9" style="2278"/>
    <col min="13823" max="13823" width="12.875" style="2278" customWidth="1"/>
    <col min="13824" max="13831" width="8.25" style="2278" customWidth="1"/>
    <col min="13832" max="13832" width="8.625" style="2278" customWidth="1"/>
    <col min="13833" max="13833" width="9.5" style="2278" bestFit="1" customWidth="1"/>
    <col min="13834" max="13834" width="9.625" style="2278" bestFit="1" customWidth="1"/>
    <col min="13835" max="13835" width="9.5" style="2278" bestFit="1" customWidth="1"/>
    <col min="13836" max="14078" width="9" style="2278"/>
    <col min="14079" max="14079" width="12.875" style="2278" customWidth="1"/>
    <col min="14080" max="14087" width="8.25" style="2278" customWidth="1"/>
    <col min="14088" max="14088" width="8.625" style="2278" customWidth="1"/>
    <col min="14089" max="14089" width="9.5" style="2278" bestFit="1" customWidth="1"/>
    <col min="14090" max="14090" width="9.625" style="2278" bestFit="1" customWidth="1"/>
    <col min="14091" max="14091" width="9.5" style="2278" bestFit="1" customWidth="1"/>
    <col min="14092" max="14334" width="9" style="2278"/>
    <col min="14335" max="14335" width="12.875" style="2278" customWidth="1"/>
    <col min="14336" max="14343" width="8.25" style="2278" customWidth="1"/>
    <col min="14344" max="14344" width="8.625" style="2278" customWidth="1"/>
    <col min="14345" max="14345" width="9.5" style="2278" bestFit="1" customWidth="1"/>
    <col min="14346" max="14346" width="9.625" style="2278" bestFit="1" customWidth="1"/>
    <col min="14347" max="14347" width="9.5" style="2278" bestFit="1" customWidth="1"/>
    <col min="14348" max="14590" width="9" style="2278"/>
    <col min="14591" max="14591" width="12.875" style="2278" customWidth="1"/>
    <col min="14592" max="14599" width="8.25" style="2278" customWidth="1"/>
    <col min="14600" max="14600" width="8.625" style="2278" customWidth="1"/>
    <col min="14601" max="14601" width="9.5" style="2278" bestFit="1" customWidth="1"/>
    <col min="14602" max="14602" width="9.625" style="2278" bestFit="1" customWidth="1"/>
    <col min="14603" max="14603" width="9.5" style="2278" bestFit="1" customWidth="1"/>
    <col min="14604" max="14846" width="9" style="2278"/>
    <col min="14847" max="14847" width="12.875" style="2278" customWidth="1"/>
    <col min="14848" max="14855" width="8.25" style="2278" customWidth="1"/>
    <col min="14856" max="14856" width="8.625" style="2278" customWidth="1"/>
    <col min="14857" max="14857" width="9.5" style="2278" bestFit="1" customWidth="1"/>
    <col min="14858" max="14858" width="9.625" style="2278" bestFit="1" customWidth="1"/>
    <col min="14859" max="14859" width="9.5" style="2278" bestFit="1" customWidth="1"/>
    <col min="14860" max="15102" width="9" style="2278"/>
    <col min="15103" max="15103" width="12.875" style="2278" customWidth="1"/>
    <col min="15104" max="15111" width="8.25" style="2278" customWidth="1"/>
    <col min="15112" max="15112" width="8.625" style="2278" customWidth="1"/>
    <col min="15113" max="15113" width="9.5" style="2278" bestFit="1" customWidth="1"/>
    <col min="15114" max="15114" width="9.625" style="2278" bestFit="1" customWidth="1"/>
    <col min="15115" max="15115" width="9.5" style="2278" bestFit="1" customWidth="1"/>
    <col min="15116" max="15358" width="9" style="2278"/>
    <col min="15359" max="15359" width="12.875" style="2278" customWidth="1"/>
    <col min="15360" max="15367" width="8.25" style="2278" customWidth="1"/>
    <col min="15368" max="15368" width="8.625" style="2278" customWidth="1"/>
    <col min="15369" max="15369" width="9.5" style="2278" bestFit="1" customWidth="1"/>
    <col min="15370" max="15370" width="9.625" style="2278" bestFit="1" customWidth="1"/>
    <col min="15371" max="15371" width="9.5" style="2278" bestFit="1" customWidth="1"/>
    <col min="15372" max="15614" width="9" style="2278"/>
    <col min="15615" max="15615" width="12.875" style="2278" customWidth="1"/>
    <col min="15616" max="15623" width="8.25" style="2278" customWidth="1"/>
    <col min="15624" max="15624" width="8.625" style="2278" customWidth="1"/>
    <col min="15625" max="15625" width="9.5" style="2278" bestFit="1" customWidth="1"/>
    <col min="15626" max="15626" width="9.625" style="2278" bestFit="1" customWidth="1"/>
    <col min="15627" max="15627" width="9.5" style="2278" bestFit="1" customWidth="1"/>
    <col min="15628" max="15870" width="9" style="2278"/>
    <col min="15871" max="15871" width="12.875" style="2278" customWidth="1"/>
    <col min="15872" max="15879" width="8.25" style="2278" customWidth="1"/>
    <col min="15880" max="15880" width="8.625" style="2278" customWidth="1"/>
    <col min="15881" max="15881" width="9.5" style="2278" bestFit="1" customWidth="1"/>
    <col min="15882" max="15882" width="9.625" style="2278" bestFit="1" customWidth="1"/>
    <col min="15883" max="15883" width="9.5" style="2278" bestFit="1" customWidth="1"/>
    <col min="15884" max="16126" width="9" style="2278"/>
    <col min="16127" max="16127" width="12.875" style="2278" customWidth="1"/>
    <col min="16128" max="16135" width="8.25" style="2278" customWidth="1"/>
    <col min="16136" max="16136" width="8.625" style="2278" customWidth="1"/>
    <col min="16137" max="16137" width="9.5" style="2278" bestFit="1" customWidth="1"/>
    <col min="16138" max="16138" width="9.625" style="2278" bestFit="1" customWidth="1"/>
    <col min="16139" max="16139" width="9.5" style="2278" bestFit="1" customWidth="1"/>
    <col min="16140" max="16384" width="9" style="2278"/>
  </cols>
  <sheetData>
    <row r="1" spans="1:13" ht="30.6" customHeight="1">
      <c r="A1" s="3936" t="s">
        <v>3725</v>
      </c>
      <c r="B1" s="3936"/>
      <c r="C1" s="3936"/>
      <c r="D1" s="3936"/>
      <c r="E1" s="3936"/>
      <c r="F1" s="3936"/>
      <c r="G1" s="3936"/>
      <c r="H1" s="3936"/>
      <c r="I1" s="3936"/>
      <c r="J1" s="3936"/>
      <c r="K1" s="3936"/>
      <c r="L1" s="3936"/>
      <c r="M1" s="3936"/>
    </row>
    <row r="2" spans="1:13" ht="24.75" customHeight="1">
      <c r="A2" s="3975" t="s">
        <v>3599</v>
      </c>
      <c r="B2" s="3982" t="s">
        <v>3679</v>
      </c>
      <c r="C2" s="3982"/>
      <c r="D2" s="3982"/>
      <c r="E2" s="4050"/>
      <c r="F2" s="3986" t="s">
        <v>3606</v>
      </c>
      <c r="G2" s="3982"/>
      <c r="H2" s="3982"/>
      <c r="I2" s="4050"/>
      <c r="J2" s="4051" t="s">
        <v>3726</v>
      </c>
      <c r="K2" s="4052"/>
      <c r="L2" s="4055" t="s">
        <v>3727</v>
      </c>
      <c r="M2" s="4056"/>
    </row>
    <row r="3" spans="1:13" ht="22.9" customHeight="1">
      <c r="A3" s="3976"/>
      <c r="B3" s="3982" t="s">
        <v>3722</v>
      </c>
      <c r="C3" s="3988"/>
      <c r="D3" s="3982" t="s">
        <v>3721</v>
      </c>
      <c r="E3" s="3988"/>
      <c r="F3" s="3982" t="s">
        <v>3722</v>
      </c>
      <c r="G3" s="3988"/>
      <c r="H3" s="3982" t="s">
        <v>3721</v>
      </c>
      <c r="I3" s="3988"/>
      <c r="J3" s="4053"/>
      <c r="K3" s="4054"/>
      <c r="L3" s="4057"/>
      <c r="M3" s="4058"/>
    </row>
    <row r="4" spans="1:13" ht="22.9" customHeight="1">
      <c r="A4" s="3977"/>
      <c r="B4" s="2374" t="s">
        <v>3610</v>
      </c>
      <c r="C4" s="2496" t="s">
        <v>3458</v>
      </c>
      <c r="D4" s="2374" t="s">
        <v>3610</v>
      </c>
      <c r="E4" s="2375" t="s">
        <v>3458</v>
      </c>
      <c r="F4" s="2376" t="s">
        <v>3610</v>
      </c>
      <c r="G4" s="2375" t="s">
        <v>3458</v>
      </c>
      <c r="H4" s="2376" t="s">
        <v>3610</v>
      </c>
      <c r="I4" s="2379" t="s">
        <v>3458</v>
      </c>
      <c r="J4" s="2376" t="s">
        <v>3610</v>
      </c>
      <c r="K4" s="2377" t="s">
        <v>3458</v>
      </c>
      <c r="L4" s="2378" t="s">
        <v>3612</v>
      </c>
      <c r="M4" s="2379" t="s">
        <v>3458</v>
      </c>
    </row>
    <row r="5" spans="1:13" ht="18.75" customHeight="1">
      <c r="A5" s="2251" t="s">
        <v>3728</v>
      </c>
      <c r="B5" s="2385">
        <v>1807</v>
      </c>
      <c r="C5" s="2257">
        <v>19.019050626249868</v>
      </c>
      <c r="D5" s="2385">
        <v>7694</v>
      </c>
      <c r="E5" s="2257">
        <v>80.980949373750136</v>
      </c>
      <c r="F5" s="2497">
        <v>823</v>
      </c>
      <c r="G5" s="2257">
        <v>55.986394557823125</v>
      </c>
      <c r="H5" s="2497">
        <v>647</v>
      </c>
      <c r="I5" s="2257">
        <v>44.013605442176875</v>
      </c>
      <c r="J5" s="2385">
        <v>11262</v>
      </c>
      <c r="K5" s="2386">
        <v>30.29129347212136</v>
      </c>
      <c r="L5" s="2385">
        <v>4487</v>
      </c>
      <c r="M5" s="2259">
        <v>31.467844869906724</v>
      </c>
    </row>
    <row r="6" spans="1:13" ht="18.75" customHeight="1">
      <c r="A6" s="2498" t="s">
        <v>1107</v>
      </c>
      <c r="B6" s="2385">
        <v>1347</v>
      </c>
      <c r="C6" s="2257">
        <v>15.880688516859232</v>
      </c>
      <c r="D6" s="2385">
        <v>7135</v>
      </c>
      <c r="E6" s="2257">
        <v>84.119311483140763</v>
      </c>
      <c r="F6" s="2385">
        <v>587</v>
      </c>
      <c r="G6" s="2257">
        <v>53.656307129798911</v>
      </c>
      <c r="H6" s="2385">
        <v>507</v>
      </c>
      <c r="I6" s="2257">
        <v>46.343692870201096</v>
      </c>
      <c r="J6" s="2385">
        <v>11487</v>
      </c>
      <c r="K6" s="2386">
        <v>31.48935003700759</v>
      </c>
      <c r="L6" s="2385">
        <v>5320</v>
      </c>
      <c r="M6" s="2259">
        <v>32.630029440628064</v>
      </c>
    </row>
    <row r="7" spans="1:13" ht="18.75" customHeight="1">
      <c r="A7" s="2498" t="s">
        <v>1060</v>
      </c>
      <c r="B7" s="2385">
        <v>916</v>
      </c>
      <c r="C7" s="2257">
        <v>13.143923087960971</v>
      </c>
      <c r="D7" s="2385">
        <v>6053</v>
      </c>
      <c r="E7" s="2257">
        <v>86.856076912039029</v>
      </c>
      <c r="F7" s="2385">
        <v>429</v>
      </c>
      <c r="G7" s="2257">
        <v>53.558052434456926</v>
      </c>
      <c r="H7" s="2385">
        <v>372</v>
      </c>
      <c r="I7" s="2257">
        <v>46.441947565543074</v>
      </c>
      <c r="J7" s="2385">
        <v>10990</v>
      </c>
      <c r="K7" s="2386">
        <v>31.08383301278425</v>
      </c>
      <c r="L7" s="2385">
        <v>4924</v>
      </c>
      <c r="M7" s="2259">
        <v>31.732938067925502</v>
      </c>
    </row>
    <row r="8" spans="1:13" ht="18.75" customHeight="1">
      <c r="A8" s="2498" t="s">
        <v>1061</v>
      </c>
      <c r="B8" s="2385">
        <v>814</v>
      </c>
      <c r="C8" s="2257">
        <v>12.149253731343283</v>
      </c>
      <c r="D8" s="2385">
        <v>5886</v>
      </c>
      <c r="E8" s="2257">
        <v>87.850746268656721</v>
      </c>
      <c r="F8" s="2385">
        <v>367</v>
      </c>
      <c r="G8" s="2257">
        <v>54.370370370370367</v>
      </c>
      <c r="H8" s="2385">
        <v>308</v>
      </c>
      <c r="I8" s="2257">
        <v>45.629629629629633</v>
      </c>
      <c r="J8" s="2385">
        <v>10461</v>
      </c>
      <c r="K8" s="2386">
        <v>30.593981224227178</v>
      </c>
      <c r="L8" s="2385">
        <v>5369</v>
      </c>
      <c r="M8" s="2259">
        <v>32.837920489296636</v>
      </c>
    </row>
    <row r="9" spans="1:13" ht="18.75" customHeight="1">
      <c r="A9" s="2498" t="s">
        <v>1062</v>
      </c>
      <c r="B9" s="2385">
        <v>602</v>
      </c>
      <c r="C9" s="2257">
        <v>10.070257611241217</v>
      </c>
      <c r="D9" s="2385">
        <v>5376</v>
      </c>
      <c r="E9" s="2257">
        <v>89.929742388758783</v>
      </c>
      <c r="F9" s="2385">
        <v>279</v>
      </c>
      <c r="G9" s="2257">
        <v>44.783306581059392</v>
      </c>
      <c r="H9" s="2385">
        <v>344</v>
      </c>
      <c r="I9" s="2257">
        <v>55.216693418940608</v>
      </c>
      <c r="J9" s="2385">
        <v>9723</v>
      </c>
      <c r="K9" s="2386">
        <v>28.226789757881903</v>
      </c>
      <c r="L9" s="2385">
        <v>5840</v>
      </c>
      <c r="M9" s="2259">
        <v>33.200682205798749</v>
      </c>
    </row>
    <row r="10" spans="1:13" ht="18.75" customHeight="1">
      <c r="A10" s="2498" t="s">
        <v>1063</v>
      </c>
      <c r="B10" s="2385">
        <v>649</v>
      </c>
      <c r="C10" s="2257">
        <v>9.6649292628443781</v>
      </c>
      <c r="D10" s="2385">
        <v>6066</v>
      </c>
      <c r="E10" s="2257">
        <v>90.335070737155618</v>
      </c>
      <c r="F10" s="2385">
        <v>273</v>
      </c>
      <c r="G10" s="2257">
        <v>42.65625</v>
      </c>
      <c r="H10" s="2385">
        <v>367</v>
      </c>
      <c r="I10" s="2257">
        <v>57.343750000000007</v>
      </c>
      <c r="J10" s="2385">
        <v>9803</v>
      </c>
      <c r="K10" s="2386">
        <v>28.873965420753439</v>
      </c>
      <c r="L10" s="2385">
        <v>5380</v>
      </c>
      <c r="M10" s="2259">
        <v>30.727054657604658</v>
      </c>
    </row>
    <row r="11" spans="1:13" ht="18.75" customHeight="1">
      <c r="A11" s="2498" t="s">
        <v>1064</v>
      </c>
      <c r="B11" s="2385">
        <v>700</v>
      </c>
      <c r="C11" s="2257">
        <v>9.0744101633393832</v>
      </c>
      <c r="D11" s="2385">
        <v>7014</v>
      </c>
      <c r="E11" s="2257">
        <v>90.92558983666062</v>
      </c>
      <c r="F11" s="2385">
        <v>297</v>
      </c>
      <c r="G11" s="2257">
        <v>41.83098591549296</v>
      </c>
      <c r="H11" s="2385">
        <v>413</v>
      </c>
      <c r="I11" s="2257">
        <v>58.16901408450704</v>
      </c>
      <c r="J11" s="2385">
        <v>11005</v>
      </c>
      <c r="K11" s="2386">
        <v>31.819233215752043</v>
      </c>
      <c r="L11" s="2385">
        <v>6253</v>
      </c>
      <c r="M11" s="2259">
        <v>32.451087238569727</v>
      </c>
    </row>
    <row r="12" spans="1:13" ht="18.75" customHeight="1">
      <c r="A12" s="2498" t="s">
        <v>1065</v>
      </c>
      <c r="B12" s="2385">
        <v>617</v>
      </c>
      <c r="C12" s="2257">
        <v>9.1815476190476204</v>
      </c>
      <c r="D12" s="2385">
        <v>6103</v>
      </c>
      <c r="E12" s="2257">
        <v>90.81845238095238</v>
      </c>
      <c r="F12" s="2385">
        <v>267</v>
      </c>
      <c r="G12" s="2257">
        <v>43.064516129032256</v>
      </c>
      <c r="H12" s="2385">
        <v>353</v>
      </c>
      <c r="I12" s="2257">
        <v>56.935483870967744</v>
      </c>
      <c r="J12" s="2385">
        <v>11797</v>
      </c>
      <c r="K12" s="2386">
        <v>32.500413245908867</v>
      </c>
      <c r="L12" s="2385">
        <v>6103</v>
      </c>
      <c r="M12" s="2259">
        <v>34.037925264919124</v>
      </c>
    </row>
    <row r="13" spans="1:13" ht="18.75" customHeight="1">
      <c r="A13" s="2498" t="s">
        <v>1066</v>
      </c>
      <c r="B13" s="2385">
        <v>433</v>
      </c>
      <c r="C13" s="2257">
        <v>8.6409898223907398</v>
      </c>
      <c r="D13" s="2385">
        <v>4578</v>
      </c>
      <c r="E13" s="2257">
        <v>91.359010177609264</v>
      </c>
      <c r="F13" s="2385">
        <v>187</v>
      </c>
      <c r="G13" s="2257">
        <v>38.877338877338879</v>
      </c>
      <c r="H13" s="2385">
        <v>294</v>
      </c>
      <c r="I13" s="2257">
        <v>61.122661122661128</v>
      </c>
      <c r="J13" s="2385">
        <v>11060</v>
      </c>
      <c r="K13" s="2386">
        <v>30.585437349630816</v>
      </c>
      <c r="L13" s="2385">
        <v>5740</v>
      </c>
      <c r="M13" s="2259">
        <v>35.027765912003417</v>
      </c>
    </row>
    <row r="14" spans="1:13" s="2499" customFormat="1" ht="21" customHeight="1">
      <c r="A14" s="2266" t="s">
        <v>1067</v>
      </c>
      <c r="B14" s="2385">
        <v>363</v>
      </c>
      <c r="C14" s="2257">
        <v>9.5879556259904906</v>
      </c>
      <c r="D14" s="2385">
        <v>3423</v>
      </c>
      <c r="E14" s="2257">
        <v>90.412044374009497</v>
      </c>
      <c r="F14" s="2385">
        <v>167</v>
      </c>
      <c r="G14" s="2257">
        <v>42.065491183879097</v>
      </c>
      <c r="H14" s="2385">
        <v>230</v>
      </c>
      <c r="I14" s="2257">
        <v>57.934508816120911</v>
      </c>
      <c r="J14" s="2385">
        <v>10598</v>
      </c>
      <c r="K14" s="2386">
        <v>30.479422507261798</v>
      </c>
      <c r="L14" s="2385">
        <v>6499</v>
      </c>
      <c r="M14" s="2259">
        <v>36.362110445924017</v>
      </c>
    </row>
    <row r="15" spans="1:13" s="2276" customFormat="1" ht="15.75" customHeight="1">
      <c r="A15" s="3990" t="s">
        <v>3674</v>
      </c>
      <c r="B15" s="3990"/>
      <c r="C15" s="3990"/>
      <c r="D15" s="3990"/>
      <c r="E15" s="3990"/>
      <c r="F15" s="3990"/>
      <c r="G15" s="3990"/>
      <c r="H15" s="3990"/>
      <c r="I15" s="3990"/>
      <c r="J15" s="3990"/>
      <c r="K15" s="3990"/>
      <c r="L15" s="3990"/>
      <c r="M15" s="3990"/>
    </row>
    <row r="16" spans="1:13" s="2499" customFormat="1" ht="15.75" customHeight="1">
      <c r="A16" s="3991" t="s">
        <v>3729</v>
      </c>
      <c r="B16" s="3991"/>
      <c r="C16" s="3991"/>
      <c r="D16" s="3991"/>
      <c r="E16" s="3991"/>
      <c r="F16" s="3991"/>
      <c r="G16" s="3991"/>
      <c r="H16" s="3991"/>
      <c r="I16" s="3991"/>
      <c r="J16" s="3991"/>
      <c r="K16" s="3991"/>
      <c r="L16" s="3991"/>
      <c r="M16" s="3991"/>
    </row>
    <row r="17" spans="1:13" s="849" customFormat="1">
      <c r="A17" s="3991" t="s">
        <v>3730</v>
      </c>
      <c r="B17" s="3991"/>
      <c r="C17" s="3991"/>
      <c r="D17" s="3991"/>
      <c r="E17" s="3991"/>
      <c r="F17" s="3991"/>
      <c r="G17" s="3991"/>
      <c r="H17" s="3991"/>
      <c r="I17" s="3991"/>
      <c r="J17" s="3991"/>
      <c r="K17" s="3991"/>
      <c r="L17" s="3991"/>
      <c r="M17" s="3991"/>
    </row>
  </sheetData>
  <mergeCells count="13">
    <mergeCell ref="A15:M15"/>
    <mergeCell ref="A16:M16"/>
    <mergeCell ref="A17:M17"/>
    <mergeCell ref="A1:M1"/>
    <mergeCell ref="A2:A4"/>
    <mergeCell ref="B2:E2"/>
    <mergeCell ref="F2:I2"/>
    <mergeCell ref="J2:K3"/>
    <mergeCell ref="L2:M3"/>
    <mergeCell ref="B3:C3"/>
    <mergeCell ref="D3:E3"/>
    <mergeCell ref="F3:G3"/>
    <mergeCell ref="H3:I3"/>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80" firstPageNumber="262" orientation="landscape" r:id="rId1"/>
  <headerFooter differentOddEven="1" scaleWithDoc="0">
    <oddHeader>&amp;L&amp;"Times New Roman,標準"&amp;8 107&amp;"標楷體,標準"年犯罪狀況及其分析</oddHeader>
    <evenHeader>&amp;R&amp;"標楷體,標準"&amp;8第四篇　特定類型犯罪者之犯罪趨勢與處遇</evenHead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H15"/>
  <sheetViews>
    <sheetView showGridLines="0" zoomScaleNormal="100" zoomScalePageLayoutView="150" workbookViewId="0">
      <selection activeCell="A18" sqref="A18:H18"/>
    </sheetView>
  </sheetViews>
  <sheetFormatPr defaultColWidth="11" defaultRowHeight="15.75"/>
  <cols>
    <col min="1" max="1" width="10" style="2500" customWidth="1"/>
    <col min="2" max="5" width="13.625" style="2500" customWidth="1"/>
    <col min="6" max="7" width="15.625" style="2500" customWidth="1"/>
    <col min="8" max="8" width="13.625" style="2500" customWidth="1"/>
    <col min="9" max="16384" width="11" style="2500"/>
  </cols>
  <sheetData>
    <row r="1" spans="1:8" ht="27.75" customHeight="1">
      <c r="A1" s="2930" t="s">
        <v>3731</v>
      </c>
      <c r="B1" s="2930"/>
      <c r="C1" s="2930"/>
      <c r="D1" s="2930"/>
      <c r="E1" s="2930"/>
      <c r="F1" s="2930"/>
      <c r="G1" s="2930"/>
      <c r="H1" s="2930"/>
    </row>
    <row r="2" spans="1:8" ht="18.75" customHeight="1">
      <c r="A2" s="4062" t="s">
        <v>3732</v>
      </c>
      <c r="B2" s="2501" t="s">
        <v>3733</v>
      </c>
      <c r="C2" s="4064" t="s">
        <v>3734</v>
      </c>
      <c r="D2" s="4064"/>
      <c r="E2" s="4065"/>
      <c r="F2" s="4064" t="s">
        <v>3735</v>
      </c>
      <c r="G2" s="4064"/>
      <c r="H2" s="4065"/>
    </row>
    <row r="3" spans="1:8" ht="18.75" customHeight="1">
      <c r="A3" s="4063"/>
      <c r="B3" s="2502" t="s">
        <v>3736</v>
      </c>
      <c r="C3" s="2503" t="s">
        <v>3737</v>
      </c>
      <c r="D3" s="2503" t="s">
        <v>3738</v>
      </c>
      <c r="E3" s="2503" t="s">
        <v>3739</v>
      </c>
      <c r="F3" s="2503" t="s">
        <v>3740</v>
      </c>
      <c r="G3" s="2503" t="s">
        <v>3741</v>
      </c>
      <c r="H3" s="2504" t="s">
        <v>3742</v>
      </c>
    </row>
    <row r="4" spans="1:8" ht="24.95" customHeight="1">
      <c r="A4" s="2505" t="s">
        <v>3743</v>
      </c>
      <c r="B4" s="2506">
        <v>8724</v>
      </c>
      <c r="C4" s="2507">
        <v>8757</v>
      </c>
      <c r="D4" s="2507">
        <v>4437</v>
      </c>
      <c r="E4" s="2508">
        <f t="shared" ref="E4:E10" si="0">D4/C4*100</f>
        <v>50.668036998972255</v>
      </c>
      <c r="F4" s="2507">
        <v>170370000</v>
      </c>
      <c r="G4" s="2507">
        <v>85803689</v>
      </c>
      <c r="H4" s="2508">
        <f t="shared" ref="H4:H10" si="1">G4/F4*100</f>
        <v>50.36314433292246</v>
      </c>
    </row>
    <row r="5" spans="1:8" ht="24.95" customHeight="1">
      <c r="A5" s="2505" t="s">
        <v>3744</v>
      </c>
      <c r="B5" s="2506">
        <v>12103</v>
      </c>
      <c r="C5" s="2507">
        <v>12154</v>
      </c>
      <c r="D5" s="2507">
        <v>5820</v>
      </c>
      <c r="E5" s="2508">
        <f t="shared" si="0"/>
        <v>47.885469804179692</v>
      </c>
      <c r="F5" s="2507">
        <v>237148004</v>
      </c>
      <c r="G5" s="2507">
        <v>113907474</v>
      </c>
      <c r="H5" s="2508">
        <f t="shared" si="1"/>
        <v>48.032229695679831</v>
      </c>
    </row>
    <row r="6" spans="1:8" ht="24.95" customHeight="1">
      <c r="A6" s="2505" t="s">
        <v>3745</v>
      </c>
      <c r="B6" s="2506">
        <v>18962</v>
      </c>
      <c r="C6" s="2507">
        <v>19053</v>
      </c>
      <c r="D6" s="2507">
        <v>6897</v>
      </c>
      <c r="E6" s="2508">
        <f t="shared" si="0"/>
        <v>36.199023775783338</v>
      </c>
      <c r="F6" s="2507">
        <v>377538000</v>
      </c>
      <c r="G6" s="2507">
        <v>134747710</v>
      </c>
      <c r="H6" s="2508">
        <f t="shared" si="1"/>
        <v>35.691164862874729</v>
      </c>
    </row>
    <row r="7" spans="1:8" ht="24.95" customHeight="1">
      <c r="A7" s="2505" t="s">
        <v>3746</v>
      </c>
      <c r="B7" s="2506">
        <v>28818</v>
      </c>
      <c r="C7" s="2507">
        <v>28924</v>
      </c>
      <c r="D7" s="2507">
        <v>9068</v>
      </c>
      <c r="E7" s="2508">
        <f t="shared" si="0"/>
        <v>31.351127091688564</v>
      </c>
      <c r="F7" s="2507">
        <v>602699004</v>
      </c>
      <c r="G7" s="2507">
        <v>177488138</v>
      </c>
      <c r="H7" s="2508">
        <f t="shared" si="1"/>
        <v>29.448885234925658</v>
      </c>
    </row>
    <row r="8" spans="1:8" ht="24.95" customHeight="1">
      <c r="A8" s="2509" t="s">
        <v>3747</v>
      </c>
      <c r="B8" s="2507">
        <v>21851</v>
      </c>
      <c r="C8" s="2507">
        <v>22047</v>
      </c>
      <c r="D8" s="2507">
        <v>5296</v>
      </c>
      <c r="E8" s="2508">
        <f t="shared" si="0"/>
        <v>24.021408808454662</v>
      </c>
      <c r="F8" s="2507">
        <v>463734008</v>
      </c>
      <c r="G8" s="2507">
        <v>103739612</v>
      </c>
      <c r="H8" s="2508">
        <f t="shared" si="1"/>
        <v>22.370499081447569</v>
      </c>
    </row>
    <row r="9" spans="1:8" ht="24.95" customHeight="1">
      <c r="A9" s="2509" t="s">
        <v>3748</v>
      </c>
      <c r="B9" s="2507">
        <v>25369</v>
      </c>
      <c r="C9" s="2507">
        <v>25525</v>
      </c>
      <c r="D9" s="2507">
        <v>3577</v>
      </c>
      <c r="E9" s="2510">
        <f t="shared" si="0"/>
        <v>14.013712047012733</v>
      </c>
      <c r="F9" s="2507">
        <v>540554002</v>
      </c>
      <c r="G9" s="2507">
        <v>73568649</v>
      </c>
      <c r="H9" s="2508">
        <f t="shared" si="1"/>
        <v>13.6098611291014</v>
      </c>
    </row>
    <row r="10" spans="1:8" ht="24.95" customHeight="1">
      <c r="A10" s="2509" t="s">
        <v>3749</v>
      </c>
      <c r="B10" s="2511">
        <v>17059</v>
      </c>
      <c r="C10" s="2507">
        <v>17299</v>
      </c>
      <c r="D10" s="2512">
        <v>1865</v>
      </c>
      <c r="E10" s="2510">
        <f t="shared" si="0"/>
        <v>10.780969998265796</v>
      </c>
      <c r="F10" s="2512">
        <v>369867002</v>
      </c>
      <c r="G10" s="2507">
        <v>41236652</v>
      </c>
      <c r="H10" s="2513">
        <f t="shared" si="1"/>
        <v>11.149048651817822</v>
      </c>
    </row>
    <row r="11" spans="1:8" ht="24.95" customHeight="1">
      <c r="A11" s="2509" t="s">
        <v>3750</v>
      </c>
      <c r="B11" s="2507">
        <v>15053</v>
      </c>
      <c r="C11" s="2507">
        <v>14143</v>
      </c>
      <c r="D11" s="2507">
        <v>1662</v>
      </c>
      <c r="E11" s="2510">
        <v>11.75</v>
      </c>
      <c r="F11" s="2507">
        <v>326749004</v>
      </c>
      <c r="G11" s="2507">
        <v>36058855</v>
      </c>
      <c r="H11" s="2508">
        <v>11.04</v>
      </c>
    </row>
    <row r="12" spans="1:8" ht="24.95" customHeight="1">
      <c r="A12" s="2509" t="s">
        <v>3751</v>
      </c>
      <c r="B12" s="2507">
        <v>16566</v>
      </c>
      <c r="C12" s="2507">
        <v>15159</v>
      </c>
      <c r="D12" s="2507">
        <v>1548</v>
      </c>
      <c r="E12" s="2510">
        <v>10.210000000000001</v>
      </c>
      <c r="F12" s="2507">
        <v>368199008</v>
      </c>
      <c r="G12" s="2507">
        <v>33915322</v>
      </c>
      <c r="H12" s="2508">
        <v>9.2100000000000009</v>
      </c>
    </row>
    <row r="13" spans="1:8" ht="24.95" customHeight="1">
      <c r="A13" s="2514" t="s">
        <v>3752</v>
      </c>
      <c r="B13" s="2515">
        <v>15548</v>
      </c>
      <c r="C13" s="2515">
        <v>13803</v>
      </c>
      <c r="D13" s="2515">
        <v>1885</v>
      </c>
      <c r="E13" s="2516">
        <v>13.66</v>
      </c>
      <c r="F13" s="2515">
        <v>403394900</v>
      </c>
      <c r="G13" s="2515">
        <v>42350081</v>
      </c>
      <c r="H13" s="2517">
        <v>10.5</v>
      </c>
    </row>
    <row r="14" spans="1:8">
      <c r="A14" s="4066" t="s">
        <v>3753</v>
      </c>
      <c r="B14" s="4066"/>
      <c r="C14" s="4067"/>
      <c r="D14" s="4067"/>
      <c r="E14" s="4067"/>
      <c r="F14" s="2518"/>
      <c r="G14" s="2518"/>
      <c r="H14" s="2518"/>
    </row>
    <row r="15" spans="1:8">
      <c r="A15" s="4059" t="s">
        <v>3754</v>
      </c>
      <c r="B15" s="4060"/>
      <c r="C15" s="4060"/>
      <c r="D15" s="4060"/>
      <c r="E15" s="4061"/>
      <c r="F15" s="4061"/>
      <c r="G15" s="4061"/>
      <c r="H15" s="2518"/>
    </row>
  </sheetData>
  <mergeCells count="6">
    <mergeCell ref="A15:G15"/>
    <mergeCell ref="A1:H1"/>
    <mergeCell ref="A2:A3"/>
    <mergeCell ref="C2:E2"/>
    <mergeCell ref="F2:H2"/>
    <mergeCell ref="A14:E14"/>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87" firstPageNumber="262" orientation="landscape" r:id="rId1"/>
  <headerFooter differentOddEven="1" scaleWithDoc="0">
    <oddHeader>&amp;L&amp;"Times New Roman,標準"&amp;8 107&amp;"標楷體,標準"年犯罪狀況及其分析</oddHeader>
    <evenHeader>&amp;R&amp;"標楷體,標準"&amp;8第四篇　特定類型犯罪者之犯罪趨勢與處遇</evenHead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M16"/>
  <sheetViews>
    <sheetView showGridLines="0" zoomScaleNormal="100" workbookViewId="0">
      <selection activeCell="A18" sqref="A18:H18"/>
    </sheetView>
  </sheetViews>
  <sheetFormatPr defaultRowHeight="15.75"/>
  <cols>
    <col min="1" max="1" width="23.25" style="2413" customWidth="1"/>
    <col min="2" max="256" width="9" style="2413"/>
    <col min="257" max="257" width="23.25" style="2413" customWidth="1"/>
    <col min="258" max="512" width="9" style="2413"/>
    <col min="513" max="513" width="23.25" style="2413" customWidth="1"/>
    <col min="514" max="768" width="9" style="2413"/>
    <col min="769" max="769" width="23.25" style="2413" customWidth="1"/>
    <col min="770" max="1024" width="9" style="2413"/>
    <col min="1025" max="1025" width="23.25" style="2413" customWidth="1"/>
    <col min="1026" max="1280" width="9" style="2413"/>
    <col min="1281" max="1281" width="23.25" style="2413" customWidth="1"/>
    <col min="1282" max="1536" width="9" style="2413"/>
    <col min="1537" max="1537" width="23.25" style="2413" customWidth="1"/>
    <col min="1538" max="1792" width="9" style="2413"/>
    <col min="1793" max="1793" width="23.25" style="2413" customWidth="1"/>
    <col min="1794" max="2048" width="9" style="2413"/>
    <col min="2049" max="2049" width="23.25" style="2413" customWidth="1"/>
    <col min="2050" max="2304" width="9" style="2413"/>
    <col min="2305" max="2305" width="23.25" style="2413" customWidth="1"/>
    <col min="2306" max="2560" width="9" style="2413"/>
    <col min="2561" max="2561" width="23.25" style="2413" customWidth="1"/>
    <col min="2562" max="2816" width="9" style="2413"/>
    <col min="2817" max="2817" width="23.25" style="2413" customWidth="1"/>
    <col min="2818" max="3072" width="9" style="2413"/>
    <col min="3073" max="3073" width="23.25" style="2413" customWidth="1"/>
    <col min="3074" max="3328" width="9" style="2413"/>
    <col min="3329" max="3329" width="23.25" style="2413" customWidth="1"/>
    <col min="3330" max="3584" width="9" style="2413"/>
    <col min="3585" max="3585" width="23.25" style="2413" customWidth="1"/>
    <col min="3586" max="3840" width="9" style="2413"/>
    <col min="3841" max="3841" width="23.25" style="2413" customWidth="1"/>
    <col min="3842" max="4096" width="9" style="2413"/>
    <col min="4097" max="4097" width="23.25" style="2413" customWidth="1"/>
    <col min="4098" max="4352" width="9" style="2413"/>
    <col min="4353" max="4353" width="23.25" style="2413" customWidth="1"/>
    <col min="4354" max="4608" width="9" style="2413"/>
    <col min="4609" max="4609" width="23.25" style="2413" customWidth="1"/>
    <col min="4610" max="4864" width="9" style="2413"/>
    <col min="4865" max="4865" width="23.25" style="2413" customWidth="1"/>
    <col min="4866" max="5120" width="9" style="2413"/>
    <col min="5121" max="5121" width="23.25" style="2413" customWidth="1"/>
    <col min="5122" max="5376" width="9" style="2413"/>
    <col min="5377" max="5377" width="23.25" style="2413" customWidth="1"/>
    <col min="5378" max="5632" width="9" style="2413"/>
    <col min="5633" max="5633" width="23.25" style="2413" customWidth="1"/>
    <col min="5634" max="5888" width="9" style="2413"/>
    <col min="5889" max="5889" width="23.25" style="2413" customWidth="1"/>
    <col min="5890" max="6144" width="9" style="2413"/>
    <col min="6145" max="6145" width="23.25" style="2413" customWidth="1"/>
    <col min="6146" max="6400" width="9" style="2413"/>
    <col min="6401" max="6401" width="23.25" style="2413" customWidth="1"/>
    <col min="6402" max="6656" width="9" style="2413"/>
    <col min="6657" max="6657" width="23.25" style="2413" customWidth="1"/>
    <col min="6658" max="6912" width="9" style="2413"/>
    <col min="6913" max="6913" width="23.25" style="2413" customWidth="1"/>
    <col min="6914" max="7168" width="9" style="2413"/>
    <col min="7169" max="7169" width="23.25" style="2413" customWidth="1"/>
    <col min="7170" max="7424" width="9" style="2413"/>
    <col min="7425" max="7425" width="23.25" style="2413" customWidth="1"/>
    <col min="7426" max="7680" width="9" style="2413"/>
    <col min="7681" max="7681" width="23.25" style="2413" customWidth="1"/>
    <col min="7682" max="7936" width="9" style="2413"/>
    <col min="7937" max="7937" width="23.25" style="2413" customWidth="1"/>
    <col min="7938" max="8192" width="9" style="2413"/>
    <col min="8193" max="8193" width="23.25" style="2413" customWidth="1"/>
    <col min="8194" max="8448" width="9" style="2413"/>
    <col min="8449" max="8449" width="23.25" style="2413" customWidth="1"/>
    <col min="8450" max="8704" width="9" style="2413"/>
    <col min="8705" max="8705" width="23.25" style="2413" customWidth="1"/>
    <col min="8706" max="8960" width="9" style="2413"/>
    <col min="8961" max="8961" width="23.25" style="2413" customWidth="1"/>
    <col min="8962" max="9216" width="9" style="2413"/>
    <col min="9217" max="9217" width="23.25" style="2413" customWidth="1"/>
    <col min="9218" max="9472" width="9" style="2413"/>
    <col min="9473" max="9473" width="23.25" style="2413" customWidth="1"/>
    <col min="9474" max="9728" width="9" style="2413"/>
    <col min="9729" max="9729" width="23.25" style="2413" customWidth="1"/>
    <col min="9730" max="9984" width="9" style="2413"/>
    <col min="9985" max="9985" width="23.25" style="2413" customWidth="1"/>
    <col min="9986" max="10240" width="9" style="2413"/>
    <col min="10241" max="10241" width="23.25" style="2413" customWidth="1"/>
    <col min="10242" max="10496" width="9" style="2413"/>
    <col min="10497" max="10497" width="23.25" style="2413" customWidth="1"/>
    <col min="10498" max="10752" width="9" style="2413"/>
    <col min="10753" max="10753" width="23.25" style="2413" customWidth="1"/>
    <col min="10754" max="11008" width="9" style="2413"/>
    <col min="11009" max="11009" width="23.25" style="2413" customWidth="1"/>
    <col min="11010" max="11264" width="9" style="2413"/>
    <col min="11265" max="11265" width="23.25" style="2413" customWidth="1"/>
    <col min="11266" max="11520" width="9" style="2413"/>
    <col min="11521" max="11521" width="23.25" style="2413" customWidth="1"/>
    <col min="11522" max="11776" width="9" style="2413"/>
    <col min="11777" max="11777" width="23.25" style="2413" customWidth="1"/>
    <col min="11778" max="12032" width="9" style="2413"/>
    <col min="12033" max="12033" width="23.25" style="2413" customWidth="1"/>
    <col min="12034" max="12288" width="9" style="2413"/>
    <col min="12289" max="12289" width="23.25" style="2413" customWidth="1"/>
    <col min="12290" max="12544" width="9" style="2413"/>
    <col min="12545" max="12545" width="23.25" style="2413" customWidth="1"/>
    <col min="12546" max="12800" width="9" style="2413"/>
    <col min="12801" max="12801" width="23.25" style="2413" customWidth="1"/>
    <col min="12802" max="13056" width="9" style="2413"/>
    <col min="13057" max="13057" width="23.25" style="2413" customWidth="1"/>
    <col min="13058" max="13312" width="9" style="2413"/>
    <col min="13313" max="13313" width="23.25" style="2413" customWidth="1"/>
    <col min="13314" max="13568" width="9" style="2413"/>
    <col min="13569" max="13569" width="23.25" style="2413" customWidth="1"/>
    <col min="13570" max="13824" width="9" style="2413"/>
    <col min="13825" max="13825" width="23.25" style="2413" customWidth="1"/>
    <col min="13826" max="14080" width="9" style="2413"/>
    <col min="14081" max="14081" width="23.25" style="2413" customWidth="1"/>
    <col min="14082" max="14336" width="9" style="2413"/>
    <col min="14337" max="14337" width="23.25" style="2413" customWidth="1"/>
    <col min="14338" max="14592" width="9" style="2413"/>
    <col min="14593" max="14593" width="23.25" style="2413" customWidth="1"/>
    <col min="14594" max="14848" width="9" style="2413"/>
    <col min="14849" max="14849" width="23.25" style="2413" customWidth="1"/>
    <col min="14850" max="15104" width="9" style="2413"/>
    <col min="15105" max="15105" width="23.25" style="2413" customWidth="1"/>
    <col min="15106" max="15360" width="9" style="2413"/>
    <col min="15361" max="15361" width="23.25" style="2413" customWidth="1"/>
    <col min="15362" max="15616" width="9" style="2413"/>
    <col min="15617" max="15617" width="23.25" style="2413" customWidth="1"/>
    <col min="15618" max="15872" width="9" style="2413"/>
    <col min="15873" max="15873" width="23.25" style="2413" customWidth="1"/>
    <col min="15874" max="16128" width="9" style="2413"/>
    <col min="16129" max="16129" width="23.25" style="2413" customWidth="1"/>
    <col min="16130" max="16384" width="9" style="2413"/>
  </cols>
  <sheetData>
    <row r="1" spans="1:39" s="2412" customFormat="1" ht="30.6" customHeight="1">
      <c r="A1" s="4068" t="s">
        <v>3755</v>
      </c>
      <c r="B1" s="4068"/>
      <c r="C1" s="4068"/>
      <c r="D1" s="4068"/>
      <c r="E1" s="4068"/>
      <c r="F1" s="4068"/>
      <c r="G1" s="4068"/>
      <c r="H1" s="4068"/>
      <c r="I1" s="4068"/>
      <c r="J1" s="4068"/>
      <c r="K1" s="4068"/>
      <c r="L1" s="2519"/>
      <c r="M1" s="2519"/>
      <c r="N1" s="2519"/>
      <c r="O1" s="2519"/>
      <c r="P1" s="2519"/>
      <c r="Q1" s="2519"/>
      <c r="R1" s="2519"/>
      <c r="S1" s="2519"/>
      <c r="T1" s="2519"/>
      <c r="U1" s="2519"/>
      <c r="V1" s="2519"/>
      <c r="W1" s="2519"/>
      <c r="X1" s="2519"/>
      <c r="Y1" s="2519"/>
      <c r="Z1" s="2519"/>
      <c r="AA1" s="2519"/>
      <c r="AB1" s="2519"/>
      <c r="AC1" s="2519"/>
      <c r="AD1" s="2519"/>
      <c r="AE1" s="2519"/>
      <c r="AF1" s="2519"/>
      <c r="AG1" s="2519"/>
      <c r="AH1" s="2519"/>
      <c r="AI1" s="2519"/>
      <c r="AJ1" s="2519"/>
      <c r="AK1" s="2519"/>
      <c r="AL1" s="2519"/>
      <c r="AM1" s="2519"/>
    </row>
    <row r="2" spans="1:39" ht="34.5" customHeight="1">
      <c r="A2" s="3962" t="s">
        <v>3756</v>
      </c>
      <c r="B2" s="3964" t="s">
        <v>3757</v>
      </c>
      <c r="C2" s="3964"/>
      <c r="D2" s="3966" t="s">
        <v>1064</v>
      </c>
      <c r="E2" s="3964"/>
      <c r="F2" s="3966" t="s">
        <v>1065</v>
      </c>
      <c r="G2" s="3964"/>
      <c r="H2" s="3966" t="s">
        <v>1066</v>
      </c>
      <c r="I2" s="3964"/>
      <c r="J2" s="3966" t="s">
        <v>1067</v>
      </c>
      <c r="K2" s="3964"/>
    </row>
    <row r="3" spans="1:39" ht="34.5" customHeight="1">
      <c r="A3" s="3963"/>
      <c r="B3" s="2485" t="s">
        <v>1189</v>
      </c>
      <c r="C3" s="2306" t="s">
        <v>0</v>
      </c>
      <c r="D3" s="2486" t="s">
        <v>1189</v>
      </c>
      <c r="E3" s="2306" t="s">
        <v>0</v>
      </c>
      <c r="F3" s="2486" t="s">
        <v>1189</v>
      </c>
      <c r="G3" s="2306" t="s">
        <v>0</v>
      </c>
      <c r="H3" s="2486" t="s">
        <v>1189</v>
      </c>
      <c r="I3" s="2306" t="s">
        <v>0</v>
      </c>
      <c r="J3" s="2486" t="s">
        <v>1189</v>
      </c>
      <c r="K3" s="2306" t="s">
        <v>0</v>
      </c>
    </row>
    <row r="4" spans="1:39" ht="27" customHeight="1">
      <c r="A4" s="2314" t="s">
        <v>3758</v>
      </c>
      <c r="B4" s="2520">
        <v>1147</v>
      </c>
      <c r="C4" s="2521">
        <v>100</v>
      </c>
      <c r="D4" s="2520">
        <v>1327</v>
      </c>
      <c r="E4" s="2521">
        <v>99.999999999999986</v>
      </c>
      <c r="F4" s="2520">
        <v>1835</v>
      </c>
      <c r="G4" s="2521">
        <v>100</v>
      </c>
      <c r="H4" s="2520">
        <v>2072</v>
      </c>
      <c r="I4" s="2521">
        <v>100</v>
      </c>
      <c r="J4" s="2520">
        <v>2255</v>
      </c>
      <c r="K4" s="2521">
        <v>100</v>
      </c>
    </row>
    <row r="5" spans="1:39" ht="27" customHeight="1">
      <c r="A5" s="2314" t="s">
        <v>3759</v>
      </c>
      <c r="B5" s="2520">
        <v>506</v>
      </c>
      <c r="C5" s="2521">
        <v>44.12</v>
      </c>
      <c r="D5" s="2520">
        <v>634</v>
      </c>
      <c r="E5" s="2521">
        <v>47.776940467219291</v>
      </c>
      <c r="F5" s="2520">
        <v>1008</v>
      </c>
      <c r="G5" s="2521">
        <v>54.931880108991827</v>
      </c>
      <c r="H5" s="2520">
        <v>1149</v>
      </c>
      <c r="I5" s="2521">
        <v>55.453667953667953</v>
      </c>
      <c r="J5" s="2520">
        <v>1186</v>
      </c>
      <c r="K5" s="2521">
        <v>52.59423503325943</v>
      </c>
    </row>
    <row r="6" spans="1:39" ht="27" customHeight="1">
      <c r="A6" s="2314" t="s">
        <v>3760</v>
      </c>
      <c r="B6" s="2520">
        <v>224</v>
      </c>
      <c r="C6" s="2521">
        <v>19.53</v>
      </c>
      <c r="D6" s="2520">
        <v>230</v>
      </c>
      <c r="E6" s="2521">
        <v>17.33232856066315</v>
      </c>
      <c r="F6" s="2520">
        <v>286</v>
      </c>
      <c r="G6" s="2521">
        <v>15.5858310626703</v>
      </c>
      <c r="H6" s="2520">
        <v>348</v>
      </c>
      <c r="I6" s="2521">
        <v>16.795366795366796</v>
      </c>
      <c r="J6" s="2520">
        <v>408</v>
      </c>
      <c r="K6" s="2521">
        <v>18.093126385809313</v>
      </c>
    </row>
    <row r="7" spans="1:39" ht="27" customHeight="1">
      <c r="A7" s="2314" t="s">
        <v>3761</v>
      </c>
      <c r="B7" s="2520">
        <v>130</v>
      </c>
      <c r="C7" s="2521">
        <v>11.33</v>
      </c>
      <c r="D7" s="2520">
        <v>121</v>
      </c>
      <c r="E7" s="2521">
        <v>9.1183119819140916</v>
      </c>
      <c r="F7" s="2520">
        <v>168</v>
      </c>
      <c r="G7" s="2521">
        <v>9.1553133514986378</v>
      </c>
      <c r="H7" s="2520">
        <v>173</v>
      </c>
      <c r="I7" s="2521">
        <v>8.3494208494208486</v>
      </c>
      <c r="J7" s="2520">
        <v>224</v>
      </c>
      <c r="K7" s="2521">
        <v>9.9334811529933482</v>
      </c>
    </row>
    <row r="8" spans="1:39" ht="27" customHeight="1">
      <c r="A8" s="2314" t="s">
        <v>3762</v>
      </c>
      <c r="B8" s="2520">
        <v>58</v>
      </c>
      <c r="C8" s="2521">
        <v>5.0599999999999996</v>
      </c>
      <c r="D8" s="2520">
        <v>93</v>
      </c>
      <c r="E8" s="2521">
        <v>7.0082893745290127</v>
      </c>
      <c r="F8" s="2520">
        <v>117</v>
      </c>
      <c r="G8" s="2521">
        <v>6.3760217983651222</v>
      </c>
      <c r="H8" s="2520">
        <v>130</v>
      </c>
      <c r="I8" s="2521">
        <v>6.2741312741312738</v>
      </c>
      <c r="J8" s="2520">
        <v>137</v>
      </c>
      <c r="K8" s="2521">
        <v>6.0753880266075386</v>
      </c>
    </row>
    <row r="9" spans="1:39" ht="27" customHeight="1">
      <c r="A9" s="2314" t="s">
        <v>3763</v>
      </c>
      <c r="B9" s="2520">
        <v>25</v>
      </c>
      <c r="C9" s="2521">
        <v>2.1800000000000002</v>
      </c>
      <c r="D9" s="2520">
        <v>35</v>
      </c>
      <c r="E9" s="2521">
        <v>2.6375282592313489</v>
      </c>
      <c r="F9" s="2520">
        <v>35</v>
      </c>
      <c r="G9" s="2521">
        <v>1.9073569482288828</v>
      </c>
      <c r="H9" s="2520">
        <v>48</v>
      </c>
      <c r="I9" s="2521">
        <v>2.3166023166023164</v>
      </c>
      <c r="J9" s="2520">
        <v>89</v>
      </c>
      <c r="K9" s="2521">
        <v>3.9467849223946785</v>
      </c>
    </row>
    <row r="10" spans="1:39" ht="27" customHeight="1">
      <c r="A10" s="2314" t="s">
        <v>3764</v>
      </c>
      <c r="B10" s="2520">
        <v>41</v>
      </c>
      <c r="C10" s="2521">
        <v>3.57</v>
      </c>
      <c r="D10" s="2520">
        <v>47</v>
      </c>
      <c r="E10" s="2521">
        <v>3.541823662396383</v>
      </c>
      <c r="F10" s="2520">
        <v>31</v>
      </c>
      <c r="G10" s="2521">
        <v>1.6893732970027249</v>
      </c>
      <c r="H10" s="2520">
        <v>34</v>
      </c>
      <c r="I10" s="2521">
        <v>1.6409266409266408</v>
      </c>
      <c r="J10" s="2520">
        <v>52</v>
      </c>
      <c r="K10" s="2521">
        <v>2.3059866962305988</v>
      </c>
    </row>
    <row r="11" spans="1:39" ht="27" customHeight="1">
      <c r="A11" s="2314" t="s">
        <v>3765</v>
      </c>
      <c r="B11" s="2520">
        <v>11</v>
      </c>
      <c r="C11" s="2521">
        <v>0.96</v>
      </c>
      <c r="D11" s="2520">
        <v>12</v>
      </c>
      <c r="E11" s="2521">
        <v>0.90429540316503387</v>
      </c>
      <c r="F11" s="2520">
        <v>22</v>
      </c>
      <c r="G11" s="2521">
        <v>1.1989100817438691</v>
      </c>
      <c r="H11" s="2520">
        <v>9</v>
      </c>
      <c r="I11" s="2521">
        <v>0.43436293436293438</v>
      </c>
      <c r="J11" s="2520">
        <v>13</v>
      </c>
      <c r="K11" s="2521">
        <v>0.57649667405764971</v>
      </c>
    </row>
    <row r="12" spans="1:39" ht="27" customHeight="1">
      <c r="A12" s="2314" t="s">
        <v>3766</v>
      </c>
      <c r="B12" s="2520">
        <v>19</v>
      </c>
      <c r="C12" s="2521">
        <v>1.66</v>
      </c>
      <c r="D12" s="2520">
        <v>10</v>
      </c>
      <c r="E12" s="2521">
        <v>0.75357950263752826</v>
      </c>
      <c r="F12" s="2520">
        <v>18</v>
      </c>
      <c r="G12" s="2521">
        <v>0.98092643051771122</v>
      </c>
      <c r="H12" s="2520">
        <v>15</v>
      </c>
      <c r="I12" s="2521">
        <v>0.72393822393822393</v>
      </c>
      <c r="J12" s="2520">
        <v>11</v>
      </c>
      <c r="K12" s="2521">
        <v>0.48780487804878048</v>
      </c>
    </row>
    <row r="13" spans="1:39" ht="27" customHeight="1">
      <c r="A13" s="2314" t="s">
        <v>3767</v>
      </c>
      <c r="B13" s="2520">
        <v>19</v>
      </c>
      <c r="C13" s="2521">
        <v>1.66</v>
      </c>
      <c r="D13" s="2520">
        <v>3</v>
      </c>
      <c r="E13" s="2521">
        <v>0.22607385079125847</v>
      </c>
      <c r="F13" s="2520">
        <v>8</v>
      </c>
      <c r="G13" s="2521">
        <v>0.43596730245231607</v>
      </c>
      <c r="H13" s="2520">
        <v>4</v>
      </c>
      <c r="I13" s="2521">
        <v>0.19305019305019305</v>
      </c>
      <c r="J13" s="2520">
        <v>9</v>
      </c>
      <c r="K13" s="2521">
        <v>0.3991130820399113</v>
      </c>
    </row>
    <row r="14" spans="1:39" ht="27" customHeight="1">
      <c r="A14" s="2325" t="s">
        <v>3768</v>
      </c>
      <c r="B14" s="2522">
        <v>114</v>
      </c>
      <c r="C14" s="2523">
        <v>9.94</v>
      </c>
      <c r="D14" s="2522">
        <v>142</v>
      </c>
      <c r="E14" s="2523">
        <v>10.700828937452901</v>
      </c>
      <c r="F14" s="2522">
        <v>142</v>
      </c>
      <c r="G14" s="2523">
        <v>7.7384196185286109</v>
      </c>
      <c r="H14" s="2522">
        <v>162</v>
      </c>
      <c r="I14" s="2523">
        <v>7.8185328185328178</v>
      </c>
      <c r="J14" s="2522">
        <v>126</v>
      </c>
      <c r="K14" s="2523">
        <v>5.5875831485587586</v>
      </c>
    </row>
    <row r="15" spans="1:39" s="2425" customFormat="1" ht="14.25">
      <c r="A15" s="2424" t="s">
        <v>1659</v>
      </c>
    </row>
    <row r="16" spans="1:39" s="2425" customFormat="1" ht="14.25">
      <c r="A16" s="2425" t="s">
        <v>3769</v>
      </c>
    </row>
  </sheetData>
  <mergeCells count="7">
    <mergeCell ref="A1:K1"/>
    <mergeCell ref="A2:A3"/>
    <mergeCell ref="B2:C2"/>
    <mergeCell ref="D2:E2"/>
    <mergeCell ref="F2:G2"/>
    <mergeCell ref="H2:I2"/>
    <mergeCell ref="J2:K2"/>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77" firstPageNumber="262" orientation="landscape" r:id="rId1"/>
  <headerFooter differentOddEven="1" scaleWithDoc="0">
    <oddHeader>&amp;L&amp;"Times New Roman,標準"&amp;8 107&amp;"標楷體,標準"年犯罪狀況及其分析</oddHeader>
    <evenHeader>&amp;R&amp;"標楷體,標準"&amp;8第四篇　特定類型犯罪者之犯罪趨勢與處遇</evenHead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L27"/>
  <sheetViews>
    <sheetView showGridLines="0" zoomScaleNormal="100" workbookViewId="0">
      <selection activeCell="A18" sqref="A18:H18"/>
    </sheetView>
  </sheetViews>
  <sheetFormatPr defaultRowHeight="15.75"/>
  <cols>
    <col min="1" max="1" width="35.375" style="2413" customWidth="1"/>
    <col min="2" max="2" width="16" style="2413" customWidth="1"/>
    <col min="3" max="3" width="13.375" style="2413" customWidth="1"/>
    <col min="4" max="4" width="16" style="2413" customWidth="1"/>
    <col min="5" max="5" width="13.375" style="2413" customWidth="1"/>
    <col min="6" max="6" width="16" style="2413" customWidth="1"/>
    <col min="7" max="7" width="13.375" style="2413" customWidth="1"/>
    <col min="8" max="256" width="9" style="2413"/>
    <col min="257" max="257" width="35.375" style="2413" customWidth="1"/>
    <col min="258" max="258" width="16" style="2413" customWidth="1"/>
    <col min="259" max="259" width="13.375" style="2413" customWidth="1"/>
    <col min="260" max="260" width="16" style="2413" customWidth="1"/>
    <col min="261" max="261" width="13.375" style="2413" customWidth="1"/>
    <col min="262" max="262" width="16" style="2413" customWidth="1"/>
    <col min="263" max="263" width="13.375" style="2413" customWidth="1"/>
    <col min="264" max="512" width="9" style="2413"/>
    <col min="513" max="513" width="35.375" style="2413" customWidth="1"/>
    <col min="514" max="514" width="16" style="2413" customWidth="1"/>
    <col min="515" max="515" width="13.375" style="2413" customWidth="1"/>
    <col min="516" max="516" width="16" style="2413" customWidth="1"/>
    <col min="517" max="517" width="13.375" style="2413" customWidth="1"/>
    <col min="518" max="518" width="16" style="2413" customWidth="1"/>
    <col min="519" max="519" width="13.375" style="2413" customWidth="1"/>
    <col min="520" max="768" width="9" style="2413"/>
    <col min="769" max="769" width="35.375" style="2413" customWidth="1"/>
    <col min="770" max="770" width="16" style="2413" customWidth="1"/>
    <col min="771" max="771" width="13.375" style="2413" customWidth="1"/>
    <col min="772" max="772" width="16" style="2413" customWidth="1"/>
    <col min="773" max="773" width="13.375" style="2413" customWidth="1"/>
    <col min="774" max="774" width="16" style="2413" customWidth="1"/>
    <col min="775" max="775" width="13.375" style="2413" customWidth="1"/>
    <col min="776" max="1024" width="9" style="2413"/>
    <col min="1025" max="1025" width="35.375" style="2413" customWidth="1"/>
    <col min="1026" max="1026" width="16" style="2413" customWidth="1"/>
    <col min="1027" max="1027" width="13.375" style="2413" customWidth="1"/>
    <col min="1028" max="1028" width="16" style="2413" customWidth="1"/>
    <col min="1029" max="1029" width="13.375" style="2413" customWidth="1"/>
    <col min="1030" max="1030" width="16" style="2413" customWidth="1"/>
    <col min="1031" max="1031" width="13.375" style="2413" customWidth="1"/>
    <col min="1032" max="1280" width="9" style="2413"/>
    <col min="1281" max="1281" width="35.375" style="2413" customWidth="1"/>
    <col min="1282" max="1282" width="16" style="2413" customWidth="1"/>
    <col min="1283" max="1283" width="13.375" style="2413" customWidth="1"/>
    <col min="1284" max="1284" width="16" style="2413" customWidth="1"/>
    <col min="1285" max="1285" width="13.375" style="2413" customWidth="1"/>
    <col min="1286" max="1286" width="16" style="2413" customWidth="1"/>
    <col min="1287" max="1287" width="13.375" style="2413" customWidth="1"/>
    <col min="1288" max="1536" width="9" style="2413"/>
    <col min="1537" max="1537" width="35.375" style="2413" customWidth="1"/>
    <col min="1538" max="1538" width="16" style="2413" customWidth="1"/>
    <col min="1539" max="1539" width="13.375" style="2413" customWidth="1"/>
    <col min="1540" max="1540" width="16" style="2413" customWidth="1"/>
    <col min="1541" max="1541" width="13.375" style="2413" customWidth="1"/>
    <col min="1542" max="1542" width="16" style="2413" customWidth="1"/>
    <col min="1543" max="1543" width="13.375" style="2413" customWidth="1"/>
    <col min="1544" max="1792" width="9" style="2413"/>
    <col min="1793" max="1793" width="35.375" style="2413" customWidth="1"/>
    <col min="1794" max="1794" width="16" style="2413" customWidth="1"/>
    <col min="1795" max="1795" width="13.375" style="2413" customWidth="1"/>
    <col min="1796" max="1796" width="16" style="2413" customWidth="1"/>
    <col min="1797" max="1797" width="13.375" style="2413" customWidth="1"/>
    <col min="1798" max="1798" width="16" style="2413" customWidth="1"/>
    <col min="1799" max="1799" width="13.375" style="2413" customWidth="1"/>
    <col min="1800" max="2048" width="9" style="2413"/>
    <col min="2049" max="2049" width="35.375" style="2413" customWidth="1"/>
    <col min="2050" max="2050" width="16" style="2413" customWidth="1"/>
    <col min="2051" max="2051" width="13.375" style="2413" customWidth="1"/>
    <col min="2052" max="2052" width="16" style="2413" customWidth="1"/>
    <col min="2053" max="2053" width="13.375" style="2413" customWidth="1"/>
    <col min="2054" max="2054" width="16" style="2413" customWidth="1"/>
    <col min="2055" max="2055" width="13.375" style="2413" customWidth="1"/>
    <col min="2056" max="2304" width="9" style="2413"/>
    <col min="2305" max="2305" width="35.375" style="2413" customWidth="1"/>
    <col min="2306" max="2306" width="16" style="2413" customWidth="1"/>
    <col min="2307" max="2307" width="13.375" style="2413" customWidth="1"/>
    <col min="2308" max="2308" width="16" style="2413" customWidth="1"/>
    <col min="2309" max="2309" width="13.375" style="2413" customWidth="1"/>
    <col min="2310" max="2310" width="16" style="2413" customWidth="1"/>
    <col min="2311" max="2311" width="13.375" style="2413" customWidth="1"/>
    <col min="2312" max="2560" width="9" style="2413"/>
    <col min="2561" max="2561" width="35.375" style="2413" customWidth="1"/>
    <col min="2562" max="2562" width="16" style="2413" customWidth="1"/>
    <col min="2563" max="2563" width="13.375" style="2413" customWidth="1"/>
    <col min="2564" max="2564" width="16" style="2413" customWidth="1"/>
    <col min="2565" max="2565" width="13.375" style="2413" customWidth="1"/>
    <col min="2566" max="2566" width="16" style="2413" customWidth="1"/>
    <col min="2567" max="2567" width="13.375" style="2413" customWidth="1"/>
    <col min="2568" max="2816" width="9" style="2413"/>
    <col min="2817" max="2817" width="35.375" style="2413" customWidth="1"/>
    <col min="2818" max="2818" width="16" style="2413" customWidth="1"/>
    <col min="2819" max="2819" width="13.375" style="2413" customWidth="1"/>
    <col min="2820" max="2820" width="16" style="2413" customWidth="1"/>
    <col min="2821" max="2821" width="13.375" style="2413" customWidth="1"/>
    <col min="2822" max="2822" width="16" style="2413" customWidth="1"/>
    <col min="2823" max="2823" width="13.375" style="2413" customWidth="1"/>
    <col min="2824" max="3072" width="9" style="2413"/>
    <col min="3073" max="3073" width="35.375" style="2413" customWidth="1"/>
    <col min="3074" max="3074" width="16" style="2413" customWidth="1"/>
    <col min="3075" max="3075" width="13.375" style="2413" customWidth="1"/>
    <col min="3076" max="3076" width="16" style="2413" customWidth="1"/>
    <col min="3077" max="3077" width="13.375" style="2413" customWidth="1"/>
    <col min="3078" max="3078" width="16" style="2413" customWidth="1"/>
    <col min="3079" max="3079" width="13.375" style="2413" customWidth="1"/>
    <col min="3080" max="3328" width="9" style="2413"/>
    <col min="3329" max="3329" width="35.375" style="2413" customWidth="1"/>
    <col min="3330" max="3330" width="16" style="2413" customWidth="1"/>
    <col min="3331" max="3331" width="13.375" style="2413" customWidth="1"/>
    <col min="3332" max="3332" width="16" style="2413" customWidth="1"/>
    <col min="3333" max="3333" width="13.375" style="2413" customWidth="1"/>
    <col min="3334" max="3334" width="16" style="2413" customWidth="1"/>
    <col min="3335" max="3335" width="13.375" style="2413" customWidth="1"/>
    <col min="3336" max="3584" width="9" style="2413"/>
    <col min="3585" max="3585" width="35.375" style="2413" customWidth="1"/>
    <col min="3586" max="3586" width="16" style="2413" customWidth="1"/>
    <col min="3587" max="3587" width="13.375" style="2413" customWidth="1"/>
    <col min="3588" max="3588" width="16" style="2413" customWidth="1"/>
    <col min="3589" max="3589" width="13.375" style="2413" customWidth="1"/>
    <col min="3590" max="3590" width="16" style="2413" customWidth="1"/>
    <col min="3591" max="3591" width="13.375" style="2413" customWidth="1"/>
    <col min="3592" max="3840" width="9" style="2413"/>
    <col min="3841" max="3841" width="35.375" style="2413" customWidth="1"/>
    <col min="3842" max="3842" width="16" style="2413" customWidth="1"/>
    <col min="3843" max="3843" width="13.375" style="2413" customWidth="1"/>
    <col min="3844" max="3844" width="16" style="2413" customWidth="1"/>
    <col min="3845" max="3845" width="13.375" style="2413" customWidth="1"/>
    <col min="3846" max="3846" width="16" style="2413" customWidth="1"/>
    <col min="3847" max="3847" width="13.375" style="2413" customWidth="1"/>
    <col min="3848" max="4096" width="9" style="2413"/>
    <col min="4097" max="4097" width="35.375" style="2413" customWidth="1"/>
    <col min="4098" max="4098" width="16" style="2413" customWidth="1"/>
    <col min="4099" max="4099" width="13.375" style="2413" customWidth="1"/>
    <col min="4100" max="4100" width="16" style="2413" customWidth="1"/>
    <col min="4101" max="4101" width="13.375" style="2413" customWidth="1"/>
    <col min="4102" max="4102" width="16" style="2413" customWidth="1"/>
    <col min="4103" max="4103" width="13.375" style="2413" customWidth="1"/>
    <col min="4104" max="4352" width="9" style="2413"/>
    <col min="4353" max="4353" width="35.375" style="2413" customWidth="1"/>
    <col min="4354" max="4354" width="16" style="2413" customWidth="1"/>
    <col min="4355" max="4355" width="13.375" style="2413" customWidth="1"/>
    <col min="4356" max="4356" width="16" style="2413" customWidth="1"/>
    <col min="4357" max="4357" width="13.375" style="2413" customWidth="1"/>
    <col min="4358" max="4358" width="16" style="2413" customWidth="1"/>
    <col min="4359" max="4359" width="13.375" style="2413" customWidth="1"/>
    <col min="4360" max="4608" width="9" style="2413"/>
    <col min="4609" max="4609" width="35.375" style="2413" customWidth="1"/>
    <col min="4610" max="4610" width="16" style="2413" customWidth="1"/>
    <col min="4611" max="4611" width="13.375" style="2413" customWidth="1"/>
    <col min="4612" max="4612" width="16" style="2413" customWidth="1"/>
    <col min="4613" max="4613" width="13.375" style="2413" customWidth="1"/>
    <col min="4614" max="4614" width="16" style="2413" customWidth="1"/>
    <col min="4615" max="4615" width="13.375" style="2413" customWidth="1"/>
    <col min="4616" max="4864" width="9" style="2413"/>
    <col min="4865" max="4865" width="35.375" style="2413" customWidth="1"/>
    <col min="4866" max="4866" width="16" style="2413" customWidth="1"/>
    <col min="4867" max="4867" width="13.375" style="2413" customWidth="1"/>
    <col min="4868" max="4868" width="16" style="2413" customWidth="1"/>
    <col min="4869" max="4869" width="13.375" style="2413" customWidth="1"/>
    <col min="4870" max="4870" width="16" style="2413" customWidth="1"/>
    <col min="4871" max="4871" width="13.375" style="2413" customWidth="1"/>
    <col min="4872" max="5120" width="9" style="2413"/>
    <col min="5121" max="5121" width="35.375" style="2413" customWidth="1"/>
    <col min="5122" max="5122" width="16" style="2413" customWidth="1"/>
    <col min="5123" max="5123" width="13.375" style="2413" customWidth="1"/>
    <col min="5124" max="5124" width="16" style="2413" customWidth="1"/>
    <col min="5125" max="5125" width="13.375" style="2413" customWidth="1"/>
    <col min="5126" max="5126" width="16" style="2413" customWidth="1"/>
    <col min="5127" max="5127" width="13.375" style="2413" customWidth="1"/>
    <col min="5128" max="5376" width="9" style="2413"/>
    <col min="5377" max="5377" width="35.375" style="2413" customWidth="1"/>
    <col min="5378" max="5378" width="16" style="2413" customWidth="1"/>
    <col min="5379" max="5379" width="13.375" style="2413" customWidth="1"/>
    <col min="5380" max="5380" width="16" style="2413" customWidth="1"/>
    <col min="5381" max="5381" width="13.375" style="2413" customWidth="1"/>
    <col min="5382" max="5382" width="16" style="2413" customWidth="1"/>
    <col min="5383" max="5383" width="13.375" style="2413" customWidth="1"/>
    <col min="5384" max="5632" width="9" style="2413"/>
    <col min="5633" max="5633" width="35.375" style="2413" customWidth="1"/>
    <col min="5634" max="5634" width="16" style="2413" customWidth="1"/>
    <col min="5635" max="5635" width="13.375" style="2413" customWidth="1"/>
    <col min="5636" max="5636" width="16" style="2413" customWidth="1"/>
    <col min="5637" max="5637" width="13.375" style="2413" customWidth="1"/>
    <col min="5638" max="5638" width="16" style="2413" customWidth="1"/>
    <col min="5639" max="5639" width="13.375" style="2413" customWidth="1"/>
    <col min="5640" max="5888" width="9" style="2413"/>
    <col min="5889" max="5889" width="35.375" style="2413" customWidth="1"/>
    <col min="5890" max="5890" width="16" style="2413" customWidth="1"/>
    <col min="5891" max="5891" width="13.375" style="2413" customWidth="1"/>
    <col min="5892" max="5892" width="16" style="2413" customWidth="1"/>
    <col min="5893" max="5893" width="13.375" style="2413" customWidth="1"/>
    <col min="5894" max="5894" width="16" style="2413" customWidth="1"/>
    <col min="5895" max="5895" width="13.375" style="2413" customWidth="1"/>
    <col min="5896" max="6144" width="9" style="2413"/>
    <col min="6145" max="6145" width="35.375" style="2413" customWidth="1"/>
    <col min="6146" max="6146" width="16" style="2413" customWidth="1"/>
    <col min="6147" max="6147" width="13.375" style="2413" customWidth="1"/>
    <col min="6148" max="6148" width="16" style="2413" customWidth="1"/>
    <col min="6149" max="6149" width="13.375" style="2413" customWidth="1"/>
    <col min="6150" max="6150" width="16" style="2413" customWidth="1"/>
    <col min="6151" max="6151" width="13.375" style="2413" customWidth="1"/>
    <col min="6152" max="6400" width="9" style="2413"/>
    <col min="6401" max="6401" width="35.375" style="2413" customWidth="1"/>
    <col min="6402" max="6402" width="16" style="2413" customWidth="1"/>
    <col min="6403" max="6403" width="13.375" style="2413" customWidth="1"/>
    <col min="6404" max="6404" width="16" style="2413" customWidth="1"/>
    <col min="6405" max="6405" width="13.375" style="2413" customWidth="1"/>
    <col min="6406" max="6406" width="16" style="2413" customWidth="1"/>
    <col min="6407" max="6407" width="13.375" style="2413" customWidth="1"/>
    <col min="6408" max="6656" width="9" style="2413"/>
    <col min="6657" max="6657" width="35.375" style="2413" customWidth="1"/>
    <col min="6658" max="6658" width="16" style="2413" customWidth="1"/>
    <col min="6659" max="6659" width="13.375" style="2413" customWidth="1"/>
    <col min="6660" max="6660" width="16" style="2413" customWidth="1"/>
    <col min="6661" max="6661" width="13.375" style="2413" customWidth="1"/>
    <col min="6662" max="6662" width="16" style="2413" customWidth="1"/>
    <col min="6663" max="6663" width="13.375" style="2413" customWidth="1"/>
    <col min="6664" max="6912" width="9" style="2413"/>
    <col min="6913" max="6913" width="35.375" style="2413" customWidth="1"/>
    <col min="6914" max="6914" width="16" style="2413" customWidth="1"/>
    <col min="6915" max="6915" width="13.375" style="2413" customWidth="1"/>
    <col min="6916" max="6916" width="16" style="2413" customWidth="1"/>
    <col min="6917" max="6917" width="13.375" style="2413" customWidth="1"/>
    <col min="6918" max="6918" width="16" style="2413" customWidth="1"/>
    <col min="6919" max="6919" width="13.375" style="2413" customWidth="1"/>
    <col min="6920" max="7168" width="9" style="2413"/>
    <col min="7169" max="7169" width="35.375" style="2413" customWidth="1"/>
    <col min="7170" max="7170" width="16" style="2413" customWidth="1"/>
    <col min="7171" max="7171" width="13.375" style="2413" customWidth="1"/>
    <col min="7172" max="7172" width="16" style="2413" customWidth="1"/>
    <col min="7173" max="7173" width="13.375" style="2413" customWidth="1"/>
    <col min="7174" max="7174" width="16" style="2413" customWidth="1"/>
    <col min="7175" max="7175" width="13.375" style="2413" customWidth="1"/>
    <col min="7176" max="7424" width="9" style="2413"/>
    <col min="7425" max="7425" width="35.375" style="2413" customWidth="1"/>
    <col min="7426" max="7426" width="16" style="2413" customWidth="1"/>
    <col min="7427" max="7427" width="13.375" style="2413" customWidth="1"/>
    <col min="7428" max="7428" width="16" style="2413" customWidth="1"/>
    <col min="7429" max="7429" width="13.375" style="2413" customWidth="1"/>
    <col min="7430" max="7430" width="16" style="2413" customWidth="1"/>
    <col min="7431" max="7431" width="13.375" style="2413" customWidth="1"/>
    <col min="7432" max="7680" width="9" style="2413"/>
    <col min="7681" max="7681" width="35.375" style="2413" customWidth="1"/>
    <col min="7682" max="7682" width="16" style="2413" customWidth="1"/>
    <col min="7683" max="7683" width="13.375" style="2413" customWidth="1"/>
    <col min="7684" max="7684" width="16" style="2413" customWidth="1"/>
    <col min="7685" max="7685" width="13.375" style="2413" customWidth="1"/>
    <col min="7686" max="7686" width="16" style="2413" customWidth="1"/>
    <col min="7687" max="7687" width="13.375" style="2413" customWidth="1"/>
    <col min="7688" max="7936" width="9" style="2413"/>
    <col min="7937" max="7937" width="35.375" style="2413" customWidth="1"/>
    <col min="7938" max="7938" width="16" style="2413" customWidth="1"/>
    <col min="7939" max="7939" width="13.375" style="2413" customWidth="1"/>
    <col min="7940" max="7940" width="16" style="2413" customWidth="1"/>
    <col min="7941" max="7941" width="13.375" style="2413" customWidth="1"/>
    <col min="7942" max="7942" width="16" style="2413" customWidth="1"/>
    <col min="7943" max="7943" width="13.375" style="2413" customWidth="1"/>
    <col min="7944" max="8192" width="9" style="2413"/>
    <col min="8193" max="8193" width="35.375" style="2413" customWidth="1"/>
    <col min="8194" max="8194" width="16" style="2413" customWidth="1"/>
    <col min="8195" max="8195" width="13.375" style="2413" customWidth="1"/>
    <col min="8196" max="8196" width="16" style="2413" customWidth="1"/>
    <col min="8197" max="8197" width="13.375" style="2413" customWidth="1"/>
    <col min="8198" max="8198" width="16" style="2413" customWidth="1"/>
    <col min="8199" max="8199" width="13.375" style="2413" customWidth="1"/>
    <col min="8200" max="8448" width="9" style="2413"/>
    <col min="8449" max="8449" width="35.375" style="2413" customWidth="1"/>
    <col min="8450" max="8450" width="16" style="2413" customWidth="1"/>
    <col min="8451" max="8451" width="13.375" style="2413" customWidth="1"/>
    <col min="8452" max="8452" width="16" style="2413" customWidth="1"/>
    <col min="8453" max="8453" width="13.375" style="2413" customWidth="1"/>
    <col min="8454" max="8454" width="16" style="2413" customWidth="1"/>
    <col min="8455" max="8455" width="13.375" style="2413" customWidth="1"/>
    <col min="8456" max="8704" width="9" style="2413"/>
    <col min="8705" max="8705" width="35.375" style="2413" customWidth="1"/>
    <col min="8706" max="8706" width="16" style="2413" customWidth="1"/>
    <col min="8707" max="8707" width="13.375" style="2413" customWidth="1"/>
    <col min="8708" max="8708" width="16" style="2413" customWidth="1"/>
    <col min="8709" max="8709" width="13.375" style="2413" customWidth="1"/>
    <col min="8710" max="8710" width="16" style="2413" customWidth="1"/>
    <col min="8711" max="8711" width="13.375" style="2413" customWidth="1"/>
    <col min="8712" max="8960" width="9" style="2413"/>
    <col min="8961" max="8961" width="35.375" style="2413" customWidth="1"/>
    <col min="8962" max="8962" width="16" style="2413" customWidth="1"/>
    <col min="8963" max="8963" width="13.375" style="2413" customWidth="1"/>
    <col min="8964" max="8964" width="16" style="2413" customWidth="1"/>
    <col min="8965" max="8965" width="13.375" style="2413" customWidth="1"/>
    <col min="8966" max="8966" width="16" style="2413" customWidth="1"/>
    <col min="8967" max="8967" width="13.375" style="2413" customWidth="1"/>
    <col min="8968" max="9216" width="9" style="2413"/>
    <col min="9217" max="9217" width="35.375" style="2413" customWidth="1"/>
    <col min="9218" max="9218" width="16" style="2413" customWidth="1"/>
    <col min="9219" max="9219" width="13.375" style="2413" customWidth="1"/>
    <col min="9220" max="9220" width="16" style="2413" customWidth="1"/>
    <col min="9221" max="9221" width="13.375" style="2413" customWidth="1"/>
    <col min="9222" max="9222" width="16" style="2413" customWidth="1"/>
    <col min="9223" max="9223" width="13.375" style="2413" customWidth="1"/>
    <col min="9224" max="9472" width="9" style="2413"/>
    <col min="9473" max="9473" width="35.375" style="2413" customWidth="1"/>
    <col min="9474" max="9474" width="16" style="2413" customWidth="1"/>
    <col min="9475" max="9475" width="13.375" style="2413" customWidth="1"/>
    <col min="9476" max="9476" width="16" style="2413" customWidth="1"/>
    <col min="9477" max="9477" width="13.375" style="2413" customWidth="1"/>
    <col min="9478" max="9478" width="16" style="2413" customWidth="1"/>
    <col min="9479" max="9479" width="13.375" style="2413" customWidth="1"/>
    <col min="9480" max="9728" width="9" style="2413"/>
    <col min="9729" max="9729" width="35.375" style="2413" customWidth="1"/>
    <col min="9730" max="9730" width="16" style="2413" customWidth="1"/>
    <col min="9731" max="9731" width="13.375" style="2413" customWidth="1"/>
    <col min="9732" max="9732" width="16" style="2413" customWidth="1"/>
    <col min="9733" max="9733" width="13.375" style="2413" customWidth="1"/>
    <col min="9734" max="9734" width="16" style="2413" customWidth="1"/>
    <col min="9735" max="9735" width="13.375" style="2413" customWidth="1"/>
    <col min="9736" max="9984" width="9" style="2413"/>
    <col min="9985" max="9985" width="35.375" style="2413" customWidth="1"/>
    <col min="9986" max="9986" width="16" style="2413" customWidth="1"/>
    <col min="9987" max="9987" width="13.375" style="2413" customWidth="1"/>
    <col min="9988" max="9988" width="16" style="2413" customWidth="1"/>
    <col min="9989" max="9989" width="13.375" style="2413" customWidth="1"/>
    <col min="9990" max="9990" width="16" style="2413" customWidth="1"/>
    <col min="9991" max="9991" width="13.375" style="2413" customWidth="1"/>
    <col min="9992" max="10240" width="9" style="2413"/>
    <col min="10241" max="10241" width="35.375" style="2413" customWidth="1"/>
    <col min="10242" max="10242" width="16" style="2413" customWidth="1"/>
    <col min="10243" max="10243" width="13.375" style="2413" customWidth="1"/>
    <col min="10244" max="10244" width="16" style="2413" customWidth="1"/>
    <col min="10245" max="10245" width="13.375" style="2413" customWidth="1"/>
    <col min="10246" max="10246" width="16" style="2413" customWidth="1"/>
    <col min="10247" max="10247" width="13.375" style="2413" customWidth="1"/>
    <col min="10248" max="10496" width="9" style="2413"/>
    <col min="10497" max="10497" width="35.375" style="2413" customWidth="1"/>
    <col min="10498" max="10498" width="16" style="2413" customWidth="1"/>
    <col min="10499" max="10499" width="13.375" style="2413" customWidth="1"/>
    <col min="10500" max="10500" width="16" style="2413" customWidth="1"/>
    <col min="10501" max="10501" width="13.375" style="2413" customWidth="1"/>
    <col min="10502" max="10502" width="16" style="2413" customWidth="1"/>
    <col min="10503" max="10503" width="13.375" style="2413" customWidth="1"/>
    <col min="10504" max="10752" width="9" style="2413"/>
    <col min="10753" max="10753" width="35.375" style="2413" customWidth="1"/>
    <col min="10754" max="10754" width="16" style="2413" customWidth="1"/>
    <col min="10755" max="10755" width="13.375" style="2413" customWidth="1"/>
    <col min="10756" max="10756" width="16" style="2413" customWidth="1"/>
    <col min="10757" max="10757" width="13.375" style="2413" customWidth="1"/>
    <col min="10758" max="10758" width="16" style="2413" customWidth="1"/>
    <col min="10759" max="10759" width="13.375" style="2413" customWidth="1"/>
    <col min="10760" max="11008" width="9" style="2413"/>
    <col min="11009" max="11009" width="35.375" style="2413" customWidth="1"/>
    <col min="11010" max="11010" width="16" style="2413" customWidth="1"/>
    <col min="11011" max="11011" width="13.375" style="2413" customWidth="1"/>
    <col min="11012" max="11012" width="16" style="2413" customWidth="1"/>
    <col min="11013" max="11013" width="13.375" style="2413" customWidth="1"/>
    <col min="11014" max="11014" width="16" style="2413" customWidth="1"/>
    <col min="11015" max="11015" width="13.375" style="2413" customWidth="1"/>
    <col min="11016" max="11264" width="9" style="2413"/>
    <col min="11265" max="11265" width="35.375" style="2413" customWidth="1"/>
    <col min="11266" max="11266" width="16" style="2413" customWidth="1"/>
    <col min="11267" max="11267" width="13.375" style="2413" customWidth="1"/>
    <col min="11268" max="11268" width="16" style="2413" customWidth="1"/>
    <col min="11269" max="11269" width="13.375" style="2413" customWidth="1"/>
    <col min="11270" max="11270" width="16" style="2413" customWidth="1"/>
    <col min="11271" max="11271" width="13.375" style="2413" customWidth="1"/>
    <col min="11272" max="11520" width="9" style="2413"/>
    <col min="11521" max="11521" width="35.375" style="2413" customWidth="1"/>
    <col min="11522" max="11522" width="16" style="2413" customWidth="1"/>
    <col min="11523" max="11523" width="13.375" style="2413" customWidth="1"/>
    <col min="11524" max="11524" width="16" style="2413" customWidth="1"/>
    <col min="11525" max="11525" width="13.375" style="2413" customWidth="1"/>
    <col min="11526" max="11526" width="16" style="2413" customWidth="1"/>
    <col min="11527" max="11527" width="13.375" style="2413" customWidth="1"/>
    <col min="11528" max="11776" width="9" style="2413"/>
    <col min="11777" max="11777" width="35.375" style="2413" customWidth="1"/>
    <col min="11778" max="11778" width="16" style="2413" customWidth="1"/>
    <col min="11779" max="11779" width="13.375" style="2413" customWidth="1"/>
    <col min="11780" max="11780" width="16" style="2413" customWidth="1"/>
    <col min="11781" max="11781" width="13.375" style="2413" customWidth="1"/>
    <col min="11782" max="11782" width="16" style="2413" customWidth="1"/>
    <col min="11783" max="11783" width="13.375" style="2413" customWidth="1"/>
    <col min="11784" max="12032" width="9" style="2413"/>
    <col min="12033" max="12033" width="35.375" style="2413" customWidth="1"/>
    <col min="12034" max="12034" width="16" style="2413" customWidth="1"/>
    <col min="12035" max="12035" width="13.375" style="2413" customWidth="1"/>
    <col min="12036" max="12036" width="16" style="2413" customWidth="1"/>
    <col min="12037" max="12037" width="13.375" style="2413" customWidth="1"/>
    <col min="12038" max="12038" width="16" style="2413" customWidth="1"/>
    <col min="12039" max="12039" width="13.375" style="2413" customWidth="1"/>
    <col min="12040" max="12288" width="9" style="2413"/>
    <col min="12289" max="12289" width="35.375" style="2413" customWidth="1"/>
    <col min="12290" max="12290" width="16" style="2413" customWidth="1"/>
    <col min="12291" max="12291" width="13.375" style="2413" customWidth="1"/>
    <col min="12292" max="12292" width="16" style="2413" customWidth="1"/>
    <col min="12293" max="12293" width="13.375" style="2413" customWidth="1"/>
    <col min="12294" max="12294" width="16" style="2413" customWidth="1"/>
    <col min="12295" max="12295" width="13.375" style="2413" customWidth="1"/>
    <col min="12296" max="12544" width="9" style="2413"/>
    <col min="12545" max="12545" width="35.375" style="2413" customWidth="1"/>
    <col min="12546" max="12546" width="16" style="2413" customWidth="1"/>
    <col min="12547" max="12547" width="13.375" style="2413" customWidth="1"/>
    <col min="12548" max="12548" width="16" style="2413" customWidth="1"/>
    <col min="12549" max="12549" width="13.375" style="2413" customWidth="1"/>
    <col min="12550" max="12550" width="16" style="2413" customWidth="1"/>
    <col min="12551" max="12551" width="13.375" style="2413" customWidth="1"/>
    <col min="12552" max="12800" width="9" style="2413"/>
    <col min="12801" max="12801" width="35.375" style="2413" customWidth="1"/>
    <col min="12802" max="12802" width="16" style="2413" customWidth="1"/>
    <col min="12803" max="12803" width="13.375" style="2413" customWidth="1"/>
    <col min="12804" max="12804" width="16" style="2413" customWidth="1"/>
    <col min="12805" max="12805" width="13.375" style="2413" customWidth="1"/>
    <col min="12806" max="12806" width="16" style="2413" customWidth="1"/>
    <col min="12807" max="12807" width="13.375" style="2413" customWidth="1"/>
    <col min="12808" max="13056" width="9" style="2413"/>
    <col min="13057" max="13057" width="35.375" style="2413" customWidth="1"/>
    <col min="13058" max="13058" width="16" style="2413" customWidth="1"/>
    <col min="13059" max="13059" width="13.375" style="2413" customWidth="1"/>
    <col min="13060" max="13060" width="16" style="2413" customWidth="1"/>
    <col min="13061" max="13061" width="13.375" style="2413" customWidth="1"/>
    <col min="13062" max="13062" width="16" style="2413" customWidth="1"/>
    <col min="13063" max="13063" width="13.375" style="2413" customWidth="1"/>
    <col min="13064" max="13312" width="9" style="2413"/>
    <col min="13313" max="13313" width="35.375" style="2413" customWidth="1"/>
    <col min="13314" max="13314" width="16" style="2413" customWidth="1"/>
    <col min="13315" max="13315" width="13.375" style="2413" customWidth="1"/>
    <col min="13316" max="13316" width="16" style="2413" customWidth="1"/>
    <col min="13317" max="13317" width="13.375" style="2413" customWidth="1"/>
    <col min="13318" max="13318" width="16" style="2413" customWidth="1"/>
    <col min="13319" max="13319" width="13.375" style="2413" customWidth="1"/>
    <col min="13320" max="13568" width="9" style="2413"/>
    <col min="13569" max="13569" width="35.375" style="2413" customWidth="1"/>
    <col min="13570" max="13570" width="16" style="2413" customWidth="1"/>
    <col min="13571" max="13571" width="13.375" style="2413" customWidth="1"/>
    <col min="13572" max="13572" width="16" style="2413" customWidth="1"/>
    <col min="13573" max="13573" width="13.375" style="2413" customWidth="1"/>
    <col min="13574" max="13574" width="16" style="2413" customWidth="1"/>
    <col min="13575" max="13575" width="13.375" style="2413" customWidth="1"/>
    <col min="13576" max="13824" width="9" style="2413"/>
    <col min="13825" max="13825" width="35.375" style="2413" customWidth="1"/>
    <col min="13826" max="13826" width="16" style="2413" customWidth="1"/>
    <col min="13827" max="13827" width="13.375" style="2413" customWidth="1"/>
    <col min="13828" max="13828" width="16" style="2413" customWidth="1"/>
    <col min="13829" max="13829" width="13.375" style="2413" customWidth="1"/>
    <col min="13830" max="13830" width="16" style="2413" customWidth="1"/>
    <col min="13831" max="13831" width="13.375" style="2413" customWidth="1"/>
    <col min="13832" max="14080" width="9" style="2413"/>
    <col min="14081" max="14081" width="35.375" style="2413" customWidth="1"/>
    <col min="14082" max="14082" width="16" style="2413" customWidth="1"/>
    <col min="14083" max="14083" width="13.375" style="2413" customWidth="1"/>
    <col min="14084" max="14084" width="16" style="2413" customWidth="1"/>
    <col min="14085" max="14085" width="13.375" style="2413" customWidth="1"/>
    <col min="14086" max="14086" width="16" style="2413" customWidth="1"/>
    <col min="14087" max="14087" width="13.375" style="2413" customWidth="1"/>
    <col min="14088" max="14336" width="9" style="2413"/>
    <col min="14337" max="14337" width="35.375" style="2413" customWidth="1"/>
    <col min="14338" max="14338" width="16" style="2413" customWidth="1"/>
    <col min="14339" max="14339" width="13.375" style="2413" customWidth="1"/>
    <col min="14340" max="14340" width="16" style="2413" customWidth="1"/>
    <col min="14341" max="14341" width="13.375" style="2413" customWidth="1"/>
    <col min="14342" max="14342" width="16" style="2413" customWidth="1"/>
    <col min="14343" max="14343" width="13.375" style="2413" customWidth="1"/>
    <col min="14344" max="14592" width="9" style="2413"/>
    <col min="14593" max="14593" width="35.375" style="2413" customWidth="1"/>
    <col min="14594" max="14594" width="16" style="2413" customWidth="1"/>
    <col min="14595" max="14595" width="13.375" style="2413" customWidth="1"/>
    <col min="14596" max="14596" width="16" style="2413" customWidth="1"/>
    <col min="14597" max="14597" width="13.375" style="2413" customWidth="1"/>
    <col min="14598" max="14598" width="16" style="2413" customWidth="1"/>
    <col min="14599" max="14599" width="13.375" style="2413" customWidth="1"/>
    <col min="14600" max="14848" width="9" style="2413"/>
    <col min="14849" max="14849" width="35.375" style="2413" customWidth="1"/>
    <col min="14850" max="14850" width="16" style="2413" customWidth="1"/>
    <col min="14851" max="14851" width="13.375" style="2413" customWidth="1"/>
    <col min="14852" max="14852" width="16" style="2413" customWidth="1"/>
    <col min="14853" max="14853" width="13.375" style="2413" customWidth="1"/>
    <col min="14854" max="14854" width="16" style="2413" customWidth="1"/>
    <col min="14855" max="14855" width="13.375" style="2413" customWidth="1"/>
    <col min="14856" max="15104" width="9" style="2413"/>
    <col min="15105" max="15105" width="35.375" style="2413" customWidth="1"/>
    <col min="15106" max="15106" width="16" style="2413" customWidth="1"/>
    <col min="15107" max="15107" width="13.375" style="2413" customWidth="1"/>
    <col min="15108" max="15108" width="16" style="2413" customWidth="1"/>
    <col min="15109" max="15109" width="13.375" style="2413" customWidth="1"/>
    <col min="15110" max="15110" width="16" style="2413" customWidth="1"/>
    <col min="15111" max="15111" width="13.375" style="2413" customWidth="1"/>
    <col min="15112" max="15360" width="9" style="2413"/>
    <col min="15361" max="15361" width="35.375" style="2413" customWidth="1"/>
    <col min="15362" max="15362" width="16" style="2413" customWidth="1"/>
    <col min="15363" max="15363" width="13.375" style="2413" customWidth="1"/>
    <col min="15364" max="15364" width="16" style="2413" customWidth="1"/>
    <col min="15365" max="15365" width="13.375" style="2413" customWidth="1"/>
    <col min="15366" max="15366" width="16" style="2413" customWidth="1"/>
    <col min="15367" max="15367" width="13.375" style="2413" customWidth="1"/>
    <col min="15368" max="15616" width="9" style="2413"/>
    <col min="15617" max="15617" width="35.375" style="2413" customWidth="1"/>
    <col min="15618" max="15618" width="16" style="2413" customWidth="1"/>
    <col min="15619" max="15619" width="13.375" style="2413" customWidth="1"/>
    <col min="15620" max="15620" width="16" style="2413" customWidth="1"/>
    <col min="15621" max="15621" width="13.375" style="2413" customWidth="1"/>
    <col min="15622" max="15622" width="16" style="2413" customWidth="1"/>
    <col min="15623" max="15623" width="13.375" style="2413" customWidth="1"/>
    <col min="15624" max="15872" width="9" style="2413"/>
    <col min="15873" max="15873" width="35.375" style="2413" customWidth="1"/>
    <col min="15874" max="15874" width="16" style="2413" customWidth="1"/>
    <col min="15875" max="15875" width="13.375" style="2413" customWidth="1"/>
    <col min="15876" max="15876" width="16" style="2413" customWidth="1"/>
    <col min="15877" max="15877" width="13.375" style="2413" customWidth="1"/>
    <col min="15878" max="15878" width="16" style="2413" customWidth="1"/>
    <col min="15879" max="15879" width="13.375" style="2413" customWidth="1"/>
    <col min="15880" max="16128" width="9" style="2413"/>
    <col min="16129" max="16129" width="35.375" style="2413" customWidth="1"/>
    <col min="16130" max="16130" width="16" style="2413" customWidth="1"/>
    <col min="16131" max="16131" width="13.375" style="2413" customWidth="1"/>
    <col min="16132" max="16132" width="16" style="2413" customWidth="1"/>
    <col min="16133" max="16133" width="13.375" style="2413" customWidth="1"/>
    <col min="16134" max="16134" width="16" style="2413" customWidth="1"/>
    <col min="16135" max="16135" width="13.375" style="2413" customWidth="1"/>
    <col min="16136" max="16384" width="9" style="2413"/>
  </cols>
  <sheetData>
    <row r="1" spans="1:12" s="2412" customFormat="1" ht="30.6" customHeight="1">
      <c r="A1" s="3961" t="s">
        <v>3770</v>
      </c>
      <c r="B1" s="3961"/>
      <c r="C1" s="3961"/>
      <c r="D1" s="3961"/>
      <c r="E1" s="3961"/>
      <c r="F1" s="3961"/>
      <c r="G1" s="3961"/>
      <c r="H1" s="2524"/>
      <c r="I1" s="2524"/>
      <c r="J1" s="2524"/>
      <c r="K1" s="2524"/>
      <c r="L1" s="2524"/>
    </row>
    <row r="2" spans="1:12" ht="30.6" customHeight="1">
      <c r="A2" s="3962" t="s">
        <v>3771</v>
      </c>
      <c r="B2" s="4010" t="s">
        <v>849</v>
      </c>
      <c r="C2" s="4011"/>
      <c r="D2" s="4012" t="s">
        <v>1066</v>
      </c>
      <c r="E2" s="4011"/>
      <c r="F2" s="4012" t="s">
        <v>1067</v>
      </c>
      <c r="G2" s="4010"/>
      <c r="H2" s="2525"/>
    </row>
    <row r="3" spans="1:12" ht="20.25" customHeight="1">
      <c r="A3" s="3963"/>
      <c r="B3" s="2414" t="s">
        <v>1505</v>
      </c>
      <c r="C3" s="2526" t="s">
        <v>400</v>
      </c>
      <c r="D3" s="2415" t="s">
        <v>1516</v>
      </c>
      <c r="E3" s="2526" t="s">
        <v>3459</v>
      </c>
      <c r="F3" s="2415" t="s">
        <v>1516</v>
      </c>
      <c r="G3" s="2415" t="s">
        <v>3772</v>
      </c>
    </row>
    <row r="4" spans="1:12" ht="16.149999999999999" customHeight="1">
      <c r="A4" s="2314" t="s">
        <v>3773</v>
      </c>
      <c r="B4" s="2527">
        <v>1533</v>
      </c>
      <c r="C4" s="2528">
        <v>100</v>
      </c>
      <c r="D4" s="2527">
        <v>1727</v>
      </c>
      <c r="E4" s="2528">
        <v>100</v>
      </c>
      <c r="F4" s="2529">
        <v>1915</v>
      </c>
      <c r="G4" s="2528">
        <v>100</v>
      </c>
    </row>
    <row r="5" spans="1:12" ht="16.149999999999999" customHeight="1">
      <c r="A5" s="2314" t="s">
        <v>3774</v>
      </c>
      <c r="B5" s="2527">
        <v>921</v>
      </c>
      <c r="C5" s="2528">
        <v>60.078277886497069</v>
      </c>
      <c r="D5" s="2527">
        <v>1052</v>
      </c>
      <c r="E5" s="2528">
        <v>60.914881297046897</v>
      </c>
      <c r="F5" s="2529">
        <v>1183</v>
      </c>
      <c r="G5" s="2528">
        <v>61.775456919060055</v>
      </c>
    </row>
    <row r="6" spans="1:12" ht="16.149999999999999" customHeight="1">
      <c r="A6" s="2314" t="s">
        <v>1082</v>
      </c>
      <c r="B6" s="2527">
        <v>183</v>
      </c>
      <c r="C6" s="2528">
        <v>11.937377690802348</v>
      </c>
      <c r="D6" s="2527">
        <v>242</v>
      </c>
      <c r="E6" s="2528">
        <v>14.012738853503185</v>
      </c>
      <c r="F6" s="2529">
        <v>203</v>
      </c>
      <c r="G6" s="2528">
        <v>10.600522193211487</v>
      </c>
    </row>
    <row r="7" spans="1:12" ht="16.149999999999999" customHeight="1">
      <c r="A7" s="2314" t="s">
        <v>862</v>
      </c>
      <c r="B7" s="2527">
        <v>152</v>
      </c>
      <c r="C7" s="2528">
        <v>9.9151989562948462</v>
      </c>
      <c r="D7" s="2527">
        <v>127</v>
      </c>
      <c r="E7" s="2528">
        <v>7.3537927041111759</v>
      </c>
      <c r="F7" s="2529">
        <v>146</v>
      </c>
      <c r="G7" s="2528">
        <v>7.6240208877284594</v>
      </c>
    </row>
    <row r="8" spans="1:12" ht="16.149999999999999" customHeight="1">
      <c r="A8" s="2419" t="s">
        <v>3775</v>
      </c>
      <c r="B8" s="2527">
        <v>34</v>
      </c>
      <c r="C8" s="2528">
        <v>2.217873450750163</v>
      </c>
      <c r="D8" s="2527">
        <v>38</v>
      </c>
      <c r="E8" s="2528">
        <v>2.2003474232773592</v>
      </c>
      <c r="F8" s="2529">
        <v>125</v>
      </c>
      <c r="G8" s="2528">
        <v>6.5274151436031342</v>
      </c>
    </row>
    <row r="9" spans="1:12" ht="16.149999999999999" customHeight="1">
      <c r="A9" s="2419" t="s">
        <v>855</v>
      </c>
      <c r="B9" s="2527">
        <v>81</v>
      </c>
      <c r="C9" s="2528">
        <v>5.283757338551859</v>
      </c>
      <c r="D9" s="2527">
        <v>75</v>
      </c>
      <c r="E9" s="2528">
        <v>4.3427909669947891</v>
      </c>
      <c r="F9" s="2529">
        <v>80</v>
      </c>
      <c r="G9" s="2528">
        <v>4.1775456919060057</v>
      </c>
    </row>
    <row r="10" spans="1:12" ht="16.149999999999999" customHeight="1">
      <c r="A10" s="2314" t="s">
        <v>864</v>
      </c>
      <c r="B10" s="2527">
        <v>29</v>
      </c>
      <c r="C10" s="2528">
        <v>1.8917155903457272</v>
      </c>
      <c r="D10" s="2527">
        <v>14</v>
      </c>
      <c r="E10" s="2528">
        <v>0.8106543138390272</v>
      </c>
      <c r="F10" s="2529">
        <v>24</v>
      </c>
      <c r="G10" s="2528">
        <v>1.2532637075718016</v>
      </c>
    </row>
    <row r="11" spans="1:12" ht="16.149999999999999" customHeight="1">
      <c r="A11" s="2314" t="s">
        <v>859</v>
      </c>
      <c r="B11" s="2527">
        <v>21</v>
      </c>
      <c r="C11" s="2528">
        <v>1.3698630136986301</v>
      </c>
      <c r="D11" s="2527">
        <v>23</v>
      </c>
      <c r="E11" s="2528">
        <v>1.3317892298784018</v>
      </c>
      <c r="F11" s="2529">
        <v>24</v>
      </c>
      <c r="G11" s="2528">
        <v>1.2532637075718016</v>
      </c>
    </row>
    <row r="12" spans="1:12" ht="16.149999999999999" customHeight="1">
      <c r="A12" s="2314" t="s">
        <v>968</v>
      </c>
      <c r="B12" s="2527">
        <v>27</v>
      </c>
      <c r="C12" s="2528">
        <v>1.7612524461839529</v>
      </c>
      <c r="D12" s="2527">
        <v>33</v>
      </c>
      <c r="E12" s="2528">
        <v>1.910828025477707</v>
      </c>
      <c r="F12" s="2529">
        <v>24</v>
      </c>
      <c r="G12" s="2528">
        <v>1.2532637075718016</v>
      </c>
    </row>
    <row r="13" spans="1:12" ht="16.149999999999999" customHeight="1">
      <c r="A13" s="2419" t="s">
        <v>868</v>
      </c>
      <c r="B13" s="2527">
        <v>17</v>
      </c>
      <c r="C13" s="2528">
        <v>1.1089367253750815</v>
      </c>
      <c r="D13" s="2527">
        <v>18</v>
      </c>
      <c r="E13" s="2528">
        <v>1.0422698320787493</v>
      </c>
      <c r="F13" s="2529">
        <v>20</v>
      </c>
      <c r="G13" s="2528">
        <v>1.0443864229765014</v>
      </c>
    </row>
    <row r="14" spans="1:12" ht="16.149999999999999" customHeight="1">
      <c r="A14" s="2419" t="s">
        <v>865</v>
      </c>
      <c r="B14" s="2527">
        <v>9</v>
      </c>
      <c r="C14" s="2528">
        <v>0.58708414872798431</v>
      </c>
      <c r="D14" s="2527">
        <v>24</v>
      </c>
      <c r="E14" s="2528">
        <v>1.3896931094383325</v>
      </c>
      <c r="F14" s="2529">
        <v>18</v>
      </c>
      <c r="G14" s="2528">
        <v>0.93994778067885121</v>
      </c>
    </row>
    <row r="15" spans="1:12" ht="16.149999999999999" customHeight="1">
      <c r="A15" s="2419" t="s">
        <v>1682</v>
      </c>
      <c r="B15" s="2527">
        <v>10</v>
      </c>
      <c r="C15" s="2528">
        <v>0.65231572080887146</v>
      </c>
      <c r="D15" s="2527">
        <v>16</v>
      </c>
      <c r="E15" s="2528">
        <v>0.92646207295888816</v>
      </c>
      <c r="F15" s="2529">
        <v>12</v>
      </c>
      <c r="G15" s="2528">
        <v>0.62663185378590081</v>
      </c>
    </row>
    <row r="16" spans="1:12" ht="16.149999999999999" customHeight="1">
      <c r="A16" s="2419" t="s">
        <v>869</v>
      </c>
      <c r="B16" s="2527">
        <v>2</v>
      </c>
      <c r="C16" s="2528">
        <v>0.13046314416177429</v>
      </c>
      <c r="D16" s="2527">
        <v>7</v>
      </c>
      <c r="E16" s="2528">
        <v>0.4053271569195136</v>
      </c>
      <c r="F16" s="2529">
        <v>10</v>
      </c>
      <c r="G16" s="2528">
        <v>0.52219321148825071</v>
      </c>
    </row>
    <row r="17" spans="1:7" ht="16.149999999999999" customHeight="1">
      <c r="A17" s="2419" t="s">
        <v>860</v>
      </c>
      <c r="B17" s="2527">
        <v>10</v>
      </c>
      <c r="C17" s="2528">
        <v>0.65231572080887146</v>
      </c>
      <c r="D17" s="2527">
        <v>6</v>
      </c>
      <c r="E17" s="2528">
        <v>0.34742327735958312</v>
      </c>
      <c r="F17" s="2529">
        <v>10</v>
      </c>
      <c r="G17" s="2528">
        <v>0.52219321148825071</v>
      </c>
    </row>
    <row r="18" spans="1:7" ht="16.149999999999999" customHeight="1">
      <c r="A18" s="2419" t="s">
        <v>3649</v>
      </c>
      <c r="B18" s="2527">
        <v>7</v>
      </c>
      <c r="C18" s="2528">
        <v>0.45662100456621002</v>
      </c>
      <c r="D18" s="2527">
        <v>17</v>
      </c>
      <c r="E18" s="2528">
        <v>0.98436595251881875</v>
      </c>
      <c r="F18" s="2529">
        <v>9</v>
      </c>
      <c r="G18" s="2528">
        <v>0.4699738903394256</v>
      </c>
    </row>
    <row r="19" spans="1:7" ht="16.149999999999999" customHeight="1">
      <c r="A19" s="2314" t="s">
        <v>872</v>
      </c>
      <c r="B19" s="2527">
        <v>3</v>
      </c>
      <c r="C19" s="2528">
        <v>0.19569471624266144</v>
      </c>
      <c r="D19" s="2527">
        <v>5</v>
      </c>
      <c r="E19" s="2528">
        <v>0.28951939779965258</v>
      </c>
      <c r="F19" s="2529">
        <v>6</v>
      </c>
      <c r="G19" s="2528">
        <v>0.3133159268929504</v>
      </c>
    </row>
    <row r="20" spans="1:7" ht="16.149999999999999" customHeight="1">
      <c r="A20" s="2314" t="s">
        <v>964</v>
      </c>
      <c r="B20" s="2527">
        <v>9</v>
      </c>
      <c r="C20" s="2528">
        <v>0.58708414872798431</v>
      </c>
      <c r="D20" s="2527">
        <v>10</v>
      </c>
      <c r="E20" s="2528">
        <v>0.57903879559930516</v>
      </c>
      <c r="F20" s="2529">
        <v>5</v>
      </c>
      <c r="G20" s="2528">
        <v>0.26109660574412535</v>
      </c>
    </row>
    <row r="21" spans="1:7" ht="16.149999999999999" customHeight="1">
      <c r="A21" s="2314" t="s">
        <v>861</v>
      </c>
      <c r="B21" s="2527">
        <v>1</v>
      </c>
      <c r="C21" s="2528">
        <v>6.5231572080887146E-2</v>
      </c>
      <c r="D21" s="2527">
        <v>5</v>
      </c>
      <c r="E21" s="2528">
        <v>0.28951939779965258</v>
      </c>
      <c r="F21" s="2529">
        <v>5</v>
      </c>
      <c r="G21" s="2528">
        <v>0.26109660574412535</v>
      </c>
    </row>
    <row r="22" spans="1:7" ht="16.149999999999999" customHeight="1">
      <c r="A22" s="2314" t="s">
        <v>3776</v>
      </c>
      <c r="B22" s="2527">
        <v>3</v>
      </c>
      <c r="C22" s="2528">
        <v>0.19569471624266144</v>
      </c>
      <c r="D22" s="2527">
        <v>2</v>
      </c>
      <c r="E22" s="2528">
        <v>0.11580775911986102</v>
      </c>
      <c r="F22" s="2529">
        <v>4</v>
      </c>
      <c r="G22" s="2528">
        <v>0.20887728459530025</v>
      </c>
    </row>
    <row r="23" spans="1:7" ht="16.149999999999999" customHeight="1">
      <c r="A23" s="2314" t="s">
        <v>3777</v>
      </c>
      <c r="B23" s="2527">
        <v>5</v>
      </c>
      <c r="C23" s="2528">
        <v>0.32615786040443573</v>
      </c>
      <c r="D23" s="2527">
        <v>2</v>
      </c>
      <c r="E23" s="2528">
        <v>0.11580775911986102</v>
      </c>
      <c r="F23" s="2529">
        <v>2</v>
      </c>
      <c r="G23" s="2528">
        <v>0.10443864229765012</v>
      </c>
    </row>
    <row r="24" spans="1:7" ht="16.149999999999999" customHeight="1">
      <c r="A24" s="2314" t="s">
        <v>3778</v>
      </c>
      <c r="B24" s="2527">
        <v>1</v>
      </c>
      <c r="C24" s="2528">
        <v>6.5231572080887146E-2</v>
      </c>
      <c r="D24" s="2527">
        <v>3</v>
      </c>
      <c r="E24" s="2528">
        <v>0.17371163867979156</v>
      </c>
      <c r="F24" s="2529">
        <v>1</v>
      </c>
      <c r="G24" s="2528">
        <v>5.2219321148825062E-2</v>
      </c>
    </row>
    <row r="25" spans="1:7" ht="16.5">
      <c r="A25" s="2325" t="s">
        <v>829</v>
      </c>
      <c r="B25" s="2530">
        <v>8</v>
      </c>
      <c r="C25" s="2531">
        <v>0.52185257664709717</v>
      </c>
      <c r="D25" s="2530">
        <v>8</v>
      </c>
      <c r="E25" s="2531">
        <v>0.46323103647944408</v>
      </c>
      <c r="F25" s="2530">
        <v>4</v>
      </c>
      <c r="G25" s="2531">
        <v>0.20887728459530025</v>
      </c>
    </row>
    <row r="26" spans="1:7" ht="16.149999999999999" customHeight="1">
      <c r="A26" s="2424" t="s">
        <v>784</v>
      </c>
      <c r="C26" s="2532"/>
    </row>
    <row r="27" spans="1:7" ht="16.149999999999999" customHeight="1">
      <c r="A27" s="4069" t="s">
        <v>3779</v>
      </c>
      <c r="B27" s="4069"/>
    </row>
  </sheetData>
  <mergeCells count="6">
    <mergeCell ref="A27:B27"/>
    <mergeCell ref="A1:G1"/>
    <mergeCell ref="A2:A3"/>
    <mergeCell ref="B2:C2"/>
    <mergeCell ref="D2:E2"/>
    <mergeCell ref="F2:G2"/>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70" firstPageNumber="262" orientation="landscape" r:id="rId1"/>
  <headerFooter differentOddEven="1" scaleWithDoc="0">
    <oddHeader>&amp;L&amp;"Times New Roman,標準"&amp;8 107&amp;"標楷體,標準"年犯罪狀況及其分析</oddHeader>
    <evenHeader>&amp;R&amp;"標楷體,標準"&amp;8第四篇　特定類型犯罪者之犯罪趨勢與處遇</even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AH21"/>
  <sheetViews>
    <sheetView showGridLines="0" zoomScale="110" zoomScaleNormal="110" zoomScalePageLayoutView="110" workbookViewId="0">
      <selection activeCell="H27" sqref="H27"/>
    </sheetView>
  </sheetViews>
  <sheetFormatPr defaultColWidth="8.625" defaultRowHeight="15.75"/>
  <cols>
    <col min="1" max="1" width="15.5" style="183" customWidth="1"/>
    <col min="2" max="6" width="17.125" style="183" customWidth="1"/>
    <col min="7" max="256" width="8.625" style="183"/>
    <col min="257" max="257" width="15.5" style="183" customWidth="1"/>
    <col min="258" max="262" width="17.125" style="183" customWidth="1"/>
    <col min="263" max="512" width="8.625" style="183"/>
    <col min="513" max="513" width="15.5" style="183" customWidth="1"/>
    <col min="514" max="518" width="17.125" style="183" customWidth="1"/>
    <col min="519" max="768" width="8.625" style="183"/>
    <col min="769" max="769" width="15.5" style="183" customWidth="1"/>
    <col min="770" max="774" width="17.125" style="183" customWidth="1"/>
    <col min="775" max="1024" width="8.625" style="183"/>
    <col min="1025" max="1025" width="15.5" style="183" customWidth="1"/>
    <col min="1026" max="1030" width="17.125" style="183" customWidth="1"/>
    <col min="1031" max="1280" width="8.625" style="183"/>
    <col min="1281" max="1281" width="15.5" style="183" customWidth="1"/>
    <col min="1282" max="1286" width="17.125" style="183" customWidth="1"/>
    <col min="1287" max="1536" width="8.625" style="183"/>
    <col min="1537" max="1537" width="15.5" style="183" customWidth="1"/>
    <col min="1538" max="1542" width="17.125" style="183" customWidth="1"/>
    <col min="1543" max="1792" width="8.625" style="183"/>
    <col min="1793" max="1793" width="15.5" style="183" customWidth="1"/>
    <col min="1794" max="1798" width="17.125" style="183" customWidth="1"/>
    <col min="1799" max="2048" width="8.625" style="183"/>
    <col min="2049" max="2049" width="15.5" style="183" customWidth="1"/>
    <col min="2050" max="2054" width="17.125" style="183" customWidth="1"/>
    <col min="2055" max="2304" width="8.625" style="183"/>
    <col min="2305" max="2305" width="15.5" style="183" customWidth="1"/>
    <col min="2306" max="2310" width="17.125" style="183" customWidth="1"/>
    <col min="2311" max="2560" width="8.625" style="183"/>
    <col min="2561" max="2561" width="15.5" style="183" customWidth="1"/>
    <col min="2562" max="2566" width="17.125" style="183" customWidth="1"/>
    <col min="2567" max="2816" width="8.625" style="183"/>
    <col min="2817" max="2817" width="15.5" style="183" customWidth="1"/>
    <col min="2818" max="2822" width="17.125" style="183" customWidth="1"/>
    <col min="2823" max="3072" width="8.625" style="183"/>
    <col min="3073" max="3073" width="15.5" style="183" customWidth="1"/>
    <col min="3074" max="3078" width="17.125" style="183" customWidth="1"/>
    <col min="3079" max="3328" width="8.625" style="183"/>
    <col min="3329" max="3329" width="15.5" style="183" customWidth="1"/>
    <col min="3330" max="3334" width="17.125" style="183" customWidth="1"/>
    <col min="3335" max="3584" width="8.625" style="183"/>
    <col min="3585" max="3585" width="15.5" style="183" customWidth="1"/>
    <col min="3586" max="3590" width="17.125" style="183" customWidth="1"/>
    <col min="3591" max="3840" width="8.625" style="183"/>
    <col min="3841" max="3841" width="15.5" style="183" customWidth="1"/>
    <col min="3842" max="3846" width="17.125" style="183" customWidth="1"/>
    <col min="3847" max="4096" width="8.625" style="183"/>
    <col min="4097" max="4097" width="15.5" style="183" customWidth="1"/>
    <col min="4098" max="4102" width="17.125" style="183" customWidth="1"/>
    <col min="4103" max="4352" width="8.625" style="183"/>
    <col min="4353" max="4353" width="15.5" style="183" customWidth="1"/>
    <col min="4354" max="4358" width="17.125" style="183" customWidth="1"/>
    <col min="4359" max="4608" width="8.625" style="183"/>
    <col min="4609" max="4609" width="15.5" style="183" customWidth="1"/>
    <col min="4610" max="4614" width="17.125" style="183" customWidth="1"/>
    <col min="4615" max="4864" width="8.625" style="183"/>
    <col min="4865" max="4865" width="15.5" style="183" customWidth="1"/>
    <col min="4866" max="4870" width="17.125" style="183" customWidth="1"/>
    <col min="4871" max="5120" width="8.625" style="183"/>
    <col min="5121" max="5121" width="15.5" style="183" customWidth="1"/>
    <col min="5122" max="5126" width="17.125" style="183" customWidth="1"/>
    <col min="5127" max="5376" width="8.625" style="183"/>
    <col min="5377" max="5377" width="15.5" style="183" customWidth="1"/>
    <col min="5378" max="5382" width="17.125" style="183" customWidth="1"/>
    <col min="5383" max="5632" width="8.625" style="183"/>
    <col min="5633" max="5633" width="15.5" style="183" customWidth="1"/>
    <col min="5634" max="5638" width="17.125" style="183" customWidth="1"/>
    <col min="5639" max="5888" width="8.625" style="183"/>
    <col min="5889" max="5889" width="15.5" style="183" customWidth="1"/>
    <col min="5890" max="5894" width="17.125" style="183" customWidth="1"/>
    <col min="5895" max="6144" width="8.625" style="183"/>
    <col min="6145" max="6145" width="15.5" style="183" customWidth="1"/>
    <col min="6146" max="6150" width="17.125" style="183" customWidth="1"/>
    <col min="6151" max="6400" width="8.625" style="183"/>
    <col min="6401" max="6401" width="15.5" style="183" customWidth="1"/>
    <col min="6402" max="6406" width="17.125" style="183" customWidth="1"/>
    <col min="6407" max="6656" width="8.625" style="183"/>
    <col min="6657" max="6657" width="15.5" style="183" customWidth="1"/>
    <col min="6658" max="6662" width="17.125" style="183" customWidth="1"/>
    <col min="6663" max="6912" width="8.625" style="183"/>
    <col min="6913" max="6913" width="15.5" style="183" customWidth="1"/>
    <col min="6914" max="6918" width="17.125" style="183" customWidth="1"/>
    <col min="6919" max="7168" width="8.625" style="183"/>
    <col min="7169" max="7169" width="15.5" style="183" customWidth="1"/>
    <col min="7170" max="7174" width="17.125" style="183" customWidth="1"/>
    <col min="7175" max="7424" width="8.625" style="183"/>
    <col min="7425" max="7425" width="15.5" style="183" customWidth="1"/>
    <col min="7426" max="7430" width="17.125" style="183" customWidth="1"/>
    <col min="7431" max="7680" width="8.625" style="183"/>
    <col min="7681" max="7681" width="15.5" style="183" customWidth="1"/>
    <col min="7682" max="7686" width="17.125" style="183" customWidth="1"/>
    <col min="7687" max="7936" width="8.625" style="183"/>
    <col min="7937" max="7937" width="15.5" style="183" customWidth="1"/>
    <col min="7938" max="7942" width="17.125" style="183" customWidth="1"/>
    <col min="7943" max="8192" width="8.625" style="183"/>
    <col min="8193" max="8193" width="15.5" style="183" customWidth="1"/>
    <col min="8194" max="8198" width="17.125" style="183" customWidth="1"/>
    <col min="8199" max="8448" width="8.625" style="183"/>
    <col min="8449" max="8449" width="15.5" style="183" customWidth="1"/>
    <col min="8450" max="8454" width="17.125" style="183" customWidth="1"/>
    <col min="8455" max="8704" width="8.625" style="183"/>
    <col min="8705" max="8705" width="15.5" style="183" customWidth="1"/>
    <col min="8706" max="8710" width="17.125" style="183" customWidth="1"/>
    <col min="8711" max="8960" width="8.625" style="183"/>
    <col min="8961" max="8961" width="15.5" style="183" customWidth="1"/>
    <col min="8962" max="8966" width="17.125" style="183" customWidth="1"/>
    <col min="8967" max="9216" width="8.625" style="183"/>
    <col min="9217" max="9217" width="15.5" style="183" customWidth="1"/>
    <col min="9218" max="9222" width="17.125" style="183" customWidth="1"/>
    <col min="9223" max="9472" width="8.625" style="183"/>
    <col min="9473" max="9473" width="15.5" style="183" customWidth="1"/>
    <col min="9474" max="9478" width="17.125" style="183" customWidth="1"/>
    <col min="9479" max="9728" width="8.625" style="183"/>
    <col min="9729" max="9729" width="15.5" style="183" customWidth="1"/>
    <col min="9730" max="9734" width="17.125" style="183" customWidth="1"/>
    <col min="9735" max="9984" width="8.625" style="183"/>
    <col min="9985" max="9985" width="15.5" style="183" customWidth="1"/>
    <col min="9986" max="9990" width="17.125" style="183" customWidth="1"/>
    <col min="9991" max="10240" width="8.625" style="183"/>
    <col min="10241" max="10241" width="15.5" style="183" customWidth="1"/>
    <col min="10242" max="10246" width="17.125" style="183" customWidth="1"/>
    <col min="10247" max="10496" width="8.625" style="183"/>
    <col min="10497" max="10497" width="15.5" style="183" customWidth="1"/>
    <col min="10498" max="10502" width="17.125" style="183" customWidth="1"/>
    <col min="10503" max="10752" width="8.625" style="183"/>
    <col min="10753" max="10753" width="15.5" style="183" customWidth="1"/>
    <col min="10754" max="10758" width="17.125" style="183" customWidth="1"/>
    <col min="10759" max="11008" width="8.625" style="183"/>
    <col min="11009" max="11009" width="15.5" style="183" customWidth="1"/>
    <col min="11010" max="11014" width="17.125" style="183" customWidth="1"/>
    <col min="11015" max="11264" width="8.625" style="183"/>
    <col min="11265" max="11265" width="15.5" style="183" customWidth="1"/>
    <col min="11266" max="11270" width="17.125" style="183" customWidth="1"/>
    <col min="11271" max="11520" width="8.625" style="183"/>
    <col min="11521" max="11521" width="15.5" style="183" customWidth="1"/>
    <col min="11522" max="11526" width="17.125" style="183" customWidth="1"/>
    <col min="11527" max="11776" width="8.625" style="183"/>
    <col min="11777" max="11777" width="15.5" style="183" customWidth="1"/>
    <col min="11778" max="11782" width="17.125" style="183" customWidth="1"/>
    <col min="11783" max="12032" width="8.625" style="183"/>
    <col min="12033" max="12033" width="15.5" style="183" customWidth="1"/>
    <col min="12034" max="12038" width="17.125" style="183" customWidth="1"/>
    <col min="12039" max="12288" width="8.625" style="183"/>
    <col min="12289" max="12289" width="15.5" style="183" customWidth="1"/>
    <col min="12290" max="12294" width="17.125" style="183" customWidth="1"/>
    <col min="12295" max="12544" width="8.625" style="183"/>
    <col min="12545" max="12545" width="15.5" style="183" customWidth="1"/>
    <col min="12546" max="12550" width="17.125" style="183" customWidth="1"/>
    <col min="12551" max="12800" width="8.625" style="183"/>
    <col min="12801" max="12801" width="15.5" style="183" customWidth="1"/>
    <col min="12802" max="12806" width="17.125" style="183" customWidth="1"/>
    <col min="12807" max="13056" width="8.625" style="183"/>
    <col min="13057" max="13057" width="15.5" style="183" customWidth="1"/>
    <col min="13058" max="13062" width="17.125" style="183" customWidth="1"/>
    <col min="13063" max="13312" width="8.625" style="183"/>
    <col min="13313" max="13313" width="15.5" style="183" customWidth="1"/>
    <col min="13314" max="13318" width="17.125" style="183" customWidth="1"/>
    <col min="13319" max="13568" width="8.625" style="183"/>
    <col min="13569" max="13569" width="15.5" style="183" customWidth="1"/>
    <col min="13570" max="13574" width="17.125" style="183" customWidth="1"/>
    <col min="13575" max="13824" width="8.625" style="183"/>
    <col min="13825" max="13825" width="15.5" style="183" customWidth="1"/>
    <col min="13826" max="13830" width="17.125" style="183" customWidth="1"/>
    <col min="13831" max="14080" width="8.625" style="183"/>
    <col min="14081" max="14081" width="15.5" style="183" customWidth="1"/>
    <col min="14082" max="14086" width="17.125" style="183" customWidth="1"/>
    <col min="14087" max="14336" width="8.625" style="183"/>
    <col min="14337" max="14337" width="15.5" style="183" customWidth="1"/>
    <col min="14338" max="14342" width="17.125" style="183" customWidth="1"/>
    <col min="14343" max="14592" width="8.625" style="183"/>
    <col min="14593" max="14593" width="15.5" style="183" customWidth="1"/>
    <col min="14594" max="14598" width="17.125" style="183" customWidth="1"/>
    <col min="14599" max="14848" width="8.625" style="183"/>
    <col min="14849" max="14849" width="15.5" style="183" customWidth="1"/>
    <col min="14850" max="14854" width="17.125" style="183" customWidth="1"/>
    <col min="14855" max="15104" width="8.625" style="183"/>
    <col min="15105" max="15105" width="15.5" style="183" customWidth="1"/>
    <col min="15106" max="15110" width="17.125" style="183" customWidth="1"/>
    <col min="15111" max="15360" width="8.625" style="183"/>
    <col min="15361" max="15361" width="15.5" style="183" customWidth="1"/>
    <col min="15362" max="15366" width="17.125" style="183" customWidth="1"/>
    <col min="15367" max="15616" width="8.625" style="183"/>
    <col min="15617" max="15617" width="15.5" style="183" customWidth="1"/>
    <col min="15618" max="15622" width="17.125" style="183" customWidth="1"/>
    <col min="15623" max="15872" width="8.625" style="183"/>
    <col min="15873" max="15873" width="15.5" style="183" customWidth="1"/>
    <col min="15874" max="15878" width="17.125" style="183" customWidth="1"/>
    <col min="15879" max="16128" width="8.625" style="183"/>
    <col min="16129" max="16129" width="15.5" style="183" customWidth="1"/>
    <col min="16130" max="16134" width="17.125" style="183" customWidth="1"/>
    <col min="16135" max="16384" width="8.625" style="183"/>
  </cols>
  <sheetData>
    <row r="1" spans="1:34" ht="20.25">
      <c r="A1" s="2930" t="s">
        <v>346</v>
      </c>
      <c r="B1" s="2930"/>
      <c r="C1" s="2930"/>
      <c r="D1" s="2930"/>
      <c r="E1" s="2930"/>
      <c r="F1" s="2930"/>
    </row>
    <row r="2" spans="1:34" s="184" customFormat="1">
      <c r="F2" s="185" t="s">
        <v>347</v>
      </c>
    </row>
    <row r="3" spans="1:34" s="184" customFormat="1" ht="30.75" customHeight="1">
      <c r="A3" s="186" t="s">
        <v>348</v>
      </c>
      <c r="B3" s="186" t="s">
        <v>349</v>
      </c>
      <c r="C3" s="187" t="s">
        <v>350</v>
      </c>
      <c r="D3" s="187" t="s">
        <v>351</v>
      </c>
      <c r="E3" s="187" t="s">
        <v>352</v>
      </c>
      <c r="F3" s="188" t="s">
        <v>353</v>
      </c>
    </row>
    <row r="4" spans="1:34" ht="18.75" hidden="1" customHeight="1">
      <c r="A4" s="189" t="s">
        <v>354</v>
      </c>
      <c r="B4" s="150">
        <v>1992.7413100000001</v>
      </c>
      <c r="C4" s="151">
        <v>204.34530999999998</v>
      </c>
      <c r="D4" s="151">
        <v>214.12778</v>
      </c>
      <c r="E4" s="151">
        <v>1046.2189699999999</v>
      </c>
      <c r="F4" s="152">
        <v>528.04925000000003</v>
      </c>
    </row>
    <row r="5" spans="1:34" ht="18.75" customHeight="1">
      <c r="A5" s="189" t="s">
        <v>355</v>
      </c>
      <c r="B5" s="150">
        <v>3478.8091960000002</v>
      </c>
      <c r="C5" s="151">
        <v>85.075778999999997</v>
      </c>
      <c r="D5" s="151">
        <v>273.0845855</v>
      </c>
      <c r="E5" s="151">
        <v>2618.5349815000004</v>
      </c>
      <c r="F5" s="152">
        <v>502.11384999999996</v>
      </c>
    </row>
    <row r="6" spans="1:34" ht="18.75" customHeight="1">
      <c r="A6" s="189" t="s">
        <v>356</v>
      </c>
      <c r="B6" s="150">
        <v>2340.101557</v>
      </c>
      <c r="C6" s="151">
        <v>17.849690600000002</v>
      </c>
      <c r="D6" s="151">
        <v>166.93267209999999</v>
      </c>
      <c r="E6" s="151">
        <v>1435.9505798</v>
      </c>
      <c r="F6" s="152">
        <v>719.36861450000004</v>
      </c>
    </row>
    <row r="7" spans="1:34" ht="18.75" customHeight="1">
      <c r="A7" s="189" t="s">
        <v>357</v>
      </c>
      <c r="B7" s="150">
        <v>2622.4497447000003</v>
      </c>
      <c r="C7" s="151">
        <v>159.6626685</v>
      </c>
      <c r="D7" s="151">
        <v>143.8280264</v>
      </c>
      <c r="E7" s="151">
        <v>2233.5173860999998</v>
      </c>
      <c r="F7" s="152">
        <v>85.441663700000007</v>
      </c>
    </row>
    <row r="8" spans="1:34" ht="18.75" customHeight="1">
      <c r="A8" s="189" t="s">
        <v>358</v>
      </c>
      <c r="B8" s="150">
        <v>3656.4808686000001</v>
      </c>
      <c r="C8" s="151">
        <v>288.54956859999999</v>
      </c>
      <c r="D8" s="151">
        <v>838.2234704</v>
      </c>
      <c r="E8" s="151">
        <v>2421.8115186</v>
      </c>
      <c r="F8" s="152">
        <v>107.896311</v>
      </c>
    </row>
    <row r="9" spans="1:34" ht="18.75" customHeight="1">
      <c r="A9" s="189" t="s">
        <v>359</v>
      </c>
      <c r="B9" s="150">
        <v>4339.4887566999996</v>
      </c>
      <c r="C9" s="151">
        <v>86.713325699999999</v>
      </c>
      <c r="D9" s="151">
        <v>479.9348066</v>
      </c>
      <c r="E9" s="151">
        <v>3341.0202873999997</v>
      </c>
      <c r="F9" s="152">
        <v>431.82033699999999</v>
      </c>
    </row>
    <row r="10" spans="1:34" ht="18.75" customHeight="1">
      <c r="A10" s="189" t="s">
        <v>360</v>
      </c>
      <c r="B10" s="150">
        <v>4840.23539285065</v>
      </c>
      <c r="C10" s="151">
        <v>55.789363623</v>
      </c>
      <c r="D10" s="151">
        <v>551.3711571</v>
      </c>
      <c r="E10" s="151">
        <v>1777.3509433276499</v>
      </c>
      <c r="F10" s="152">
        <v>2455.7239288000001</v>
      </c>
      <c r="J10" s="190"/>
    </row>
    <row r="11" spans="1:34" ht="18" customHeight="1">
      <c r="A11" s="189" t="s">
        <v>361</v>
      </c>
      <c r="B11" s="150">
        <v>6767.0642499901505</v>
      </c>
      <c r="C11" s="151">
        <v>64.993959700000005</v>
      </c>
      <c r="D11" s="151">
        <v>641.29459426214805</v>
      </c>
      <c r="E11" s="151">
        <v>1213.3808625280001</v>
      </c>
      <c r="F11" s="152">
        <v>4847.3948334999995</v>
      </c>
    </row>
    <row r="12" spans="1:34" ht="18.75" customHeight="1">
      <c r="A12" s="189" t="s">
        <v>362</v>
      </c>
      <c r="B12" s="150">
        <v>6449.8840994999991</v>
      </c>
      <c r="C12" s="151">
        <v>770.98305429999994</v>
      </c>
      <c r="D12" s="151">
        <v>1047.5705902</v>
      </c>
      <c r="E12" s="151">
        <v>1274.7725</v>
      </c>
      <c r="F12" s="152">
        <v>3356.5579550000002</v>
      </c>
    </row>
    <row r="13" spans="1:34" ht="18.75" customHeight="1">
      <c r="A13" s="189" t="s">
        <v>363</v>
      </c>
      <c r="B13" s="150">
        <v>6122.7407802999996</v>
      </c>
      <c r="C13" s="151">
        <v>36.166820399999999</v>
      </c>
      <c r="D13" s="151">
        <v>1465.3658898000001</v>
      </c>
      <c r="E13" s="151">
        <v>1330.0615601</v>
      </c>
      <c r="F13" s="152">
        <v>3291.1465099999996</v>
      </c>
    </row>
    <row r="14" spans="1:34" ht="18.75" customHeight="1">
      <c r="A14" s="191" t="s">
        <v>364</v>
      </c>
      <c r="B14" s="156">
        <v>9476.5</v>
      </c>
      <c r="C14" s="157">
        <v>536</v>
      </c>
      <c r="D14" s="157">
        <v>1745.8</v>
      </c>
      <c r="E14" s="157">
        <v>4327.7</v>
      </c>
      <c r="F14" s="158">
        <v>2867</v>
      </c>
    </row>
    <row r="15" spans="1:34" s="195" customFormat="1" ht="17.25" customHeight="1">
      <c r="A15" s="192" t="s">
        <v>365</v>
      </c>
      <c r="B15" s="193"/>
      <c r="C15" s="193"/>
      <c r="D15" s="193"/>
      <c r="E15" s="193"/>
      <c r="F15" s="193"/>
      <c r="G15" s="193"/>
      <c r="H15" s="193"/>
      <c r="I15" s="193"/>
      <c r="J15" s="193"/>
      <c r="K15" s="193"/>
      <c r="L15" s="194"/>
      <c r="M15" s="193"/>
      <c r="N15" s="193"/>
      <c r="O15" s="193"/>
      <c r="P15" s="193"/>
      <c r="Q15" s="193"/>
      <c r="R15" s="193"/>
      <c r="S15" s="193"/>
      <c r="T15" s="193"/>
      <c r="U15" s="193"/>
      <c r="V15" s="193"/>
      <c r="W15" s="193"/>
      <c r="X15" s="193"/>
      <c r="Y15" s="193"/>
      <c r="Z15" s="193"/>
      <c r="AA15" s="193"/>
      <c r="AB15" s="193"/>
      <c r="AC15" s="193"/>
      <c r="AD15" s="193"/>
      <c r="AE15" s="193"/>
      <c r="AF15" s="193"/>
      <c r="AG15" s="193"/>
      <c r="AH15" s="193"/>
    </row>
    <row r="16" spans="1:34" s="195" customFormat="1" ht="17.25" customHeight="1">
      <c r="A16" s="192" t="s">
        <v>366</v>
      </c>
      <c r="B16" s="193"/>
      <c r="C16" s="193"/>
      <c r="D16" s="193"/>
      <c r="E16" s="193"/>
      <c r="F16" s="193"/>
      <c r="G16" s="193"/>
      <c r="H16" s="193"/>
      <c r="I16" s="193"/>
      <c r="J16" s="193"/>
      <c r="K16" s="193"/>
      <c r="L16" s="194"/>
      <c r="M16" s="193"/>
      <c r="N16" s="193"/>
      <c r="O16" s="193"/>
      <c r="P16" s="193"/>
      <c r="Q16" s="193"/>
      <c r="R16" s="193"/>
      <c r="S16" s="193"/>
      <c r="T16" s="193"/>
      <c r="U16" s="193"/>
      <c r="V16" s="193"/>
      <c r="W16" s="193"/>
      <c r="X16" s="193"/>
      <c r="Y16" s="193"/>
      <c r="Z16" s="193"/>
      <c r="AA16" s="193"/>
      <c r="AB16" s="193"/>
      <c r="AC16" s="193"/>
      <c r="AD16" s="193"/>
      <c r="AE16" s="193"/>
      <c r="AF16" s="193"/>
      <c r="AG16" s="193"/>
      <c r="AH16" s="193"/>
    </row>
    <row r="17" spans="1:34" s="198" customFormat="1" ht="15" customHeight="1">
      <c r="A17" s="196" t="s">
        <v>367</v>
      </c>
      <c r="B17" s="196"/>
      <c r="C17" s="196"/>
      <c r="D17" s="196"/>
      <c r="E17" s="196"/>
      <c r="F17" s="196"/>
      <c r="G17" s="196"/>
      <c r="H17" s="196"/>
      <c r="I17" s="196"/>
      <c r="J17" s="196"/>
      <c r="K17" s="196"/>
      <c r="L17" s="196"/>
      <c r="M17" s="196"/>
      <c r="N17" s="196"/>
      <c r="O17" s="196"/>
      <c r="P17" s="196"/>
      <c r="Q17" s="196"/>
      <c r="R17" s="196"/>
      <c r="S17" s="196"/>
      <c r="T17" s="196"/>
      <c r="U17" s="196"/>
      <c r="V17" s="196"/>
      <c r="W17" s="196"/>
      <c r="X17" s="196"/>
      <c r="Y17" s="196"/>
      <c r="Z17" s="196"/>
      <c r="AA17" s="196"/>
      <c r="AB17" s="196"/>
      <c r="AC17" s="196"/>
      <c r="AD17" s="196"/>
      <c r="AE17" s="196"/>
      <c r="AF17" s="197"/>
      <c r="AG17" s="197"/>
      <c r="AH17" s="197"/>
    </row>
    <row r="18" spans="1:34">
      <c r="A18" s="196" t="s">
        <v>368</v>
      </c>
      <c r="B18" s="196"/>
      <c r="C18" s="196"/>
      <c r="D18" s="196"/>
      <c r="E18" s="196"/>
      <c r="F18" s="196"/>
      <c r="G18" s="196"/>
      <c r="H18" s="196"/>
      <c r="I18" s="196"/>
      <c r="J18" s="196"/>
      <c r="K18" s="196"/>
      <c r="L18" s="196"/>
      <c r="M18" s="196"/>
      <c r="N18" s="196"/>
      <c r="O18" s="196"/>
      <c r="P18" s="196"/>
      <c r="Q18" s="196"/>
      <c r="R18" s="196"/>
      <c r="S18" s="196"/>
      <c r="T18" s="196"/>
      <c r="U18" s="196"/>
      <c r="V18" s="196"/>
      <c r="W18" s="196"/>
      <c r="X18" s="196"/>
      <c r="Y18" s="196"/>
      <c r="Z18" s="196"/>
      <c r="AA18" s="196"/>
      <c r="AB18" s="196"/>
      <c r="AC18" s="196"/>
      <c r="AD18" s="196"/>
      <c r="AE18" s="196"/>
      <c r="AF18" s="197"/>
      <c r="AG18" s="197"/>
      <c r="AH18" s="197"/>
    </row>
    <row r="19" spans="1:34">
      <c r="A19" s="314" t="s">
        <v>369</v>
      </c>
      <c r="B19" s="314"/>
      <c r="C19" s="314"/>
      <c r="D19" s="314"/>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3"/>
      <c r="AG19" s="313"/>
      <c r="AH19" s="313"/>
    </row>
    <row r="20" spans="1:34">
      <c r="A20" s="2931"/>
      <c r="B20" s="2931"/>
      <c r="C20" s="2931"/>
      <c r="D20" s="2931"/>
      <c r="E20" s="2931"/>
      <c r="F20" s="2931"/>
      <c r="G20" s="2931"/>
      <c r="H20" s="2931"/>
      <c r="I20" s="2931"/>
      <c r="J20" s="2931"/>
      <c r="K20" s="2931"/>
      <c r="L20" s="2931"/>
      <c r="M20" s="2931"/>
      <c r="N20" s="2931"/>
      <c r="O20" s="2931"/>
      <c r="P20" s="2931"/>
      <c r="Q20" s="2931"/>
      <c r="R20" s="2931"/>
      <c r="S20" s="2931"/>
      <c r="T20" s="2931"/>
      <c r="U20" s="2931"/>
      <c r="V20" s="2931"/>
      <c r="W20" s="2931"/>
      <c r="X20" s="2931"/>
      <c r="Y20" s="2931"/>
      <c r="Z20" s="2931"/>
      <c r="AA20" s="2931"/>
      <c r="AB20" s="2931"/>
      <c r="AC20" s="2931"/>
      <c r="AD20" s="2931"/>
      <c r="AE20" s="2931"/>
      <c r="AF20" s="2929"/>
      <c r="AG20" s="2929"/>
      <c r="AH20" s="2929"/>
    </row>
    <row r="21" spans="1:34">
      <c r="A21" s="2928" t="s">
        <v>370</v>
      </c>
      <c r="B21" s="2928"/>
      <c r="C21" s="2928"/>
      <c r="D21" s="2928"/>
      <c r="E21" s="2928"/>
      <c r="F21" s="2928"/>
      <c r="G21" s="2928"/>
      <c r="H21" s="2928"/>
      <c r="I21" s="2928"/>
      <c r="J21" s="2928"/>
      <c r="K21" s="2928"/>
      <c r="L21" s="2928"/>
      <c r="M21" s="2928"/>
      <c r="N21" s="2928"/>
      <c r="O21" s="2928"/>
      <c r="P21" s="2928"/>
      <c r="Q21" s="2928"/>
      <c r="R21" s="2928"/>
      <c r="S21" s="2928"/>
      <c r="T21" s="2928"/>
      <c r="U21" s="2928"/>
      <c r="V21" s="2928"/>
      <c r="W21" s="2928"/>
      <c r="X21" s="2928"/>
      <c r="Y21" s="2928"/>
      <c r="Z21" s="2928"/>
      <c r="AA21" s="2928"/>
      <c r="AB21" s="2928"/>
      <c r="AC21" s="2928"/>
      <c r="AD21" s="2928"/>
      <c r="AE21" s="2928"/>
      <c r="AF21" s="2929"/>
      <c r="AG21" s="2929"/>
      <c r="AH21" s="2929"/>
    </row>
  </sheetData>
  <mergeCells count="3">
    <mergeCell ref="A21:AH21"/>
    <mergeCell ref="A1:F1"/>
    <mergeCell ref="A20:AH20"/>
  </mergeCells>
  <phoneticPr fontId="6" type="noConversion"/>
  <printOptions horizontalCentered="1" verticalCentered="1"/>
  <pageMargins left="0.70866141732283472" right="0.70866141732283472" top="0.74803149606299213" bottom="0.74803149606299213" header="0.31496062992125984" footer="0.31496062992125984"/>
  <pageSetup paperSize="11" scale="86" orientation="landscape" r:id="rId1"/>
  <headerFooter differentOddEven="1" scaleWithDoc="0">
    <oddHeader>&amp;L&amp;"Times New Roman,標準"&amp;8 107&amp;"標楷體,標準"年犯罪狀況及其分析</oddHeader>
    <evenHeader>&amp;R&amp;"標楷體,標準"&amp;8第一篇　&amp;"Times New Roman,標準"107&amp;"標楷體,標準"年犯罪狀況及近&amp;"Times New Roman,標準"10&amp;"標楷體,標準"年犯罪趨勢分析</evenHead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G22"/>
  <sheetViews>
    <sheetView showGridLines="0" zoomScaleNormal="100" workbookViewId="0">
      <selection activeCell="A18" sqref="A18:H18"/>
    </sheetView>
  </sheetViews>
  <sheetFormatPr defaultRowHeight="15.75"/>
  <cols>
    <col min="1" max="1" width="33.5" style="1058" customWidth="1"/>
    <col min="2" max="7" width="15.875" style="1058" customWidth="1"/>
    <col min="8" max="256" width="9" style="1058"/>
    <col min="257" max="257" width="33.5" style="1058" customWidth="1"/>
    <col min="258" max="263" width="15.875" style="1058" customWidth="1"/>
    <col min="264" max="512" width="9" style="1058"/>
    <col min="513" max="513" width="33.5" style="1058" customWidth="1"/>
    <col min="514" max="519" width="15.875" style="1058" customWidth="1"/>
    <col min="520" max="768" width="9" style="1058"/>
    <col min="769" max="769" width="33.5" style="1058" customWidth="1"/>
    <col min="770" max="775" width="15.875" style="1058" customWidth="1"/>
    <col min="776" max="1024" width="9" style="1058"/>
    <col min="1025" max="1025" width="33.5" style="1058" customWidth="1"/>
    <col min="1026" max="1031" width="15.875" style="1058" customWidth="1"/>
    <col min="1032" max="1280" width="9" style="1058"/>
    <col min="1281" max="1281" width="33.5" style="1058" customWidth="1"/>
    <col min="1282" max="1287" width="15.875" style="1058" customWidth="1"/>
    <col min="1288" max="1536" width="9" style="1058"/>
    <col min="1537" max="1537" width="33.5" style="1058" customWidth="1"/>
    <col min="1538" max="1543" width="15.875" style="1058" customWidth="1"/>
    <col min="1544" max="1792" width="9" style="1058"/>
    <col min="1793" max="1793" width="33.5" style="1058" customWidth="1"/>
    <col min="1794" max="1799" width="15.875" style="1058" customWidth="1"/>
    <col min="1800" max="2048" width="9" style="1058"/>
    <col min="2049" max="2049" width="33.5" style="1058" customWidth="1"/>
    <col min="2050" max="2055" width="15.875" style="1058" customWidth="1"/>
    <col min="2056" max="2304" width="9" style="1058"/>
    <col min="2305" max="2305" width="33.5" style="1058" customWidth="1"/>
    <col min="2306" max="2311" width="15.875" style="1058" customWidth="1"/>
    <col min="2312" max="2560" width="9" style="1058"/>
    <col min="2561" max="2561" width="33.5" style="1058" customWidth="1"/>
    <col min="2562" max="2567" width="15.875" style="1058" customWidth="1"/>
    <col min="2568" max="2816" width="9" style="1058"/>
    <col min="2817" max="2817" width="33.5" style="1058" customWidth="1"/>
    <col min="2818" max="2823" width="15.875" style="1058" customWidth="1"/>
    <col min="2824" max="3072" width="9" style="1058"/>
    <col min="3073" max="3073" width="33.5" style="1058" customWidth="1"/>
    <col min="3074" max="3079" width="15.875" style="1058" customWidth="1"/>
    <col min="3080" max="3328" width="9" style="1058"/>
    <col min="3329" max="3329" width="33.5" style="1058" customWidth="1"/>
    <col min="3330" max="3335" width="15.875" style="1058" customWidth="1"/>
    <col min="3336" max="3584" width="9" style="1058"/>
    <col min="3585" max="3585" width="33.5" style="1058" customWidth="1"/>
    <col min="3586" max="3591" width="15.875" style="1058" customWidth="1"/>
    <col min="3592" max="3840" width="9" style="1058"/>
    <col min="3841" max="3841" width="33.5" style="1058" customWidth="1"/>
    <col min="3842" max="3847" width="15.875" style="1058" customWidth="1"/>
    <col min="3848" max="4096" width="9" style="1058"/>
    <col min="4097" max="4097" width="33.5" style="1058" customWidth="1"/>
    <col min="4098" max="4103" width="15.875" style="1058" customWidth="1"/>
    <col min="4104" max="4352" width="9" style="1058"/>
    <col min="4353" max="4353" width="33.5" style="1058" customWidth="1"/>
    <col min="4354" max="4359" width="15.875" style="1058" customWidth="1"/>
    <col min="4360" max="4608" width="9" style="1058"/>
    <col min="4609" max="4609" width="33.5" style="1058" customWidth="1"/>
    <col min="4610" max="4615" width="15.875" style="1058" customWidth="1"/>
    <col min="4616" max="4864" width="9" style="1058"/>
    <col min="4865" max="4865" width="33.5" style="1058" customWidth="1"/>
    <col min="4866" max="4871" width="15.875" style="1058" customWidth="1"/>
    <col min="4872" max="5120" width="9" style="1058"/>
    <col min="5121" max="5121" width="33.5" style="1058" customWidth="1"/>
    <col min="5122" max="5127" width="15.875" style="1058" customWidth="1"/>
    <col min="5128" max="5376" width="9" style="1058"/>
    <col min="5377" max="5377" width="33.5" style="1058" customWidth="1"/>
    <col min="5378" max="5383" width="15.875" style="1058" customWidth="1"/>
    <col min="5384" max="5632" width="9" style="1058"/>
    <col min="5633" max="5633" width="33.5" style="1058" customWidth="1"/>
    <col min="5634" max="5639" width="15.875" style="1058" customWidth="1"/>
    <col min="5640" max="5888" width="9" style="1058"/>
    <col min="5889" max="5889" width="33.5" style="1058" customWidth="1"/>
    <col min="5890" max="5895" width="15.875" style="1058" customWidth="1"/>
    <col min="5896" max="6144" width="9" style="1058"/>
    <col min="6145" max="6145" width="33.5" style="1058" customWidth="1"/>
    <col min="6146" max="6151" width="15.875" style="1058" customWidth="1"/>
    <col min="6152" max="6400" width="9" style="1058"/>
    <col min="6401" max="6401" width="33.5" style="1058" customWidth="1"/>
    <col min="6402" max="6407" width="15.875" style="1058" customWidth="1"/>
    <col min="6408" max="6656" width="9" style="1058"/>
    <col min="6657" max="6657" width="33.5" style="1058" customWidth="1"/>
    <col min="6658" max="6663" width="15.875" style="1058" customWidth="1"/>
    <col min="6664" max="6912" width="9" style="1058"/>
    <col min="6913" max="6913" width="33.5" style="1058" customWidth="1"/>
    <col min="6914" max="6919" width="15.875" style="1058" customWidth="1"/>
    <col min="6920" max="7168" width="9" style="1058"/>
    <col min="7169" max="7169" width="33.5" style="1058" customWidth="1"/>
    <col min="7170" max="7175" width="15.875" style="1058" customWidth="1"/>
    <col min="7176" max="7424" width="9" style="1058"/>
    <col min="7425" max="7425" width="33.5" style="1058" customWidth="1"/>
    <col min="7426" max="7431" width="15.875" style="1058" customWidth="1"/>
    <col min="7432" max="7680" width="9" style="1058"/>
    <col min="7681" max="7681" width="33.5" style="1058" customWidth="1"/>
    <col min="7682" max="7687" width="15.875" style="1058" customWidth="1"/>
    <col min="7688" max="7936" width="9" style="1058"/>
    <col min="7937" max="7937" width="33.5" style="1058" customWidth="1"/>
    <col min="7938" max="7943" width="15.875" style="1058" customWidth="1"/>
    <col min="7944" max="8192" width="9" style="1058"/>
    <col min="8193" max="8193" width="33.5" style="1058" customWidth="1"/>
    <col min="8194" max="8199" width="15.875" style="1058" customWidth="1"/>
    <col min="8200" max="8448" width="9" style="1058"/>
    <col min="8449" max="8449" width="33.5" style="1058" customWidth="1"/>
    <col min="8450" max="8455" width="15.875" style="1058" customWidth="1"/>
    <col min="8456" max="8704" width="9" style="1058"/>
    <col min="8705" max="8705" width="33.5" style="1058" customWidth="1"/>
    <col min="8706" max="8711" width="15.875" style="1058" customWidth="1"/>
    <col min="8712" max="8960" width="9" style="1058"/>
    <col min="8961" max="8961" width="33.5" style="1058" customWidth="1"/>
    <col min="8962" max="8967" width="15.875" style="1058" customWidth="1"/>
    <col min="8968" max="9216" width="9" style="1058"/>
    <col min="9217" max="9217" width="33.5" style="1058" customWidth="1"/>
    <col min="9218" max="9223" width="15.875" style="1058" customWidth="1"/>
    <col min="9224" max="9472" width="9" style="1058"/>
    <col min="9473" max="9473" width="33.5" style="1058" customWidth="1"/>
    <col min="9474" max="9479" width="15.875" style="1058" customWidth="1"/>
    <col min="9480" max="9728" width="9" style="1058"/>
    <col min="9729" max="9729" width="33.5" style="1058" customWidth="1"/>
    <col min="9730" max="9735" width="15.875" style="1058" customWidth="1"/>
    <col min="9736" max="9984" width="9" style="1058"/>
    <col min="9985" max="9985" width="33.5" style="1058" customWidth="1"/>
    <col min="9986" max="9991" width="15.875" style="1058" customWidth="1"/>
    <col min="9992" max="10240" width="9" style="1058"/>
    <col min="10241" max="10241" width="33.5" style="1058" customWidth="1"/>
    <col min="10242" max="10247" width="15.875" style="1058" customWidth="1"/>
    <col min="10248" max="10496" width="9" style="1058"/>
    <col min="10497" max="10497" width="33.5" style="1058" customWidth="1"/>
    <col min="10498" max="10503" width="15.875" style="1058" customWidth="1"/>
    <col min="10504" max="10752" width="9" style="1058"/>
    <col min="10753" max="10753" width="33.5" style="1058" customWidth="1"/>
    <col min="10754" max="10759" width="15.875" style="1058" customWidth="1"/>
    <col min="10760" max="11008" width="9" style="1058"/>
    <col min="11009" max="11009" width="33.5" style="1058" customWidth="1"/>
    <col min="11010" max="11015" width="15.875" style="1058" customWidth="1"/>
    <col min="11016" max="11264" width="9" style="1058"/>
    <col min="11265" max="11265" width="33.5" style="1058" customWidth="1"/>
    <col min="11266" max="11271" width="15.875" style="1058" customWidth="1"/>
    <col min="11272" max="11520" width="9" style="1058"/>
    <col min="11521" max="11521" width="33.5" style="1058" customWidth="1"/>
    <col min="11522" max="11527" width="15.875" style="1058" customWidth="1"/>
    <col min="11528" max="11776" width="9" style="1058"/>
    <col min="11777" max="11777" width="33.5" style="1058" customWidth="1"/>
    <col min="11778" max="11783" width="15.875" style="1058" customWidth="1"/>
    <col min="11784" max="12032" width="9" style="1058"/>
    <col min="12033" max="12033" width="33.5" style="1058" customWidth="1"/>
    <col min="12034" max="12039" width="15.875" style="1058" customWidth="1"/>
    <col min="12040" max="12288" width="9" style="1058"/>
    <col min="12289" max="12289" width="33.5" style="1058" customWidth="1"/>
    <col min="12290" max="12295" width="15.875" style="1058" customWidth="1"/>
    <col min="12296" max="12544" width="9" style="1058"/>
    <col min="12545" max="12545" width="33.5" style="1058" customWidth="1"/>
    <col min="12546" max="12551" width="15.875" style="1058" customWidth="1"/>
    <col min="12552" max="12800" width="9" style="1058"/>
    <col min="12801" max="12801" width="33.5" style="1058" customWidth="1"/>
    <col min="12802" max="12807" width="15.875" style="1058" customWidth="1"/>
    <col min="12808" max="13056" width="9" style="1058"/>
    <col min="13057" max="13057" width="33.5" style="1058" customWidth="1"/>
    <col min="13058" max="13063" width="15.875" style="1058" customWidth="1"/>
    <col min="13064" max="13312" width="9" style="1058"/>
    <col min="13313" max="13313" width="33.5" style="1058" customWidth="1"/>
    <col min="13314" max="13319" width="15.875" style="1058" customWidth="1"/>
    <col min="13320" max="13568" width="9" style="1058"/>
    <col min="13569" max="13569" width="33.5" style="1058" customWidth="1"/>
    <col min="13570" max="13575" width="15.875" style="1058" customWidth="1"/>
    <col min="13576" max="13824" width="9" style="1058"/>
    <col min="13825" max="13825" width="33.5" style="1058" customWidth="1"/>
    <col min="13826" max="13831" width="15.875" style="1058" customWidth="1"/>
    <col min="13832" max="14080" width="9" style="1058"/>
    <col min="14081" max="14081" width="33.5" style="1058" customWidth="1"/>
    <col min="14082" max="14087" width="15.875" style="1058" customWidth="1"/>
    <col min="14088" max="14336" width="9" style="1058"/>
    <col min="14337" max="14337" width="33.5" style="1058" customWidth="1"/>
    <col min="14338" max="14343" width="15.875" style="1058" customWidth="1"/>
    <col min="14344" max="14592" width="9" style="1058"/>
    <col min="14593" max="14593" width="33.5" style="1058" customWidth="1"/>
    <col min="14594" max="14599" width="15.875" style="1058" customWidth="1"/>
    <col min="14600" max="14848" width="9" style="1058"/>
    <col min="14849" max="14849" width="33.5" style="1058" customWidth="1"/>
    <col min="14850" max="14855" width="15.875" style="1058" customWidth="1"/>
    <col min="14856" max="15104" width="9" style="1058"/>
    <col min="15105" max="15105" width="33.5" style="1058" customWidth="1"/>
    <col min="15106" max="15111" width="15.875" style="1058" customWidth="1"/>
    <col min="15112" max="15360" width="9" style="1058"/>
    <col min="15361" max="15361" width="33.5" style="1058" customWidth="1"/>
    <col min="15362" max="15367" width="15.875" style="1058" customWidth="1"/>
    <col min="15368" max="15616" width="9" style="1058"/>
    <col min="15617" max="15617" width="33.5" style="1058" customWidth="1"/>
    <col min="15618" max="15623" width="15.875" style="1058" customWidth="1"/>
    <col min="15624" max="15872" width="9" style="1058"/>
    <col min="15873" max="15873" width="33.5" style="1058" customWidth="1"/>
    <col min="15874" max="15879" width="15.875" style="1058" customWidth="1"/>
    <col min="15880" max="16128" width="9" style="1058"/>
    <col min="16129" max="16129" width="33.5" style="1058" customWidth="1"/>
    <col min="16130" max="16135" width="15.875" style="1058" customWidth="1"/>
    <col min="16136" max="16384" width="9" style="1058"/>
  </cols>
  <sheetData>
    <row r="1" spans="1:7" ht="30.6" customHeight="1">
      <c r="A1" s="3190" t="s">
        <v>3780</v>
      </c>
      <c r="B1" s="3190"/>
      <c r="C1" s="3190"/>
      <c r="D1" s="3190"/>
      <c r="E1" s="3190"/>
      <c r="F1" s="3190"/>
      <c r="G1" s="3190"/>
    </row>
    <row r="2" spans="1:7" ht="35.65" customHeight="1">
      <c r="A2" s="4071" t="s">
        <v>948</v>
      </c>
      <c r="B2" s="4073" t="s">
        <v>3467</v>
      </c>
      <c r="C2" s="4074"/>
      <c r="D2" s="4073" t="s">
        <v>3637</v>
      </c>
      <c r="E2" s="4074"/>
      <c r="F2" s="4073" t="s">
        <v>3638</v>
      </c>
      <c r="G2" s="4075"/>
    </row>
    <row r="3" spans="1:7" ht="28.5" customHeight="1">
      <c r="A3" s="4072"/>
      <c r="B3" s="2533" t="s">
        <v>3658</v>
      </c>
      <c r="C3" s="2533" t="s">
        <v>3458</v>
      </c>
      <c r="D3" s="2533" t="s">
        <v>3658</v>
      </c>
      <c r="E3" s="2533" t="s">
        <v>3458</v>
      </c>
      <c r="F3" s="2533" t="s">
        <v>3699</v>
      </c>
      <c r="G3" s="2533" t="s">
        <v>3458</v>
      </c>
    </row>
    <row r="4" spans="1:7" ht="20.100000000000001" customHeight="1">
      <c r="A4" s="2428" t="s">
        <v>3659</v>
      </c>
      <c r="B4" s="2534">
        <v>302</v>
      </c>
      <c r="C4" s="2535">
        <v>100</v>
      </c>
      <c r="D4" s="2534">
        <v>345</v>
      </c>
      <c r="E4" s="2535">
        <v>100</v>
      </c>
      <c r="F4" s="2534">
        <v>340</v>
      </c>
      <c r="G4" s="2535">
        <v>100</v>
      </c>
    </row>
    <row r="5" spans="1:7" ht="20.100000000000001" customHeight="1">
      <c r="A5" s="2428" t="s">
        <v>812</v>
      </c>
      <c r="B5" s="2534">
        <v>82</v>
      </c>
      <c r="C5" s="2535">
        <v>27.152317880794701</v>
      </c>
      <c r="D5" s="2534">
        <v>103</v>
      </c>
      <c r="E5" s="2535">
        <v>29.855072463768117</v>
      </c>
      <c r="F5" s="2534">
        <v>113</v>
      </c>
      <c r="G5" s="2535">
        <v>33.235294117647058</v>
      </c>
    </row>
    <row r="6" spans="1:7" ht="20.100000000000001" customHeight="1">
      <c r="A6" s="2428" t="s">
        <v>981</v>
      </c>
      <c r="B6" s="2534">
        <v>38</v>
      </c>
      <c r="C6" s="2535">
        <v>12.582781456953644</v>
      </c>
      <c r="D6" s="2534">
        <v>23</v>
      </c>
      <c r="E6" s="2535">
        <v>6.666666666666667</v>
      </c>
      <c r="F6" s="2534">
        <v>20</v>
      </c>
      <c r="G6" s="2535">
        <v>5.8823529411764701</v>
      </c>
    </row>
    <row r="7" spans="1:7" ht="20.100000000000001" customHeight="1">
      <c r="A7" s="2428" t="s">
        <v>3546</v>
      </c>
      <c r="B7" s="2534">
        <v>1</v>
      </c>
      <c r="C7" s="2535">
        <v>0.33112582781456956</v>
      </c>
      <c r="D7" s="2534">
        <v>14</v>
      </c>
      <c r="E7" s="2536">
        <v>4.057971014492753</v>
      </c>
      <c r="F7" s="2537" t="s">
        <v>3249</v>
      </c>
      <c r="G7" s="2537" t="s">
        <v>3249</v>
      </c>
    </row>
    <row r="8" spans="1:7" ht="20.100000000000001" customHeight="1">
      <c r="A8" s="2428" t="s">
        <v>3548</v>
      </c>
      <c r="B8" s="2534">
        <v>0</v>
      </c>
      <c r="C8" s="2538">
        <v>0</v>
      </c>
      <c r="D8" s="2534">
        <v>13</v>
      </c>
      <c r="E8" s="2536">
        <v>3.7681159420289858</v>
      </c>
      <c r="F8" s="2537">
        <v>3</v>
      </c>
      <c r="G8" s="2536">
        <v>0.88235294117647056</v>
      </c>
    </row>
    <row r="9" spans="1:7" ht="20.100000000000001" customHeight="1">
      <c r="A9" s="2428" t="s">
        <v>827</v>
      </c>
      <c r="B9" s="2534">
        <v>10</v>
      </c>
      <c r="C9" s="2535">
        <v>3.3112582781456954</v>
      </c>
      <c r="D9" s="2534">
        <v>10</v>
      </c>
      <c r="E9" s="2536">
        <v>2.8985507246376812</v>
      </c>
      <c r="F9" s="2537">
        <v>11</v>
      </c>
      <c r="G9" s="2536">
        <v>3.2352941176470593</v>
      </c>
    </row>
    <row r="10" spans="1:7" ht="20.100000000000001" customHeight="1">
      <c r="A10" s="2428" t="s">
        <v>985</v>
      </c>
      <c r="B10" s="2534">
        <v>12</v>
      </c>
      <c r="C10" s="2535">
        <v>3.9735099337748347</v>
      </c>
      <c r="D10" s="2534">
        <v>10</v>
      </c>
      <c r="E10" s="2536">
        <v>2.8985507246376812</v>
      </c>
      <c r="F10" s="2537">
        <v>17</v>
      </c>
      <c r="G10" s="2536">
        <v>5</v>
      </c>
    </row>
    <row r="11" spans="1:7" ht="20.100000000000001" customHeight="1">
      <c r="A11" s="2428" t="s">
        <v>3523</v>
      </c>
      <c r="B11" s="2534">
        <v>1</v>
      </c>
      <c r="C11" s="2535">
        <v>0.33112582781456956</v>
      </c>
      <c r="D11" s="2534">
        <v>8</v>
      </c>
      <c r="E11" s="2536">
        <v>2.318840579710145</v>
      </c>
      <c r="F11" s="2537">
        <v>1</v>
      </c>
      <c r="G11" s="2536">
        <v>0.29411764705882354</v>
      </c>
    </row>
    <row r="12" spans="1:7" ht="20.100000000000001" customHeight="1">
      <c r="A12" s="2428" t="s">
        <v>3526</v>
      </c>
      <c r="B12" s="2534">
        <v>1</v>
      </c>
      <c r="C12" s="2535">
        <v>0.33112582781456956</v>
      </c>
      <c r="D12" s="2534">
        <v>6</v>
      </c>
      <c r="E12" s="2536">
        <v>1.7391304347826086</v>
      </c>
      <c r="F12" s="2537" t="s">
        <v>3781</v>
      </c>
      <c r="G12" s="2537" t="s">
        <v>3781</v>
      </c>
    </row>
    <row r="13" spans="1:7" ht="20.100000000000001" customHeight="1">
      <c r="A13" s="2428" t="s">
        <v>986</v>
      </c>
      <c r="B13" s="2534">
        <v>1</v>
      </c>
      <c r="C13" s="2535">
        <v>0.33112582781456956</v>
      </c>
      <c r="D13" s="2534">
        <v>5</v>
      </c>
      <c r="E13" s="2536">
        <v>1.4492753623188406</v>
      </c>
      <c r="F13" s="2537">
        <v>1</v>
      </c>
      <c r="G13" s="2536">
        <v>0.29411764705882354</v>
      </c>
    </row>
    <row r="14" spans="1:7" ht="20.100000000000001" customHeight="1">
      <c r="A14" s="2428" t="s">
        <v>984</v>
      </c>
      <c r="B14" s="2534">
        <v>0</v>
      </c>
      <c r="C14" s="2535">
        <v>0</v>
      </c>
      <c r="D14" s="2534">
        <v>5</v>
      </c>
      <c r="E14" s="2536">
        <v>1.4492753623188406</v>
      </c>
      <c r="F14" s="2537">
        <v>1</v>
      </c>
      <c r="G14" s="2536">
        <v>0.29411764705882354</v>
      </c>
    </row>
    <row r="15" spans="1:7" ht="20.100000000000001" customHeight="1">
      <c r="A15" s="2428" t="s">
        <v>3539</v>
      </c>
      <c r="B15" s="2534">
        <v>1</v>
      </c>
      <c r="C15" s="2535">
        <v>0.33112582781456956</v>
      </c>
      <c r="D15" s="2534">
        <v>3</v>
      </c>
      <c r="E15" s="2536">
        <v>0.86956521739130432</v>
      </c>
      <c r="F15" s="2537" t="s">
        <v>3781</v>
      </c>
      <c r="G15" s="2537" t="s">
        <v>3781</v>
      </c>
    </row>
    <row r="16" spans="1:7" ht="20.100000000000001" customHeight="1">
      <c r="A16" s="2428" t="s">
        <v>982</v>
      </c>
      <c r="B16" s="2534">
        <v>5</v>
      </c>
      <c r="C16" s="2535">
        <v>1.6556291390728477</v>
      </c>
      <c r="D16" s="2534">
        <v>2</v>
      </c>
      <c r="E16" s="2536">
        <v>0.57971014492753625</v>
      </c>
      <c r="F16" s="2537">
        <v>1</v>
      </c>
      <c r="G16" s="2536">
        <v>0.29411764705882354</v>
      </c>
    </row>
    <row r="17" spans="1:7" ht="20.100000000000001" customHeight="1">
      <c r="A17" s="2428" t="s">
        <v>990</v>
      </c>
      <c r="B17" s="2534">
        <v>2</v>
      </c>
      <c r="C17" s="2535">
        <v>0.66225165562913912</v>
      </c>
      <c r="D17" s="2534">
        <v>1</v>
      </c>
      <c r="E17" s="2536">
        <v>0.28985507246376813</v>
      </c>
      <c r="F17" s="2537">
        <v>1</v>
      </c>
      <c r="G17" s="2536">
        <v>0.28985507246376813</v>
      </c>
    </row>
    <row r="18" spans="1:7" ht="20.100000000000001" customHeight="1">
      <c r="A18" s="2428" t="s">
        <v>3528</v>
      </c>
      <c r="B18" s="2534">
        <v>4</v>
      </c>
      <c r="C18" s="2535">
        <v>1.3245033112582782</v>
      </c>
      <c r="D18" s="2534">
        <v>0</v>
      </c>
      <c r="E18" s="2539">
        <v>0</v>
      </c>
      <c r="F18" s="2537">
        <v>5</v>
      </c>
      <c r="G18" s="2536">
        <v>1.4705882352941175</v>
      </c>
    </row>
    <row r="19" spans="1:7" ht="20.100000000000001" customHeight="1">
      <c r="A19" s="2431" t="s">
        <v>829</v>
      </c>
      <c r="B19" s="2540">
        <v>144</v>
      </c>
      <c r="C19" s="2541">
        <v>47.682119205298015</v>
      </c>
      <c r="D19" s="2540">
        <v>142</v>
      </c>
      <c r="E19" s="2542">
        <v>41.159420289855063</v>
      </c>
      <c r="F19" s="2543">
        <v>166</v>
      </c>
      <c r="G19" s="2542">
        <v>48.82</v>
      </c>
    </row>
    <row r="20" spans="1:7">
      <c r="A20" s="2544" t="s">
        <v>3782</v>
      </c>
    </row>
    <row r="21" spans="1:7" s="2434" customFormat="1" ht="14.25">
      <c r="A21" s="4070" t="s">
        <v>3783</v>
      </c>
      <c r="B21" s="4070"/>
    </row>
    <row r="22" spans="1:7" s="2434" customFormat="1" ht="14.25">
      <c r="A22" s="4070" t="s">
        <v>3784</v>
      </c>
      <c r="B22" s="4070"/>
      <c r="C22" s="4070"/>
      <c r="D22" s="4070"/>
      <c r="F22" s="2545"/>
    </row>
  </sheetData>
  <mergeCells count="7">
    <mergeCell ref="A22:D22"/>
    <mergeCell ref="A1:G1"/>
    <mergeCell ref="A2:A3"/>
    <mergeCell ref="B2:C2"/>
    <mergeCell ref="D2:E2"/>
    <mergeCell ref="F2:G2"/>
    <mergeCell ref="A21:B21"/>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71" firstPageNumber="262" orientation="landscape" r:id="rId1"/>
  <headerFooter differentOddEven="1" scaleWithDoc="0">
    <oddHeader>&amp;L&amp;"Times New Roman,標準"&amp;8 107&amp;"標楷體,標準"年犯罪狀況及其分析</oddHeader>
    <evenHeader>&amp;R&amp;"標楷體,標準"&amp;8第四篇　特定類型犯罪者之犯罪趨勢與處遇</evenHead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W160"/>
  <sheetViews>
    <sheetView showGridLines="0" topLeftCell="A136" workbookViewId="0">
      <selection activeCell="A155" sqref="A155:B155"/>
    </sheetView>
  </sheetViews>
  <sheetFormatPr defaultRowHeight="15.75"/>
  <cols>
    <col min="1" max="1" width="11.25" style="2578" customWidth="1"/>
    <col min="2" max="2" width="22.75" style="2578" customWidth="1"/>
    <col min="3" max="3" width="10.625" style="2549" customWidth="1"/>
    <col min="4" max="4" width="10.625" style="2550" customWidth="1"/>
    <col min="5" max="5" width="10.625" style="2549" customWidth="1"/>
    <col min="6" max="6" width="10.625" style="2550" customWidth="1"/>
    <col min="7" max="7" width="10.625" style="2549" customWidth="1"/>
    <col min="8" max="8" width="10.625" style="2550" customWidth="1"/>
    <col min="9" max="9" width="10.625" style="2549" customWidth="1"/>
    <col min="10" max="10" width="10.625" style="2550" customWidth="1"/>
    <col min="11" max="11" width="10.625" style="2549" customWidth="1"/>
    <col min="12" max="12" width="10.625" style="2550" customWidth="1"/>
    <col min="13" max="13" width="10.625" style="2549" customWidth="1"/>
    <col min="14" max="14" width="10.625" style="2550" customWidth="1"/>
    <col min="15" max="15" width="10.625" style="2552" customWidth="1"/>
    <col min="16" max="16" width="10.625" style="2550" customWidth="1"/>
    <col min="17" max="17" width="10.625" style="2552" customWidth="1"/>
    <col min="18" max="18" width="10.625" style="2550" customWidth="1"/>
    <col min="19" max="19" width="10.625" style="2552" customWidth="1"/>
    <col min="20" max="20" width="10.625" style="2550" customWidth="1"/>
    <col min="21" max="21" width="10.625" style="2549" customWidth="1"/>
    <col min="22" max="22" width="10.625" style="2550" customWidth="1"/>
    <col min="23" max="23" width="9.5" style="2304" bestFit="1" customWidth="1"/>
    <col min="24" max="31" width="9" style="2304"/>
    <col min="32" max="32" width="9.25" style="2304" bestFit="1" customWidth="1"/>
    <col min="33" max="16384" width="9" style="2304"/>
  </cols>
  <sheetData>
    <row r="1" spans="1:22" ht="20.25">
      <c r="A1" s="4081" t="s">
        <v>3785</v>
      </c>
      <c r="B1" s="4081"/>
      <c r="C1" s="4081"/>
      <c r="D1" s="4081"/>
      <c r="E1" s="4081"/>
      <c r="F1" s="4081"/>
      <c r="G1" s="4081"/>
      <c r="H1" s="4081"/>
      <c r="I1" s="4081"/>
      <c r="J1" s="4081"/>
      <c r="K1" s="4081"/>
      <c r="L1" s="4081"/>
      <c r="M1" s="4081"/>
      <c r="N1" s="4081"/>
      <c r="O1" s="4081"/>
      <c r="P1" s="4081"/>
      <c r="Q1" s="4081"/>
      <c r="R1" s="4081"/>
      <c r="S1" s="4081"/>
      <c r="T1" s="4081"/>
      <c r="U1" s="4081"/>
      <c r="V1" s="4081"/>
    </row>
    <row r="2" spans="1:22" ht="16.5">
      <c r="A2" s="2546"/>
      <c r="B2" s="2546"/>
      <c r="C2" s="2547"/>
      <c r="D2" s="2548"/>
      <c r="E2" s="2547"/>
      <c r="F2" s="2548"/>
      <c r="G2" s="2547"/>
      <c r="H2" s="2548"/>
      <c r="I2" s="2547"/>
      <c r="J2" s="2548"/>
      <c r="N2" s="2551"/>
      <c r="U2" s="4082" t="s">
        <v>3786</v>
      </c>
      <c r="V2" s="4082"/>
    </row>
    <row r="3" spans="1:22" ht="16.5">
      <c r="A3" s="4077"/>
      <c r="B3" s="4077"/>
      <c r="C3" s="4076" t="s">
        <v>68</v>
      </c>
      <c r="D3" s="4076"/>
      <c r="E3" s="4076" t="s">
        <v>69</v>
      </c>
      <c r="F3" s="4076"/>
      <c r="G3" s="4076" t="s">
        <v>70</v>
      </c>
      <c r="H3" s="4076"/>
      <c r="I3" s="4076" t="s">
        <v>71</v>
      </c>
      <c r="J3" s="4076"/>
      <c r="K3" s="4076" t="s">
        <v>72</v>
      </c>
      <c r="L3" s="4076"/>
      <c r="M3" s="4076" t="s">
        <v>73</v>
      </c>
      <c r="N3" s="4076"/>
      <c r="O3" s="4076" t="s">
        <v>74</v>
      </c>
      <c r="P3" s="4076"/>
      <c r="Q3" s="4076" t="s">
        <v>75</v>
      </c>
      <c r="R3" s="4076"/>
      <c r="S3" s="4076" t="s">
        <v>3787</v>
      </c>
      <c r="T3" s="4076"/>
      <c r="U3" s="4077" t="s">
        <v>3788</v>
      </c>
      <c r="V3" s="4077"/>
    </row>
    <row r="4" spans="1:22" ht="16.5">
      <c r="A4" s="4078" t="s">
        <v>3789</v>
      </c>
      <c r="B4" s="4079"/>
      <c r="C4" s="2553">
        <f t="shared" ref="C4:V4" si="0">SUM(C5:C152)</f>
        <v>281329</v>
      </c>
      <c r="D4" s="2554">
        <f t="shared" si="0"/>
        <v>100.00000000000009</v>
      </c>
      <c r="E4" s="2553">
        <f t="shared" si="0"/>
        <v>262956</v>
      </c>
      <c r="F4" s="2554">
        <f t="shared" si="0"/>
        <v>100.00000000000009</v>
      </c>
      <c r="G4" s="2553">
        <f t="shared" si="0"/>
        <v>233604</v>
      </c>
      <c r="H4" s="2554">
        <f t="shared" si="0"/>
        <v>99.999999999999915</v>
      </c>
      <c r="I4" s="2553">
        <f t="shared" si="0"/>
        <v>208451</v>
      </c>
      <c r="J4" s="2554">
        <f t="shared" si="0"/>
        <v>99.998560812852901</v>
      </c>
      <c r="K4" s="2553">
        <f t="shared" si="0"/>
        <v>209646</v>
      </c>
      <c r="L4" s="2554">
        <f t="shared" si="0"/>
        <v>100.00000000000001</v>
      </c>
      <c r="M4" s="2553">
        <f t="shared" si="0"/>
        <v>193725</v>
      </c>
      <c r="N4" s="2554">
        <f t="shared" si="0"/>
        <v>99.999999999999929</v>
      </c>
      <c r="O4" s="2555">
        <f t="shared" si="0"/>
        <v>191701</v>
      </c>
      <c r="P4" s="2554">
        <f t="shared" si="0"/>
        <v>99.999999999999972</v>
      </c>
      <c r="Q4" s="2555">
        <f t="shared" si="0"/>
        <v>188260</v>
      </c>
      <c r="R4" s="2554">
        <f t="shared" si="0"/>
        <v>100.0000000000001</v>
      </c>
      <c r="S4" s="2555">
        <f t="shared" si="0"/>
        <v>186700</v>
      </c>
      <c r="T4" s="2554">
        <f t="shared" si="0"/>
        <v>100.00000000000001</v>
      </c>
      <c r="U4" s="2556">
        <f t="shared" si="0"/>
        <v>184551</v>
      </c>
      <c r="V4" s="2557">
        <f t="shared" si="0"/>
        <v>99.999999999999901</v>
      </c>
    </row>
    <row r="5" spans="1:22" s="2562" customFormat="1" ht="16.5" customHeight="1">
      <c r="A5" s="4080" t="s">
        <v>3790</v>
      </c>
      <c r="B5" s="4080"/>
      <c r="C5" s="2558">
        <v>79950</v>
      </c>
      <c r="D5" s="2559">
        <f t="shared" ref="D5:D63" si="1">C5/C$4*100</f>
        <v>28.418684174045332</v>
      </c>
      <c r="E5" s="2558">
        <v>71809</v>
      </c>
      <c r="F5" s="2559">
        <f t="shared" ref="F5:F63" si="2">E5/E$4*100</f>
        <v>27.308370982217557</v>
      </c>
      <c r="G5" s="2558">
        <v>65128</v>
      </c>
      <c r="H5" s="2559">
        <f t="shared" ref="H5:H63" si="3">G5/G$4*100</f>
        <v>27.879659594869949</v>
      </c>
      <c r="I5" s="2558">
        <v>56810</v>
      </c>
      <c r="J5" s="2559">
        <f t="shared" ref="J5:J48" si="4">I5/I$4*100</f>
        <v>27.253407275570758</v>
      </c>
      <c r="K5" s="2558">
        <v>53026</v>
      </c>
      <c r="L5" s="2559">
        <f t="shared" ref="L5:L68" si="5">K5/K$4*100</f>
        <v>25.293113152647795</v>
      </c>
      <c r="M5" s="2558">
        <v>47314</v>
      </c>
      <c r="N5" s="2559">
        <f t="shared" ref="N5:N52" si="6">M5/M$4*100</f>
        <v>24.423280423280424</v>
      </c>
      <c r="O5" s="2558">
        <v>42320</v>
      </c>
      <c r="P5" s="2559">
        <f t="shared" ref="P5:P68" si="7">O5/O$4*100</f>
        <v>22.076045508369806</v>
      </c>
      <c r="Q5" s="2558">
        <v>40171</v>
      </c>
      <c r="R5" s="2559">
        <f t="shared" ref="R5:R68" si="8">Q5/Q$4*100</f>
        <v>21.338043131838948</v>
      </c>
      <c r="S5" s="2558">
        <v>39156</v>
      </c>
      <c r="T5" s="2559">
        <f t="shared" ref="T5:T68" si="9">S5/S$4*100</f>
        <v>20.972683449384039</v>
      </c>
      <c r="U5" s="2560">
        <v>37936</v>
      </c>
      <c r="V5" s="2561">
        <f t="shared" ref="V5:V68" si="10">U5/U$4*100</f>
        <v>20.555835514302277</v>
      </c>
    </row>
    <row r="6" spans="1:22" s="2562" customFormat="1" ht="16.5" customHeight="1">
      <c r="A6" s="4080" t="s">
        <v>3791</v>
      </c>
      <c r="B6" s="4080"/>
      <c r="C6" s="2563">
        <v>33737</v>
      </c>
      <c r="D6" s="2559">
        <f t="shared" si="1"/>
        <v>11.992009355594339</v>
      </c>
      <c r="E6" s="2563">
        <v>29788</v>
      </c>
      <c r="F6" s="2559">
        <f t="shared" si="2"/>
        <v>11.328130942058747</v>
      </c>
      <c r="G6" s="2563">
        <v>27308</v>
      </c>
      <c r="H6" s="2559">
        <f t="shared" si="3"/>
        <v>11.689868324172531</v>
      </c>
      <c r="I6" s="2563">
        <v>24433</v>
      </c>
      <c r="J6" s="2559">
        <f t="shared" si="4"/>
        <v>11.721219855025881</v>
      </c>
      <c r="K6" s="2563">
        <v>30886</v>
      </c>
      <c r="L6" s="2559">
        <f t="shared" si="5"/>
        <v>14.732453755378113</v>
      </c>
      <c r="M6" s="2563">
        <v>31716</v>
      </c>
      <c r="N6" s="2559">
        <f t="shared" si="6"/>
        <v>16.371660859465738</v>
      </c>
      <c r="O6" s="2563">
        <v>36211</v>
      </c>
      <c r="P6" s="2559">
        <f t="shared" si="7"/>
        <v>18.88931200150234</v>
      </c>
      <c r="Q6" s="2563">
        <v>37257</v>
      </c>
      <c r="R6" s="2559">
        <f t="shared" si="8"/>
        <v>19.790183788377774</v>
      </c>
      <c r="S6" s="2563">
        <v>35718</v>
      </c>
      <c r="T6" s="2559">
        <f t="shared" si="9"/>
        <v>19.131226566684521</v>
      </c>
      <c r="U6" s="2560">
        <v>34482</v>
      </c>
      <c r="V6" s="2561">
        <f t="shared" si="10"/>
        <v>18.684266137815563</v>
      </c>
    </row>
    <row r="7" spans="1:22" s="2562" customFormat="1" ht="16.5" customHeight="1">
      <c r="A7" s="4080" t="s">
        <v>3792</v>
      </c>
      <c r="B7" s="4080"/>
      <c r="C7" s="2558">
        <v>11316</v>
      </c>
      <c r="D7" s="2559">
        <f t="shared" si="1"/>
        <v>4.0223368369418013</v>
      </c>
      <c r="E7" s="2558">
        <v>12593</v>
      </c>
      <c r="F7" s="2559">
        <f t="shared" si="2"/>
        <v>4.789014131641796</v>
      </c>
      <c r="G7" s="2558">
        <v>13622</v>
      </c>
      <c r="H7" s="2559">
        <f t="shared" si="3"/>
        <v>5.8312357665108481</v>
      </c>
      <c r="I7" s="2558">
        <v>15107</v>
      </c>
      <c r="J7" s="2559">
        <f t="shared" si="4"/>
        <v>7.2472667437431344</v>
      </c>
      <c r="K7" s="2558">
        <v>15033</v>
      </c>
      <c r="L7" s="2559">
        <f t="shared" si="5"/>
        <v>7.1706591110729505</v>
      </c>
      <c r="M7" s="2558">
        <v>15476</v>
      </c>
      <c r="N7" s="2559">
        <f t="shared" si="6"/>
        <v>7.9886436959607687</v>
      </c>
      <c r="O7" s="2558">
        <v>15956</v>
      </c>
      <c r="P7" s="2559">
        <f t="shared" si="7"/>
        <v>8.3233785947908459</v>
      </c>
      <c r="Q7" s="2558">
        <v>16136</v>
      </c>
      <c r="R7" s="2559">
        <f t="shared" si="8"/>
        <v>8.5711250398385221</v>
      </c>
      <c r="S7" s="2558">
        <v>17572</v>
      </c>
      <c r="T7" s="2559">
        <f t="shared" si="9"/>
        <v>9.4118907337975362</v>
      </c>
      <c r="U7" s="2560">
        <v>19267</v>
      </c>
      <c r="V7" s="2561">
        <f t="shared" si="10"/>
        <v>10.439932593158531</v>
      </c>
    </row>
    <row r="8" spans="1:22" s="2562" customFormat="1" ht="16.5" customHeight="1">
      <c r="A8" s="4080" t="s">
        <v>3793</v>
      </c>
      <c r="B8" s="4080"/>
      <c r="C8" s="2558">
        <v>14904</v>
      </c>
      <c r="D8" s="2559">
        <f t="shared" si="1"/>
        <v>5.297711931581885</v>
      </c>
      <c r="E8" s="2558">
        <v>15869</v>
      </c>
      <c r="F8" s="2559">
        <f t="shared" si="2"/>
        <v>6.0348499368715673</v>
      </c>
      <c r="G8" s="2558">
        <v>15246</v>
      </c>
      <c r="H8" s="2559">
        <f t="shared" si="3"/>
        <v>6.5264293419633228</v>
      </c>
      <c r="I8" s="2558">
        <v>14827</v>
      </c>
      <c r="J8" s="2559">
        <f t="shared" si="4"/>
        <v>7.1129426100138646</v>
      </c>
      <c r="K8" s="2558">
        <v>13556</v>
      </c>
      <c r="L8" s="2559">
        <f t="shared" si="5"/>
        <v>6.4661381567022502</v>
      </c>
      <c r="M8" s="2558">
        <v>13129</v>
      </c>
      <c r="N8" s="2559">
        <f t="shared" si="6"/>
        <v>6.7771325332300947</v>
      </c>
      <c r="O8" s="2558">
        <v>14217</v>
      </c>
      <c r="P8" s="2559">
        <f t="shared" si="7"/>
        <v>7.416236743678958</v>
      </c>
      <c r="Q8" s="2558">
        <v>14157</v>
      </c>
      <c r="R8" s="2559">
        <f t="shared" si="8"/>
        <v>7.5199192605970469</v>
      </c>
      <c r="S8" s="2558">
        <v>14704</v>
      </c>
      <c r="T8" s="2559">
        <f t="shared" si="9"/>
        <v>7.8757364756293526</v>
      </c>
      <c r="U8" s="2560">
        <v>16480</v>
      </c>
      <c r="V8" s="2561">
        <f t="shared" si="10"/>
        <v>8.9297809277652256</v>
      </c>
    </row>
    <row r="9" spans="1:22" ht="16.5" customHeight="1">
      <c r="A9" s="4080" t="s">
        <v>3794</v>
      </c>
      <c r="B9" s="4080"/>
      <c r="C9" s="2564">
        <v>5446</v>
      </c>
      <c r="D9" s="2565">
        <f t="shared" si="1"/>
        <v>1.935811807527841</v>
      </c>
      <c r="E9" s="2564">
        <v>6380</v>
      </c>
      <c r="F9" s="2565">
        <f t="shared" si="2"/>
        <v>2.4262614277673831</v>
      </c>
      <c r="G9" s="2564">
        <v>6753</v>
      </c>
      <c r="H9" s="2565">
        <f t="shared" si="3"/>
        <v>2.890789541274978</v>
      </c>
      <c r="I9" s="2564">
        <v>6695</v>
      </c>
      <c r="J9" s="2565">
        <f t="shared" si="4"/>
        <v>3.2117859832766453</v>
      </c>
      <c r="K9" s="2564">
        <v>6555</v>
      </c>
      <c r="L9" s="2565">
        <f t="shared" si="5"/>
        <v>3.1266992930940729</v>
      </c>
      <c r="M9" s="2564">
        <v>6966</v>
      </c>
      <c r="N9" s="2565">
        <f t="shared" si="6"/>
        <v>3.5958188153310102</v>
      </c>
      <c r="O9" s="2558">
        <v>7828</v>
      </c>
      <c r="P9" s="2565">
        <f t="shared" si="7"/>
        <v>4.083442444223035</v>
      </c>
      <c r="Q9" s="2558">
        <v>8253</v>
      </c>
      <c r="R9" s="2565">
        <f t="shared" si="8"/>
        <v>4.3838308721980237</v>
      </c>
      <c r="S9" s="2558">
        <v>9103</v>
      </c>
      <c r="T9" s="2565">
        <f t="shared" si="9"/>
        <v>4.8757364756293518</v>
      </c>
      <c r="U9" s="2560">
        <v>10047</v>
      </c>
      <c r="V9" s="2561">
        <f t="shared" si="10"/>
        <v>5.4440236032316269</v>
      </c>
    </row>
    <row r="10" spans="1:22" ht="16.5" customHeight="1">
      <c r="A10" s="4080" t="s">
        <v>3795</v>
      </c>
      <c r="B10" s="4080"/>
      <c r="C10" s="2564">
        <v>3548</v>
      </c>
      <c r="D10" s="2565">
        <f t="shared" si="1"/>
        <v>1.2611568661602608</v>
      </c>
      <c r="E10" s="2564">
        <v>4207</v>
      </c>
      <c r="F10" s="2565">
        <f t="shared" si="2"/>
        <v>1.599887433639088</v>
      </c>
      <c r="G10" s="2564">
        <v>4122</v>
      </c>
      <c r="H10" s="2565">
        <f t="shared" si="3"/>
        <v>1.7645245800585605</v>
      </c>
      <c r="I10" s="2564">
        <v>4583</v>
      </c>
      <c r="J10" s="2565">
        <f t="shared" si="4"/>
        <v>2.1985982317187251</v>
      </c>
      <c r="K10" s="2564">
        <v>4922</v>
      </c>
      <c r="L10" s="2565">
        <f t="shared" si="5"/>
        <v>2.347767188498707</v>
      </c>
      <c r="M10" s="2564">
        <v>5008</v>
      </c>
      <c r="N10" s="2565">
        <f t="shared" si="6"/>
        <v>2.5851077558394633</v>
      </c>
      <c r="O10" s="2558">
        <v>5592</v>
      </c>
      <c r="P10" s="2565">
        <f t="shared" si="7"/>
        <v>2.9170426862666341</v>
      </c>
      <c r="Q10" s="2558">
        <v>7141</v>
      </c>
      <c r="R10" s="2565">
        <f t="shared" si="8"/>
        <v>3.7931583979602674</v>
      </c>
      <c r="S10" s="2558">
        <v>8021</v>
      </c>
      <c r="T10" s="2565">
        <f t="shared" si="9"/>
        <v>4.2961971076593466</v>
      </c>
      <c r="U10" s="2560">
        <v>8532</v>
      </c>
      <c r="V10" s="2561">
        <f t="shared" si="10"/>
        <v>4.6231123104182581</v>
      </c>
    </row>
    <row r="11" spans="1:22" ht="16.5" customHeight="1">
      <c r="A11" s="4080" t="s">
        <v>3796</v>
      </c>
      <c r="B11" s="4080"/>
      <c r="C11" s="2566">
        <v>8017</v>
      </c>
      <c r="D11" s="2565">
        <f t="shared" si="1"/>
        <v>2.8496884430684362</v>
      </c>
      <c r="E11" s="2566">
        <v>8549</v>
      </c>
      <c r="F11" s="2565">
        <f t="shared" si="2"/>
        <v>3.2511142548563257</v>
      </c>
      <c r="G11" s="2566">
        <v>7085</v>
      </c>
      <c r="H11" s="2565">
        <f t="shared" si="3"/>
        <v>3.0329103953699423</v>
      </c>
      <c r="I11" s="2566">
        <v>6673</v>
      </c>
      <c r="J11" s="2565">
        <f t="shared" si="4"/>
        <v>3.2012319441979171</v>
      </c>
      <c r="K11" s="2566">
        <v>6601</v>
      </c>
      <c r="L11" s="2565">
        <f t="shared" si="5"/>
        <v>3.1486410425192943</v>
      </c>
      <c r="M11" s="2566">
        <v>5850</v>
      </c>
      <c r="N11" s="2565">
        <f t="shared" si="6"/>
        <v>3.0197444831591174</v>
      </c>
      <c r="O11" s="2563">
        <v>6306</v>
      </c>
      <c r="P11" s="2565">
        <f t="shared" si="7"/>
        <v>3.289497707367202</v>
      </c>
      <c r="Q11" s="2563">
        <v>6642</v>
      </c>
      <c r="R11" s="2565">
        <f t="shared" si="8"/>
        <v>3.5280994369489003</v>
      </c>
      <c r="S11" s="2563">
        <v>7665</v>
      </c>
      <c r="T11" s="2565">
        <f t="shared" si="9"/>
        <v>4.1055168719871453</v>
      </c>
      <c r="U11" s="2560">
        <v>7962</v>
      </c>
      <c r="V11" s="2561">
        <f t="shared" si="10"/>
        <v>4.314254596290457</v>
      </c>
    </row>
    <row r="12" spans="1:22" ht="16.5" customHeight="1">
      <c r="A12" s="4080" t="s">
        <v>3797</v>
      </c>
      <c r="B12" s="4080"/>
      <c r="C12" s="2564">
        <v>4624</v>
      </c>
      <c r="D12" s="2565">
        <f t="shared" si="1"/>
        <v>1.6436272122674875</v>
      </c>
      <c r="E12" s="2564">
        <v>5462</v>
      </c>
      <c r="F12" s="2565">
        <f t="shared" si="2"/>
        <v>2.0771535922359634</v>
      </c>
      <c r="G12" s="2564">
        <v>5497</v>
      </c>
      <c r="H12" s="2565">
        <f t="shared" si="3"/>
        <v>2.3531275149398128</v>
      </c>
      <c r="I12" s="2564">
        <v>5540</v>
      </c>
      <c r="J12" s="2565">
        <f t="shared" si="4"/>
        <v>2.6576989316434081</v>
      </c>
      <c r="K12" s="2564">
        <v>5213</v>
      </c>
      <c r="L12" s="2565">
        <f t="shared" si="5"/>
        <v>2.4865726033408695</v>
      </c>
      <c r="M12" s="2564">
        <v>5325</v>
      </c>
      <c r="N12" s="2565">
        <f t="shared" si="6"/>
        <v>2.748741773132017</v>
      </c>
      <c r="O12" s="2558">
        <v>5451</v>
      </c>
      <c r="P12" s="2565">
        <f t="shared" si="7"/>
        <v>2.8434906442845893</v>
      </c>
      <c r="Q12" s="2558">
        <v>5866</v>
      </c>
      <c r="R12" s="2565">
        <f t="shared" si="8"/>
        <v>3.1159035376606821</v>
      </c>
      <c r="S12" s="2558">
        <v>6225</v>
      </c>
      <c r="T12" s="2565">
        <f t="shared" si="9"/>
        <v>3.3342260310658811</v>
      </c>
      <c r="U12" s="2560">
        <v>6384</v>
      </c>
      <c r="V12" s="2561">
        <f t="shared" si="10"/>
        <v>3.4592063982313834</v>
      </c>
    </row>
    <row r="13" spans="1:22" ht="16.5" customHeight="1">
      <c r="A13" s="4080" t="s">
        <v>3798</v>
      </c>
      <c r="B13" s="4080"/>
      <c r="C13" s="2564">
        <v>49677</v>
      </c>
      <c r="D13" s="2565">
        <f t="shared" si="1"/>
        <v>17.657973404803627</v>
      </c>
      <c r="E13" s="2564">
        <v>37866</v>
      </c>
      <c r="F13" s="2565">
        <f t="shared" si="2"/>
        <v>14.400127778031305</v>
      </c>
      <c r="G13" s="2564">
        <v>30346</v>
      </c>
      <c r="H13" s="2565">
        <f t="shared" si="3"/>
        <v>12.990359754113801</v>
      </c>
      <c r="I13" s="2564">
        <v>23286</v>
      </c>
      <c r="J13" s="2565">
        <f t="shared" si="4"/>
        <v>11.17097063578491</v>
      </c>
      <c r="K13" s="2564">
        <v>20421</v>
      </c>
      <c r="L13" s="2565">
        <f t="shared" si="5"/>
        <v>9.740705761140207</v>
      </c>
      <c r="M13" s="2564">
        <v>17068</v>
      </c>
      <c r="N13" s="2565">
        <f t="shared" si="6"/>
        <v>8.8104271518905666</v>
      </c>
      <c r="O13" s="2558">
        <v>14403</v>
      </c>
      <c r="P13" s="2565">
        <f t="shared" si="7"/>
        <v>7.5132628416127192</v>
      </c>
      <c r="Q13" s="2558">
        <v>12082</v>
      </c>
      <c r="R13" s="2565">
        <f t="shared" si="8"/>
        <v>6.4177201742271333</v>
      </c>
      <c r="S13" s="2558">
        <v>9686</v>
      </c>
      <c r="T13" s="2565">
        <f t="shared" si="9"/>
        <v>5.1880021424745584</v>
      </c>
      <c r="U13" s="2560">
        <v>6058</v>
      </c>
      <c r="V13" s="2561">
        <f t="shared" si="10"/>
        <v>3.2825614599758328</v>
      </c>
    </row>
    <row r="14" spans="1:22" ht="16.5" customHeight="1">
      <c r="A14" s="4080" t="s">
        <v>3799</v>
      </c>
      <c r="B14" s="4080"/>
      <c r="C14" s="2564">
        <v>8987</v>
      </c>
      <c r="D14" s="2565">
        <f t="shared" si="1"/>
        <v>3.1944804837041327</v>
      </c>
      <c r="E14" s="2564">
        <v>9659</v>
      </c>
      <c r="F14" s="2565">
        <f t="shared" si="2"/>
        <v>3.6732381082766699</v>
      </c>
      <c r="G14" s="2564">
        <v>7821</v>
      </c>
      <c r="H14" s="2565">
        <f t="shared" si="3"/>
        <v>3.3479734936045613</v>
      </c>
      <c r="I14" s="2564">
        <v>6356</v>
      </c>
      <c r="J14" s="2565">
        <f t="shared" si="4"/>
        <v>3.0491578356544222</v>
      </c>
      <c r="K14" s="2564">
        <v>6194</v>
      </c>
      <c r="L14" s="2565">
        <f t="shared" si="5"/>
        <v>2.954504259561356</v>
      </c>
      <c r="M14" s="2564">
        <v>5594</v>
      </c>
      <c r="N14" s="2565">
        <f t="shared" si="6"/>
        <v>2.887598399793522</v>
      </c>
      <c r="O14" s="2558">
        <v>5714</v>
      </c>
      <c r="P14" s="2565">
        <f t="shared" si="7"/>
        <v>2.9806834601801766</v>
      </c>
      <c r="Q14" s="2558">
        <v>5772</v>
      </c>
      <c r="R14" s="2565">
        <f t="shared" si="8"/>
        <v>3.0659725910974185</v>
      </c>
      <c r="S14" s="2558">
        <v>5934</v>
      </c>
      <c r="T14" s="2565">
        <f t="shared" si="9"/>
        <v>3.1783610069630424</v>
      </c>
      <c r="U14" s="2560">
        <v>5787</v>
      </c>
      <c r="V14" s="2561">
        <f t="shared" si="10"/>
        <v>3.1357185818554218</v>
      </c>
    </row>
    <row r="15" spans="1:22" ht="16.5" customHeight="1">
      <c r="A15" s="4080" t="s">
        <v>3800</v>
      </c>
      <c r="B15" s="4080"/>
      <c r="C15" s="2564">
        <v>1739</v>
      </c>
      <c r="D15" s="2565">
        <f t="shared" si="1"/>
        <v>0.61813748316028572</v>
      </c>
      <c r="E15" s="2564">
        <v>2366</v>
      </c>
      <c r="F15" s="2565">
        <f t="shared" si="2"/>
        <v>0.8997703037770578</v>
      </c>
      <c r="G15" s="2564">
        <v>2825</v>
      </c>
      <c r="H15" s="2565">
        <f t="shared" si="3"/>
        <v>1.2093114843923904</v>
      </c>
      <c r="I15" s="2564">
        <v>2815</v>
      </c>
      <c r="J15" s="2565">
        <f t="shared" si="4"/>
        <v>1.3504372730281937</v>
      </c>
      <c r="K15" s="2564">
        <v>2914</v>
      </c>
      <c r="L15" s="2565">
        <f t="shared" si="5"/>
        <v>1.3899621266325137</v>
      </c>
      <c r="M15" s="2564">
        <v>2968</v>
      </c>
      <c r="N15" s="2565">
        <f t="shared" si="6"/>
        <v>1.5320686540198736</v>
      </c>
      <c r="O15" s="2558">
        <v>3195</v>
      </c>
      <c r="P15" s="2565">
        <f t="shared" si="7"/>
        <v>1.6666579725718698</v>
      </c>
      <c r="Q15" s="2558">
        <v>2967</v>
      </c>
      <c r="R15" s="2565">
        <f t="shared" si="8"/>
        <v>1.57601189843833</v>
      </c>
      <c r="S15" s="2558">
        <v>2953</v>
      </c>
      <c r="T15" s="2565">
        <f t="shared" si="9"/>
        <v>1.5816818425281198</v>
      </c>
      <c r="U15" s="2560">
        <v>3105</v>
      </c>
      <c r="V15" s="2561">
        <f t="shared" si="10"/>
        <v>1.6824617585382902</v>
      </c>
    </row>
    <row r="16" spans="1:22" ht="16.5" customHeight="1">
      <c r="A16" s="4080" t="s">
        <v>3801</v>
      </c>
      <c r="B16" s="4080"/>
      <c r="C16" s="2566">
        <v>3872</v>
      </c>
      <c r="D16" s="2565">
        <f t="shared" si="1"/>
        <v>1.3763245168468234</v>
      </c>
      <c r="E16" s="2566">
        <v>3280</v>
      </c>
      <c r="F16" s="2565">
        <f t="shared" si="2"/>
        <v>1.2473569722691249</v>
      </c>
      <c r="G16" s="2566">
        <v>3175</v>
      </c>
      <c r="H16" s="2565">
        <f t="shared" si="3"/>
        <v>1.3591376859985274</v>
      </c>
      <c r="I16" s="2566">
        <v>3201</v>
      </c>
      <c r="J16" s="2565">
        <f t="shared" si="4"/>
        <v>1.5356126859549726</v>
      </c>
      <c r="K16" s="2566">
        <v>3434</v>
      </c>
      <c r="L16" s="2565">
        <f t="shared" si="5"/>
        <v>1.6379992940480621</v>
      </c>
      <c r="M16" s="2566">
        <v>3244</v>
      </c>
      <c r="N16" s="2565">
        <f t="shared" si="6"/>
        <v>1.6745386501484063</v>
      </c>
      <c r="O16" s="2563">
        <v>3158</v>
      </c>
      <c r="P16" s="2565">
        <f t="shared" si="7"/>
        <v>1.6473570821226806</v>
      </c>
      <c r="Q16" s="2563">
        <v>3286</v>
      </c>
      <c r="R16" s="2565">
        <f t="shared" si="8"/>
        <v>1.7454584085838734</v>
      </c>
      <c r="S16" s="2563">
        <v>3032</v>
      </c>
      <c r="T16" s="2565">
        <f t="shared" si="9"/>
        <v>1.6239957150508837</v>
      </c>
      <c r="U16" s="2560">
        <v>2836</v>
      </c>
      <c r="V16" s="2561">
        <f t="shared" si="10"/>
        <v>1.5367025916955206</v>
      </c>
    </row>
    <row r="17" spans="1:23" ht="16.5" customHeight="1">
      <c r="A17" s="4080" t="s">
        <v>3802</v>
      </c>
      <c r="B17" s="4080"/>
      <c r="C17" s="2564">
        <v>2022</v>
      </c>
      <c r="D17" s="2565">
        <f t="shared" si="1"/>
        <v>0.71873144965503022</v>
      </c>
      <c r="E17" s="2564">
        <v>1926</v>
      </c>
      <c r="F17" s="2565">
        <f t="shared" si="2"/>
        <v>0.73244192944827269</v>
      </c>
      <c r="G17" s="2564">
        <v>2010</v>
      </c>
      <c r="H17" s="2565">
        <f t="shared" si="3"/>
        <v>0.86043047208095758</v>
      </c>
      <c r="I17" s="2564">
        <v>2067</v>
      </c>
      <c r="J17" s="2565">
        <f t="shared" si="4"/>
        <v>0.99159994435143028</v>
      </c>
      <c r="K17" s="2564">
        <v>1981</v>
      </c>
      <c r="L17" s="2565">
        <f t="shared" si="5"/>
        <v>0.94492620894269375</v>
      </c>
      <c r="M17" s="2564">
        <v>2326</v>
      </c>
      <c r="N17" s="2565">
        <f t="shared" si="6"/>
        <v>1.2006710543295909</v>
      </c>
      <c r="O17" s="2558">
        <v>2557</v>
      </c>
      <c r="P17" s="2565">
        <f t="shared" si="7"/>
        <v>1.3338480237453119</v>
      </c>
      <c r="Q17" s="2558">
        <v>2773</v>
      </c>
      <c r="R17" s="2565">
        <f t="shared" si="8"/>
        <v>1.4729629236162753</v>
      </c>
      <c r="S17" s="2558">
        <v>2714</v>
      </c>
      <c r="T17" s="2565">
        <f t="shared" si="9"/>
        <v>1.4536689876807714</v>
      </c>
      <c r="U17" s="2560">
        <v>2756</v>
      </c>
      <c r="V17" s="2561">
        <f t="shared" si="10"/>
        <v>1.493354140589864</v>
      </c>
    </row>
    <row r="18" spans="1:23" ht="16.5" customHeight="1">
      <c r="A18" s="4080" t="s">
        <v>3803</v>
      </c>
      <c r="B18" s="4080"/>
      <c r="C18" s="2564">
        <v>6019</v>
      </c>
      <c r="D18" s="2565">
        <f t="shared" si="1"/>
        <v>2.139487930501299</v>
      </c>
      <c r="E18" s="2564">
        <v>6362</v>
      </c>
      <c r="F18" s="2565">
        <f t="shared" si="2"/>
        <v>2.4194161760902966</v>
      </c>
      <c r="G18" s="2564">
        <v>5406</v>
      </c>
      <c r="H18" s="2565">
        <f t="shared" si="3"/>
        <v>2.3141727025222174</v>
      </c>
      <c r="I18" s="2564">
        <v>3958</v>
      </c>
      <c r="J18" s="2565">
        <f t="shared" si="4"/>
        <v>1.8987675760730338</v>
      </c>
      <c r="K18" s="2564">
        <v>3070</v>
      </c>
      <c r="L18" s="2565">
        <f t="shared" si="5"/>
        <v>1.4643732768571782</v>
      </c>
      <c r="M18" s="2564">
        <v>3058</v>
      </c>
      <c r="N18" s="2565">
        <f t="shared" si="6"/>
        <v>1.5785262614530906</v>
      </c>
      <c r="O18" s="2558">
        <v>3285</v>
      </c>
      <c r="P18" s="2565">
        <f t="shared" si="7"/>
        <v>1.7136060844753027</v>
      </c>
      <c r="Q18" s="2558">
        <v>2732</v>
      </c>
      <c r="R18" s="2565">
        <f t="shared" si="8"/>
        <v>1.4511845320301711</v>
      </c>
      <c r="S18" s="2558">
        <v>2323</v>
      </c>
      <c r="T18" s="2565">
        <f t="shared" si="9"/>
        <v>1.2442420996250669</v>
      </c>
      <c r="U18" s="2560">
        <v>2289</v>
      </c>
      <c r="V18" s="2561">
        <f t="shared" si="10"/>
        <v>1.2403075572605946</v>
      </c>
    </row>
    <row r="19" spans="1:23" ht="16.5" customHeight="1">
      <c r="A19" s="4080" t="s">
        <v>2718</v>
      </c>
      <c r="B19" s="4080"/>
      <c r="C19" s="2564">
        <v>2181</v>
      </c>
      <c r="D19" s="2565">
        <f t="shared" si="1"/>
        <v>0.77524890786232492</v>
      </c>
      <c r="E19" s="2564">
        <v>2282</v>
      </c>
      <c r="F19" s="2565">
        <f t="shared" si="2"/>
        <v>0.86782579595065334</v>
      </c>
      <c r="G19" s="2564">
        <v>2053</v>
      </c>
      <c r="H19" s="2565">
        <f t="shared" si="3"/>
        <v>0.87883769113542587</v>
      </c>
      <c r="I19" s="2564">
        <v>2181</v>
      </c>
      <c r="J19" s="2565">
        <f t="shared" si="4"/>
        <v>1.0462890559412044</v>
      </c>
      <c r="K19" s="2564">
        <v>2032</v>
      </c>
      <c r="L19" s="2565">
        <f t="shared" si="5"/>
        <v>0.96925293113152655</v>
      </c>
      <c r="M19" s="2564">
        <v>2025</v>
      </c>
      <c r="N19" s="2565">
        <f t="shared" si="6"/>
        <v>1.0452961672473868</v>
      </c>
      <c r="O19" s="2558">
        <v>2301</v>
      </c>
      <c r="P19" s="2565">
        <f t="shared" si="7"/>
        <v>1.2003067276644357</v>
      </c>
      <c r="Q19" s="2558">
        <v>2562</v>
      </c>
      <c r="R19" s="2565">
        <f t="shared" si="8"/>
        <v>1.3608838839902262</v>
      </c>
      <c r="S19" s="2558">
        <v>2745</v>
      </c>
      <c r="T19" s="2565">
        <f t="shared" si="9"/>
        <v>1.4702731655061596</v>
      </c>
      <c r="U19" s="2560">
        <v>2087</v>
      </c>
      <c r="V19" s="2561">
        <f t="shared" si="10"/>
        <v>1.1308527182188122</v>
      </c>
    </row>
    <row r="20" spans="1:23" ht="16.5" customHeight="1">
      <c r="A20" s="4080" t="s">
        <v>3804</v>
      </c>
      <c r="B20" s="4080"/>
      <c r="C20" s="2566">
        <v>3867</v>
      </c>
      <c r="D20" s="2565">
        <f t="shared" si="1"/>
        <v>1.3745472382868458</v>
      </c>
      <c r="E20" s="2566">
        <v>8572</v>
      </c>
      <c r="F20" s="2565">
        <f t="shared" si="2"/>
        <v>3.2598609653326034</v>
      </c>
      <c r="G20" s="2566">
        <v>4386</v>
      </c>
      <c r="H20" s="2565">
        <f t="shared" si="3"/>
        <v>1.877536343555761</v>
      </c>
      <c r="I20" s="2566">
        <v>3125</v>
      </c>
      <c r="J20" s="2565">
        <f t="shared" si="4"/>
        <v>1.4991532782284565</v>
      </c>
      <c r="K20" s="2566">
        <v>8023</v>
      </c>
      <c r="L20" s="2565">
        <f t="shared" si="5"/>
        <v>3.8269272964902741</v>
      </c>
      <c r="M20" s="2566">
        <v>2974</v>
      </c>
      <c r="N20" s="2565">
        <f t="shared" si="6"/>
        <v>1.5351658278487545</v>
      </c>
      <c r="O20" s="2563">
        <v>2515</v>
      </c>
      <c r="P20" s="2565">
        <f t="shared" si="7"/>
        <v>1.3119389048570429</v>
      </c>
      <c r="Q20" s="2563">
        <v>2267</v>
      </c>
      <c r="R20" s="2565">
        <f t="shared" si="8"/>
        <v>1.2041857006267926</v>
      </c>
      <c r="S20" s="2563">
        <v>1982</v>
      </c>
      <c r="T20" s="2565">
        <f t="shared" si="9"/>
        <v>1.0615961435457955</v>
      </c>
      <c r="U20" s="2560">
        <v>1856</v>
      </c>
      <c r="V20" s="2561">
        <f t="shared" si="10"/>
        <v>1.0056840656512291</v>
      </c>
      <c r="W20" s="2567"/>
    </row>
    <row r="21" spans="1:23" ht="16.5" customHeight="1">
      <c r="A21" s="4080" t="s">
        <v>3805</v>
      </c>
      <c r="B21" s="4080"/>
      <c r="C21" s="2564">
        <v>917</v>
      </c>
      <c r="D21" s="2565">
        <f t="shared" si="1"/>
        <v>0.3259528878999321</v>
      </c>
      <c r="E21" s="2564">
        <v>1167</v>
      </c>
      <c r="F21" s="2565">
        <f t="shared" si="2"/>
        <v>0.44380048373111852</v>
      </c>
      <c r="G21" s="2564">
        <v>1271</v>
      </c>
      <c r="H21" s="2565">
        <f t="shared" si="3"/>
        <v>0.54408314926114276</v>
      </c>
      <c r="I21" s="2564">
        <v>1220</v>
      </c>
      <c r="J21" s="2565">
        <f t="shared" si="4"/>
        <v>0.58526943982038948</v>
      </c>
      <c r="K21" s="2564">
        <v>1049</v>
      </c>
      <c r="L21" s="2565">
        <f t="shared" si="5"/>
        <v>0.50036728580559608</v>
      </c>
      <c r="M21" s="2564">
        <v>1247</v>
      </c>
      <c r="N21" s="2565">
        <f t="shared" si="6"/>
        <v>0.64369596076913149</v>
      </c>
      <c r="O21" s="2558">
        <v>1468</v>
      </c>
      <c r="P21" s="2565">
        <f t="shared" si="7"/>
        <v>0.76577586971377298</v>
      </c>
      <c r="Q21" s="2558">
        <v>1593</v>
      </c>
      <c r="R21" s="2565">
        <f t="shared" si="8"/>
        <v>0.84617019016254114</v>
      </c>
      <c r="S21" s="2558">
        <v>1700</v>
      </c>
      <c r="T21" s="2565">
        <f t="shared" si="9"/>
        <v>0.91055168719871449</v>
      </c>
      <c r="U21" s="2560">
        <v>1634</v>
      </c>
      <c r="V21" s="2561">
        <f t="shared" si="10"/>
        <v>0.88539211383303251</v>
      </c>
      <c r="W21" s="2567"/>
    </row>
    <row r="22" spans="1:23" ht="16.5" customHeight="1">
      <c r="A22" s="4080" t="s">
        <v>2712</v>
      </c>
      <c r="B22" s="4080"/>
      <c r="C22" s="2564">
        <v>3347</v>
      </c>
      <c r="D22" s="2565">
        <f t="shared" si="1"/>
        <v>1.1897102680491525</v>
      </c>
      <c r="E22" s="2564">
        <v>4055</v>
      </c>
      <c r="F22" s="2565">
        <f t="shared" si="2"/>
        <v>1.5420830861436894</v>
      </c>
      <c r="G22" s="2564">
        <v>3481</v>
      </c>
      <c r="H22" s="2565">
        <f t="shared" si="3"/>
        <v>1.4901285936884643</v>
      </c>
      <c r="I22" s="2564">
        <v>3167</v>
      </c>
      <c r="J22" s="2565">
        <f t="shared" si="4"/>
        <v>1.519301898287847</v>
      </c>
      <c r="K22" s="2564">
        <v>2165</v>
      </c>
      <c r="L22" s="2565">
        <f t="shared" si="5"/>
        <v>1.0326932066435801</v>
      </c>
      <c r="M22" s="2564">
        <v>1901</v>
      </c>
      <c r="N22" s="2565">
        <f t="shared" si="6"/>
        <v>0.98128790811717637</v>
      </c>
      <c r="O22" s="2558">
        <v>1773</v>
      </c>
      <c r="P22" s="2565">
        <f t="shared" si="7"/>
        <v>0.92487780449762913</v>
      </c>
      <c r="Q22" s="2558">
        <v>1413</v>
      </c>
      <c r="R22" s="2565">
        <f t="shared" si="8"/>
        <v>0.75055773929671732</v>
      </c>
      <c r="S22" s="2558">
        <v>1241</v>
      </c>
      <c r="T22" s="2565">
        <f t="shared" si="9"/>
        <v>0.66470273165506166</v>
      </c>
      <c r="U22" s="2560">
        <v>1581</v>
      </c>
      <c r="V22" s="2561">
        <f t="shared" si="10"/>
        <v>0.85667376497553516</v>
      </c>
      <c r="W22" s="2567"/>
    </row>
    <row r="23" spans="1:23" ht="16.5" customHeight="1">
      <c r="A23" s="4080" t="s">
        <v>3806</v>
      </c>
      <c r="B23" s="4080"/>
      <c r="C23" s="2564">
        <v>17133</v>
      </c>
      <c r="D23" s="2565">
        <f t="shared" si="1"/>
        <v>6.0900227136199963</v>
      </c>
      <c r="E23" s="2564">
        <v>11427</v>
      </c>
      <c r="F23" s="2565">
        <f t="shared" si="2"/>
        <v>4.3455939396705157</v>
      </c>
      <c r="G23" s="2564">
        <v>8615</v>
      </c>
      <c r="H23" s="2565">
        <f t="shared" si="3"/>
        <v>3.6878649338196263</v>
      </c>
      <c r="I23" s="2564">
        <v>6588</v>
      </c>
      <c r="J23" s="2565">
        <f t="shared" si="4"/>
        <v>3.1604549750301034</v>
      </c>
      <c r="K23" s="2564">
        <v>6414</v>
      </c>
      <c r="L23" s="2565">
        <f t="shared" si="5"/>
        <v>3.0594430611602417</v>
      </c>
      <c r="M23" s="2564">
        <v>5688</v>
      </c>
      <c r="N23" s="2565">
        <f t="shared" si="6"/>
        <v>2.9361207897793262</v>
      </c>
      <c r="O23" s="2558">
        <v>4548</v>
      </c>
      <c r="P23" s="2565">
        <f t="shared" si="7"/>
        <v>2.3724445881868119</v>
      </c>
      <c r="Q23" s="2558">
        <v>3138</v>
      </c>
      <c r="R23" s="2565">
        <f t="shared" si="8"/>
        <v>1.6668437267608627</v>
      </c>
      <c r="S23" s="2558">
        <v>2326</v>
      </c>
      <c r="T23" s="2565">
        <f t="shared" si="9"/>
        <v>1.2458489555436529</v>
      </c>
      <c r="U23" s="2560">
        <v>1494</v>
      </c>
      <c r="V23" s="2561">
        <f t="shared" si="10"/>
        <v>0.80953232439813383</v>
      </c>
      <c r="W23" s="2567"/>
    </row>
    <row r="24" spans="1:23" ht="16.5" customHeight="1">
      <c r="A24" s="4080" t="s">
        <v>3807</v>
      </c>
      <c r="B24" s="4080"/>
      <c r="C24" s="2564">
        <v>417</v>
      </c>
      <c r="D24" s="2565">
        <f t="shared" si="1"/>
        <v>0.14822503190215017</v>
      </c>
      <c r="E24" s="2564">
        <v>503</v>
      </c>
      <c r="F24" s="2565">
        <f t="shared" si="2"/>
        <v>0.19128675519858837</v>
      </c>
      <c r="G24" s="2564">
        <v>563</v>
      </c>
      <c r="H24" s="2565">
        <f t="shared" si="3"/>
        <v>0.24100614715501448</v>
      </c>
      <c r="I24" s="2564">
        <v>836</v>
      </c>
      <c r="J24" s="2565">
        <f t="shared" si="4"/>
        <v>0.4010534849916767</v>
      </c>
      <c r="K24" s="2564">
        <v>821</v>
      </c>
      <c r="L24" s="2565">
        <f t="shared" si="5"/>
        <v>0.39161252778493272</v>
      </c>
      <c r="M24" s="2564">
        <v>710</v>
      </c>
      <c r="N24" s="2565">
        <f t="shared" si="6"/>
        <v>0.36649890308426897</v>
      </c>
      <c r="O24" s="2558">
        <v>929</v>
      </c>
      <c r="P24" s="2565">
        <f t="shared" si="7"/>
        <v>0.48460884398099124</v>
      </c>
      <c r="Q24" s="2558">
        <v>1092</v>
      </c>
      <c r="R24" s="2565">
        <f t="shared" si="8"/>
        <v>0.58004886858599813</v>
      </c>
      <c r="S24" s="2558">
        <v>1255</v>
      </c>
      <c r="T24" s="2565">
        <f t="shared" si="9"/>
        <v>0.67220139260846279</v>
      </c>
      <c r="U24" s="2560">
        <v>1223</v>
      </c>
      <c r="V24" s="2561">
        <f t="shared" si="10"/>
        <v>0.66268944627772264</v>
      </c>
      <c r="W24" s="2567"/>
    </row>
    <row r="25" spans="1:23" ht="16.5" customHeight="1">
      <c r="A25" s="4080" t="s">
        <v>3808</v>
      </c>
      <c r="B25" s="4080"/>
      <c r="C25" s="2564">
        <v>4091</v>
      </c>
      <c r="D25" s="2565">
        <f t="shared" si="1"/>
        <v>1.4541693177738519</v>
      </c>
      <c r="E25" s="2564">
        <v>4017</v>
      </c>
      <c r="F25" s="2565">
        <f t="shared" si="2"/>
        <v>1.5276319992698397</v>
      </c>
      <c r="G25" s="2564">
        <v>4010</v>
      </c>
      <c r="H25" s="2565">
        <f t="shared" si="3"/>
        <v>1.7165801955445967</v>
      </c>
      <c r="I25" s="2564">
        <v>3441</v>
      </c>
      <c r="J25" s="2565">
        <f t="shared" si="4"/>
        <v>1.6507476577229181</v>
      </c>
      <c r="K25" s="2564">
        <v>3327</v>
      </c>
      <c r="L25" s="2565">
        <f t="shared" si="5"/>
        <v>1.5869608769067858</v>
      </c>
      <c r="M25" s="2564">
        <v>3195</v>
      </c>
      <c r="N25" s="2565">
        <f t="shared" si="6"/>
        <v>1.6492450638792102</v>
      </c>
      <c r="O25" s="2558">
        <v>2422</v>
      </c>
      <c r="P25" s="2565">
        <f t="shared" si="7"/>
        <v>1.2634258558901623</v>
      </c>
      <c r="Q25" s="2558">
        <v>1542</v>
      </c>
      <c r="R25" s="2565">
        <f t="shared" si="8"/>
        <v>0.81907999575055768</v>
      </c>
      <c r="S25" s="2558">
        <v>839</v>
      </c>
      <c r="T25" s="2565">
        <f t="shared" si="9"/>
        <v>0.44938403856454207</v>
      </c>
      <c r="U25" s="2560">
        <v>1092</v>
      </c>
      <c r="V25" s="2561">
        <f t="shared" si="10"/>
        <v>0.59170635759221024</v>
      </c>
      <c r="W25" s="2567"/>
    </row>
    <row r="26" spans="1:23" ht="16.5" customHeight="1">
      <c r="A26" s="4080" t="s">
        <v>3809</v>
      </c>
      <c r="B26" s="4080"/>
      <c r="C26" s="2564">
        <v>2462</v>
      </c>
      <c r="D26" s="2565">
        <f t="shared" si="1"/>
        <v>0.87513196293307838</v>
      </c>
      <c r="E26" s="2564">
        <v>2162</v>
      </c>
      <c r="F26" s="2565">
        <f t="shared" si="2"/>
        <v>0.82219078477007557</v>
      </c>
      <c r="G26" s="2564">
        <v>1537</v>
      </c>
      <c r="H26" s="2565">
        <f t="shared" si="3"/>
        <v>0.65795106248180679</v>
      </c>
      <c r="I26" s="2564">
        <v>1405</v>
      </c>
      <c r="J26" s="2565">
        <f t="shared" si="4"/>
        <v>0.67401931389151404</v>
      </c>
      <c r="K26" s="2564">
        <v>1309</v>
      </c>
      <c r="L26" s="2565">
        <f t="shared" si="5"/>
        <v>0.62438586951337016</v>
      </c>
      <c r="M26" s="2564">
        <v>1497</v>
      </c>
      <c r="N26" s="2565">
        <f t="shared" si="6"/>
        <v>0.77274487030584593</v>
      </c>
      <c r="O26" s="2558">
        <v>1258</v>
      </c>
      <c r="P26" s="2565">
        <f t="shared" si="7"/>
        <v>0.65623027527242939</v>
      </c>
      <c r="Q26" s="2558">
        <v>1135</v>
      </c>
      <c r="R26" s="2565">
        <f t="shared" si="8"/>
        <v>0.60288962073727825</v>
      </c>
      <c r="S26" s="2558">
        <v>1056</v>
      </c>
      <c r="T26" s="2565">
        <f t="shared" si="9"/>
        <v>0.56561328334226024</v>
      </c>
      <c r="U26" s="2560">
        <v>941</v>
      </c>
      <c r="V26" s="2561">
        <f t="shared" si="10"/>
        <v>0.50988615613028376</v>
      </c>
      <c r="W26" s="2567"/>
    </row>
    <row r="27" spans="1:23" ht="16.5" customHeight="1">
      <c r="A27" s="4080" t="s">
        <v>3810</v>
      </c>
      <c r="B27" s="4080"/>
      <c r="C27" s="2564">
        <v>954</v>
      </c>
      <c r="D27" s="2565">
        <f t="shared" si="1"/>
        <v>0.33910474924376799</v>
      </c>
      <c r="E27" s="2564">
        <v>1422</v>
      </c>
      <c r="F27" s="2565">
        <f t="shared" si="2"/>
        <v>0.54077488248984629</v>
      </c>
      <c r="G27" s="2564">
        <v>1411</v>
      </c>
      <c r="H27" s="2565">
        <f t="shared" si="3"/>
        <v>0.60401362990359753</v>
      </c>
      <c r="I27" s="2564">
        <v>1307</v>
      </c>
      <c r="J27" s="2565">
        <f t="shared" si="4"/>
        <v>0.6270058670862696</v>
      </c>
      <c r="K27" s="2564">
        <v>1130</v>
      </c>
      <c r="L27" s="2565">
        <f t="shared" si="5"/>
        <v>0.53900384457609496</v>
      </c>
      <c r="M27" s="2564">
        <v>1204</v>
      </c>
      <c r="N27" s="2565">
        <f t="shared" si="6"/>
        <v>0.6214995483288166</v>
      </c>
      <c r="O27" s="2558">
        <v>753</v>
      </c>
      <c r="P27" s="2565">
        <f t="shared" si="7"/>
        <v>0.392799202925389</v>
      </c>
      <c r="Q27" s="2558">
        <v>556</v>
      </c>
      <c r="R27" s="2565">
        <f t="shared" si="8"/>
        <v>0.29533623711887813</v>
      </c>
      <c r="S27" s="2558">
        <v>673</v>
      </c>
      <c r="T27" s="2565">
        <f t="shared" si="9"/>
        <v>0.36047134440278522</v>
      </c>
      <c r="U27" s="2560">
        <v>862</v>
      </c>
      <c r="V27" s="2561">
        <f t="shared" si="10"/>
        <v>0.46707956066344808</v>
      </c>
      <c r="W27" s="2567"/>
    </row>
    <row r="28" spans="1:23" ht="16.5" customHeight="1">
      <c r="A28" s="4080" t="s">
        <v>3811</v>
      </c>
      <c r="B28" s="4080"/>
      <c r="C28" s="2564">
        <v>306</v>
      </c>
      <c r="D28" s="2565">
        <f t="shared" si="1"/>
        <v>0.10876944787064256</v>
      </c>
      <c r="E28" s="2564">
        <v>383</v>
      </c>
      <c r="F28" s="2565">
        <f t="shared" si="2"/>
        <v>0.14565174401801062</v>
      </c>
      <c r="G28" s="2564">
        <v>398</v>
      </c>
      <c r="H28" s="2565">
        <f t="shared" si="3"/>
        <v>0.17037379496926422</v>
      </c>
      <c r="I28" s="2564">
        <v>380</v>
      </c>
      <c r="J28" s="2565">
        <f t="shared" si="4"/>
        <v>0.18229703863258032</v>
      </c>
      <c r="K28" s="2564">
        <v>601</v>
      </c>
      <c r="L28" s="2565">
        <f t="shared" si="5"/>
        <v>0.28667372618604692</v>
      </c>
      <c r="M28" s="2564">
        <v>641</v>
      </c>
      <c r="N28" s="2565">
        <f t="shared" si="6"/>
        <v>0.33088140405213579</v>
      </c>
      <c r="O28" s="2558">
        <v>575</v>
      </c>
      <c r="P28" s="2565">
        <f t="shared" si="7"/>
        <v>0.29994627049415495</v>
      </c>
      <c r="Q28" s="2558">
        <v>661</v>
      </c>
      <c r="R28" s="2565">
        <f t="shared" si="8"/>
        <v>0.35111016679060869</v>
      </c>
      <c r="S28" s="2558">
        <v>768</v>
      </c>
      <c r="T28" s="2565">
        <f t="shared" si="9"/>
        <v>0.41135511515800749</v>
      </c>
      <c r="U28" s="2560">
        <v>858</v>
      </c>
      <c r="V28" s="2561">
        <f t="shared" si="10"/>
        <v>0.46491213810816523</v>
      </c>
      <c r="W28" s="2567"/>
    </row>
    <row r="29" spans="1:23" ht="16.5" customHeight="1">
      <c r="A29" s="4080" t="s">
        <v>3812</v>
      </c>
      <c r="B29" s="4080"/>
      <c r="C29" s="2564">
        <v>317</v>
      </c>
      <c r="D29" s="2565">
        <f t="shared" si="1"/>
        <v>0.11267946070259376</v>
      </c>
      <c r="E29" s="2564">
        <v>325</v>
      </c>
      <c r="F29" s="2565">
        <f t="shared" si="2"/>
        <v>0.12359482194739804</v>
      </c>
      <c r="G29" s="2564">
        <v>405</v>
      </c>
      <c r="H29" s="2565">
        <f t="shared" si="3"/>
        <v>0.17337031900138697</v>
      </c>
      <c r="I29" s="2564">
        <v>468</v>
      </c>
      <c r="J29" s="2565">
        <f t="shared" si="4"/>
        <v>0.22451319494749367</v>
      </c>
      <c r="K29" s="2564">
        <v>497</v>
      </c>
      <c r="L29" s="2565">
        <f t="shared" si="5"/>
        <v>0.23706629270293733</v>
      </c>
      <c r="M29" s="2564">
        <v>490</v>
      </c>
      <c r="N29" s="2565">
        <f t="shared" si="6"/>
        <v>0.25293586269196022</v>
      </c>
      <c r="O29" s="2558">
        <v>550</v>
      </c>
      <c r="P29" s="2565">
        <f t="shared" si="7"/>
        <v>0.28690512829875692</v>
      </c>
      <c r="Q29" s="2558">
        <v>733</v>
      </c>
      <c r="R29" s="2565">
        <f t="shared" si="8"/>
        <v>0.38935514713693825</v>
      </c>
      <c r="S29" s="2558">
        <v>519</v>
      </c>
      <c r="T29" s="2565">
        <f t="shared" si="9"/>
        <v>0.27798607391537222</v>
      </c>
      <c r="U29" s="2560">
        <v>759</v>
      </c>
      <c r="V29" s="2561">
        <f t="shared" si="10"/>
        <v>0.41126842986491541</v>
      </c>
      <c r="W29" s="2567"/>
    </row>
    <row r="30" spans="1:23" ht="16.5" customHeight="1">
      <c r="A30" s="4080" t="s">
        <v>3813</v>
      </c>
      <c r="B30" s="4080"/>
      <c r="C30" s="2564">
        <v>491</v>
      </c>
      <c r="D30" s="2565">
        <f t="shared" si="1"/>
        <v>0.17452875458982189</v>
      </c>
      <c r="E30" s="2564">
        <v>647</v>
      </c>
      <c r="F30" s="2565">
        <f t="shared" si="2"/>
        <v>0.24604876861528163</v>
      </c>
      <c r="G30" s="2564">
        <v>605</v>
      </c>
      <c r="H30" s="2565">
        <f t="shared" si="3"/>
        <v>0.25898529134775089</v>
      </c>
      <c r="I30" s="2564">
        <v>523</v>
      </c>
      <c r="J30" s="2565">
        <f t="shared" si="4"/>
        <v>0.25089829264431446</v>
      </c>
      <c r="K30" s="2564">
        <v>522</v>
      </c>
      <c r="L30" s="2565">
        <f t="shared" si="5"/>
        <v>0.24899115652099255</v>
      </c>
      <c r="M30" s="2564">
        <v>545</v>
      </c>
      <c r="N30" s="2565">
        <f t="shared" si="6"/>
        <v>0.28132662279003745</v>
      </c>
      <c r="O30" s="2558">
        <v>580</v>
      </c>
      <c r="P30" s="2565">
        <f t="shared" si="7"/>
        <v>0.30255449893323461</v>
      </c>
      <c r="Q30" s="2558">
        <v>604</v>
      </c>
      <c r="R30" s="2565">
        <f t="shared" si="8"/>
        <v>0.32083289068309784</v>
      </c>
      <c r="S30" s="2558">
        <v>640</v>
      </c>
      <c r="T30" s="2565">
        <f t="shared" si="9"/>
        <v>0.34279592929833957</v>
      </c>
      <c r="U30" s="2560">
        <v>700</v>
      </c>
      <c r="V30" s="2561">
        <f t="shared" si="10"/>
        <v>0.37929894717449381</v>
      </c>
      <c r="W30" s="2567"/>
    </row>
    <row r="31" spans="1:23" ht="16.5" customHeight="1">
      <c r="A31" s="4080" t="s">
        <v>3814</v>
      </c>
      <c r="B31" s="4080"/>
      <c r="C31" s="2564">
        <v>583</v>
      </c>
      <c r="D31" s="2565">
        <f t="shared" si="1"/>
        <v>0.20723068009341375</v>
      </c>
      <c r="E31" s="2564">
        <v>664</v>
      </c>
      <c r="F31" s="2565">
        <f t="shared" si="2"/>
        <v>0.25251372853253012</v>
      </c>
      <c r="G31" s="2564">
        <v>712</v>
      </c>
      <c r="H31" s="2565">
        <f t="shared" si="3"/>
        <v>0.30478930155305561</v>
      </c>
      <c r="I31" s="2564">
        <v>697</v>
      </c>
      <c r="J31" s="2565">
        <f t="shared" si="4"/>
        <v>0.33437114717607497</v>
      </c>
      <c r="K31" s="2564">
        <v>663</v>
      </c>
      <c r="L31" s="2565">
        <f t="shared" si="5"/>
        <v>0.31624738845482381</v>
      </c>
      <c r="M31" s="2564">
        <v>664</v>
      </c>
      <c r="N31" s="2565">
        <f t="shared" si="6"/>
        <v>0.34275390372951348</v>
      </c>
      <c r="O31" s="2558">
        <v>646</v>
      </c>
      <c r="P31" s="2565">
        <f t="shared" si="7"/>
        <v>0.3369831143290854</v>
      </c>
      <c r="Q31" s="2558">
        <v>614</v>
      </c>
      <c r="R31" s="2565">
        <f t="shared" si="8"/>
        <v>0.32614469350897696</v>
      </c>
      <c r="S31" s="2558">
        <v>641</v>
      </c>
      <c r="T31" s="2565">
        <f t="shared" si="9"/>
        <v>0.34333154793786824</v>
      </c>
      <c r="U31" s="2560">
        <v>669</v>
      </c>
      <c r="V31" s="2561">
        <f t="shared" si="10"/>
        <v>0.36250142237105193</v>
      </c>
      <c r="W31" s="2567"/>
    </row>
    <row r="32" spans="1:23" ht="16.5" customHeight="1">
      <c r="A32" s="4080" t="s">
        <v>3815</v>
      </c>
      <c r="B32" s="4080"/>
      <c r="C32" s="2564">
        <v>750</v>
      </c>
      <c r="D32" s="2565">
        <f t="shared" si="1"/>
        <v>0.26659178399667294</v>
      </c>
      <c r="E32" s="2564">
        <v>736</v>
      </c>
      <c r="F32" s="2565">
        <f t="shared" si="2"/>
        <v>0.27989473524087677</v>
      </c>
      <c r="G32" s="2564">
        <v>803</v>
      </c>
      <c r="H32" s="2565">
        <f t="shared" si="3"/>
        <v>0.34374411397065119</v>
      </c>
      <c r="I32" s="2564">
        <v>771</v>
      </c>
      <c r="J32" s="2565">
        <f t="shared" si="4"/>
        <v>0.36987109680452479</v>
      </c>
      <c r="K32" s="2564">
        <v>900</v>
      </c>
      <c r="L32" s="2565">
        <f t="shared" si="5"/>
        <v>0.42929509744998706</v>
      </c>
      <c r="M32" s="2564">
        <v>754</v>
      </c>
      <c r="N32" s="2565">
        <f t="shared" si="6"/>
        <v>0.38921151116273067</v>
      </c>
      <c r="O32" s="2558">
        <v>739</v>
      </c>
      <c r="P32" s="2565">
        <f t="shared" si="7"/>
        <v>0.38549616329596614</v>
      </c>
      <c r="Q32" s="2558">
        <v>679</v>
      </c>
      <c r="R32" s="2565">
        <f t="shared" si="8"/>
        <v>0.36067141187719109</v>
      </c>
      <c r="S32" s="2558">
        <v>665</v>
      </c>
      <c r="T32" s="2565">
        <f t="shared" si="9"/>
        <v>0.35618639528655599</v>
      </c>
      <c r="U32" s="2560">
        <v>624</v>
      </c>
      <c r="V32" s="2561">
        <f t="shared" si="10"/>
        <v>0.33811791862412016</v>
      </c>
    </row>
    <row r="33" spans="1:22" ht="16.5" customHeight="1">
      <c r="A33" s="4080" t="s">
        <v>3816</v>
      </c>
      <c r="B33" s="4080"/>
      <c r="C33" s="2564">
        <v>16</v>
      </c>
      <c r="D33" s="2565">
        <f t="shared" si="1"/>
        <v>5.6872913919290228E-3</v>
      </c>
      <c r="E33" s="2564">
        <v>25</v>
      </c>
      <c r="F33" s="2565">
        <f t="shared" si="2"/>
        <v>9.5072939959536962E-3</v>
      </c>
      <c r="G33" s="2564">
        <v>40</v>
      </c>
      <c r="H33" s="2565">
        <f t="shared" si="3"/>
        <v>1.7122994469272786E-2</v>
      </c>
      <c r="I33" s="2564">
        <v>14</v>
      </c>
      <c r="J33" s="2565">
        <f t="shared" si="4"/>
        <v>6.7162066864634856E-3</v>
      </c>
      <c r="K33" s="2564">
        <v>36</v>
      </c>
      <c r="L33" s="2565">
        <f t="shared" si="5"/>
        <v>1.7171803897999483E-2</v>
      </c>
      <c r="M33" s="2564">
        <v>28</v>
      </c>
      <c r="N33" s="2565">
        <f t="shared" si="6"/>
        <v>1.4453477868112014E-2</v>
      </c>
      <c r="O33" s="2558">
        <v>18</v>
      </c>
      <c r="P33" s="2565">
        <f t="shared" si="7"/>
        <v>9.3896223806865901E-3</v>
      </c>
      <c r="Q33" s="2558">
        <v>61</v>
      </c>
      <c r="R33" s="2565">
        <f t="shared" si="8"/>
        <v>3.240199723786253E-2</v>
      </c>
      <c r="S33" s="2558">
        <v>590</v>
      </c>
      <c r="T33" s="2565">
        <f t="shared" si="9"/>
        <v>0.3160149973219068</v>
      </c>
      <c r="U33" s="2560">
        <v>518</v>
      </c>
      <c r="V33" s="2561">
        <f t="shared" si="10"/>
        <v>0.2806812209091254</v>
      </c>
    </row>
    <row r="34" spans="1:22" ht="16.5" customHeight="1">
      <c r="A34" s="4080" t="s">
        <v>3817</v>
      </c>
      <c r="B34" s="4080"/>
      <c r="C34" s="2564">
        <v>965</v>
      </c>
      <c r="D34" s="2565">
        <f t="shared" si="1"/>
        <v>0.34301476207571918</v>
      </c>
      <c r="E34" s="2564">
        <v>942</v>
      </c>
      <c r="F34" s="2565">
        <f t="shared" si="2"/>
        <v>0.35823483776753523</v>
      </c>
      <c r="G34" s="2564">
        <v>821</v>
      </c>
      <c r="H34" s="2565">
        <f t="shared" si="3"/>
        <v>0.35144946148182393</v>
      </c>
      <c r="I34" s="2564">
        <v>625</v>
      </c>
      <c r="J34" s="2565">
        <f t="shared" si="4"/>
        <v>0.29983065564569134</v>
      </c>
      <c r="K34" s="2564">
        <v>665</v>
      </c>
      <c r="L34" s="2565">
        <f t="shared" si="5"/>
        <v>0.31720137756026828</v>
      </c>
      <c r="M34" s="2564">
        <v>579</v>
      </c>
      <c r="N34" s="2565">
        <f t="shared" si="6"/>
        <v>0.29887727448703061</v>
      </c>
      <c r="O34" s="2558">
        <v>550</v>
      </c>
      <c r="P34" s="2565">
        <f t="shared" si="7"/>
        <v>0.28690512829875692</v>
      </c>
      <c r="Q34" s="2558">
        <v>565</v>
      </c>
      <c r="R34" s="2565">
        <f t="shared" si="8"/>
        <v>0.30011685966216933</v>
      </c>
      <c r="S34" s="2558">
        <v>447</v>
      </c>
      <c r="T34" s="2565">
        <f t="shared" si="9"/>
        <v>0.23942153186930903</v>
      </c>
      <c r="U34" s="2560">
        <v>402</v>
      </c>
      <c r="V34" s="2561">
        <f t="shared" si="10"/>
        <v>0.21782596680592356</v>
      </c>
    </row>
    <row r="35" spans="1:22" s="2568" customFormat="1" ht="16.5" customHeight="1">
      <c r="A35" s="4080" t="s">
        <v>3818</v>
      </c>
      <c r="B35" s="4080"/>
      <c r="C35" s="2564">
        <v>560</v>
      </c>
      <c r="D35" s="2565">
        <f t="shared" si="1"/>
        <v>0.19905519871751576</v>
      </c>
      <c r="E35" s="2564">
        <v>490</v>
      </c>
      <c r="F35" s="2565">
        <f t="shared" si="2"/>
        <v>0.18634296232069245</v>
      </c>
      <c r="G35" s="2564">
        <v>426</v>
      </c>
      <c r="H35" s="2565">
        <f t="shared" si="3"/>
        <v>0.18235989109775516</v>
      </c>
      <c r="I35" s="2564">
        <v>484</v>
      </c>
      <c r="J35" s="2565">
        <f t="shared" si="4"/>
        <v>0.23218885973202336</v>
      </c>
      <c r="K35" s="2564">
        <v>401</v>
      </c>
      <c r="L35" s="2565">
        <f t="shared" si="5"/>
        <v>0.19127481564160537</v>
      </c>
      <c r="M35" s="2564">
        <v>421</v>
      </c>
      <c r="N35" s="2565">
        <f t="shared" si="6"/>
        <v>0.21731836365982707</v>
      </c>
      <c r="O35" s="2558">
        <v>411</v>
      </c>
      <c r="P35" s="2565">
        <f t="shared" si="7"/>
        <v>0.21439637769234379</v>
      </c>
      <c r="Q35" s="2558">
        <v>402</v>
      </c>
      <c r="R35" s="2565">
        <f t="shared" si="8"/>
        <v>0.21353447360033997</v>
      </c>
      <c r="S35" s="2558">
        <v>397</v>
      </c>
      <c r="T35" s="2565">
        <f t="shared" si="9"/>
        <v>0.21264059989287626</v>
      </c>
      <c r="U35" s="2560">
        <v>388</v>
      </c>
      <c r="V35" s="2561">
        <f t="shared" si="10"/>
        <v>0.2102399878624337</v>
      </c>
    </row>
    <row r="36" spans="1:22" ht="16.5" customHeight="1">
      <c r="A36" s="4080" t="s">
        <v>3819</v>
      </c>
      <c r="B36" s="4080"/>
      <c r="C36" s="2564">
        <v>22</v>
      </c>
      <c r="D36" s="2565">
        <f t="shared" si="1"/>
        <v>7.8200256639024048E-3</v>
      </c>
      <c r="E36" s="2564">
        <v>80</v>
      </c>
      <c r="F36" s="2565">
        <f t="shared" si="2"/>
        <v>3.0423340787051827E-2</v>
      </c>
      <c r="G36" s="2564">
        <v>22</v>
      </c>
      <c r="H36" s="2565">
        <f t="shared" si="3"/>
        <v>9.4176469581000316E-3</v>
      </c>
      <c r="I36" s="2564">
        <v>20</v>
      </c>
      <c r="J36" s="2565">
        <f t="shared" si="4"/>
        <v>9.5945809806621211E-3</v>
      </c>
      <c r="K36" s="2564">
        <v>32</v>
      </c>
      <c r="L36" s="2565">
        <f t="shared" si="5"/>
        <v>1.5263825687110653E-2</v>
      </c>
      <c r="M36" s="2564">
        <v>32</v>
      </c>
      <c r="N36" s="2565">
        <f t="shared" si="6"/>
        <v>1.6518260420699447E-2</v>
      </c>
      <c r="O36" s="2558">
        <v>17</v>
      </c>
      <c r="P36" s="2565">
        <f t="shared" si="7"/>
        <v>8.8679766928706685E-3</v>
      </c>
      <c r="Q36" s="2558">
        <v>102</v>
      </c>
      <c r="R36" s="2565">
        <f t="shared" si="8"/>
        <v>5.4180388823966856E-2</v>
      </c>
      <c r="S36" s="2558">
        <v>78</v>
      </c>
      <c r="T36" s="2565">
        <f t="shared" si="9"/>
        <v>4.1778253883235139E-2</v>
      </c>
      <c r="U36" s="2560">
        <v>321</v>
      </c>
      <c r="V36" s="2561">
        <f t="shared" si="10"/>
        <v>0.17393566006144642</v>
      </c>
    </row>
    <row r="37" spans="1:22" ht="16.5" customHeight="1">
      <c r="A37" s="4080" t="s">
        <v>3819</v>
      </c>
      <c r="B37" s="4080"/>
      <c r="C37" s="2564">
        <v>24</v>
      </c>
      <c r="D37" s="2565">
        <f t="shared" si="1"/>
        <v>8.5309370878935351E-3</v>
      </c>
      <c r="E37" s="2564">
        <v>52</v>
      </c>
      <c r="F37" s="2565">
        <f t="shared" si="2"/>
        <v>1.9775171511583686E-2</v>
      </c>
      <c r="G37" s="2564">
        <v>28</v>
      </c>
      <c r="H37" s="2565">
        <f t="shared" si="3"/>
        <v>1.198609612849095E-2</v>
      </c>
      <c r="I37" s="2564">
        <v>158</v>
      </c>
      <c r="J37" s="2565">
        <f t="shared" si="4"/>
        <v>7.5797189747230764E-2</v>
      </c>
      <c r="K37" s="2564">
        <v>256</v>
      </c>
      <c r="L37" s="2565">
        <f t="shared" si="5"/>
        <v>0.12211060549688522</v>
      </c>
      <c r="M37" s="2564">
        <v>186</v>
      </c>
      <c r="N37" s="2565">
        <f t="shared" si="6"/>
        <v>9.6012388695315531E-2</v>
      </c>
      <c r="O37" s="2558">
        <v>156</v>
      </c>
      <c r="P37" s="2565">
        <f t="shared" si="7"/>
        <v>8.1376727299283788E-2</v>
      </c>
      <c r="Q37" s="2558">
        <v>230</v>
      </c>
      <c r="R37" s="2565">
        <f t="shared" si="8"/>
        <v>0.12217146499521937</v>
      </c>
      <c r="S37" s="2558">
        <v>257</v>
      </c>
      <c r="T37" s="2565">
        <f t="shared" si="9"/>
        <v>0.1376539903588645</v>
      </c>
      <c r="U37" s="2560">
        <v>280</v>
      </c>
      <c r="V37" s="2561">
        <f t="shared" si="10"/>
        <v>0.15171957886979751</v>
      </c>
    </row>
    <row r="38" spans="1:22" ht="16.5" customHeight="1">
      <c r="A38" s="4080" t="s">
        <v>3820</v>
      </c>
      <c r="B38" s="4080"/>
      <c r="C38" s="2564">
        <v>989</v>
      </c>
      <c r="D38" s="2565">
        <f t="shared" si="1"/>
        <v>0.35154569916361272</v>
      </c>
      <c r="E38" s="2564">
        <v>803</v>
      </c>
      <c r="F38" s="2565">
        <f t="shared" si="2"/>
        <v>0.30537428315003268</v>
      </c>
      <c r="G38" s="2564">
        <v>695</v>
      </c>
      <c r="H38" s="2565">
        <f t="shared" si="3"/>
        <v>0.29751202890361467</v>
      </c>
      <c r="I38" s="2564">
        <v>583</v>
      </c>
      <c r="J38" s="2565">
        <f t="shared" si="4"/>
        <v>0.27968203558630084</v>
      </c>
      <c r="K38" s="2564">
        <v>461</v>
      </c>
      <c r="L38" s="2565">
        <f t="shared" si="5"/>
        <v>0.21989448880493784</v>
      </c>
      <c r="M38" s="2564">
        <v>454</v>
      </c>
      <c r="N38" s="2565">
        <f t="shared" si="6"/>
        <v>0.23435281971867336</v>
      </c>
      <c r="O38" s="2558">
        <v>423</v>
      </c>
      <c r="P38" s="2565">
        <f t="shared" si="7"/>
        <v>0.22065612594613487</v>
      </c>
      <c r="Q38" s="2558">
        <v>365</v>
      </c>
      <c r="R38" s="2565">
        <f t="shared" si="8"/>
        <v>0.19388080314458728</v>
      </c>
      <c r="S38" s="2558">
        <v>255</v>
      </c>
      <c r="T38" s="2565">
        <f t="shared" si="9"/>
        <v>0.13658275307980716</v>
      </c>
      <c r="U38" s="2560">
        <v>251</v>
      </c>
      <c r="V38" s="2561">
        <f t="shared" si="10"/>
        <v>0.13600576534399705</v>
      </c>
    </row>
    <row r="39" spans="1:22" ht="16.5" customHeight="1">
      <c r="A39" s="4080" t="s">
        <v>3821</v>
      </c>
      <c r="B39" s="4080"/>
      <c r="C39" s="2564">
        <v>234</v>
      </c>
      <c r="D39" s="2565">
        <f t="shared" si="1"/>
        <v>8.3176636606961951E-2</v>
      </c>
      <c r="E39" s="2564">
        <v>282</v>
      </c>
      <c r="F39" s="2565">
        <f t="shared" si="2"/>
        <v>0.10724227627435769</v>
      </c>
      <c r="G39" s="2564">
        <v>185</v>
      </c>
      <c r="H39" s="2565">
        <f t="shared" si="3"/>
        <v>7.9193849420386639E-2</v>
      </c>
      <c r="I39" s="2564">
        <v>189</v>
      </c>
      <c r="J39" s="2565">
        <f t="shared" si="4"/>
        <v>9.0668790267257063E-2</v>
      </c>
      <c r="K39" s="2564">
        <v>135</v>
      </c>
      <c r="L39" s="2565">
        <f t="shared" si="5"/>
        <v>6.4394264617498073E-2</v>
      </c>
      <c r="M39" s="2564">
        <v>144</v>
      </c>
      <c r="N39" s="2565">
        <f t="shared" si="6"/>
        <v>7.4332171893147503E-2</v>
      </c>
      <c r="O39" s="2558">
        <v>135</v>
      </c>
      <c r="P39" s="2565">
        <f t="shared" si="7"/>
        <v>7.0422167855149431E-2</v>
      </c>
      <c r="Q39" s="2558">
        <v>172</v>
      </c>
      <c r="R39" s="2565">
        <f t="shared" si="8"/>
        <v>9.1363008605120574E-2</v>
      </c>
      <c r="S39" s="2558">
        <v>209</v>
      </c>
      <c r="T39" s="2565">
        <f t="shared" si="9"/>
        <v>0.11194429566148902</v>
      </c>
      <c r="U39" s="2560">
        <v>214</v>
      </c>
      <c r="V39" s="2561">
        <f t="shared" si="10"/>
        <v>0.11595710670763094</v>
      </c>
    </row>
    <row r="40" spans="1:22" ht="16.5" customHeight="1">
      <c r="A40" s="4080" t="s">
        <v>3822</v>
      </c>
      <c r="B40" s="4080"/>
      <c r="C40" s="2564">
        <v>1527</v>
      </c>
      <c r="D40" s="2565">
        <f t="shared" si="1"/>
        <v>0.54278087221722615</v>
      </c>
      <c r="E40" s="2564">
        <v>1350</v>
      </c>
      <c r="F40" s="2565">
        <f t="shared" si="2"/>
        <v>0.51339387578149953</v>
      </c>
      <c r="G40" s="2564">
        <v>1143</v>
      </c>
      <c r="H40" s="2565">
        <f t="shared" si="3"/>
        <v>0.48928956695946985</v>
      </c>
      <c r="I40" s="2564">
        <v>843</v>
      </c>
      <c r="J40" s="2565">
        <f t="shared" si="4"/>
        <v>0.40441158833490842</v>
      </c>
      <c r="K40" s="2564">
        <v>789</v>
      </c>
      <c r="L40" s="2565">
        <f t="shared" si="5"/>
        <v>0.37634870209782201</v>
      </c>
      <c r="M40" s="2564">
        <v>614</v>
      </c>
      <c r="N40" s="2565">
        <f t="shared" si="6"/>
        <v>0.31694412182217063</v>
      </c>
      <c r="O40" s="2558">
        <v>466</v>
      </c>
      <c r="P40" s="2565">
        <f t="shared" si="7"/>
        <v>0.24308689052221949</v>
      </c>
      <c r="Q40" s="2558">
        <v>292</v>
      </c>
      <c r="R40" s="2565">
        <f t="shared" si="8"/>
        <v>0.15510464251566983</v>
      </c>
      <c r="S40" s="2558">
        <v>224</v>
      </c>
      <c r="T40" s="2565">
        <f t="shared" si="9"/>
        <v>0.11997857525441885</v>
      </c>
      <c r="U40" s="2560">
        <v>196</v>
      </c>
      <c r="V40" s="2561">
        <f t="shared" si="10"/>
        <v>0.10620370520885826</v>
      </c>
    </row>
    <row r="41" spans="1:22" ht="16.5" customHeight="1">
      <c r="A41" s="4080" t="s">
        <v>3823</v>
      </c>
      <c r="B41" s="4080"/>
      <c r="C41" s="2564">
        <v>420</v>
      </c>
      <c r="D41" s="2565">
        <f t="shared" si="1"/>
        <v>0.14929139903813685</v>
      </c>
      <c r="E41" s="2564">
        <v>476</v>
      </c>
      <c r="F41" s="2565">
        <f t="shared" si="2"/>
        <v>0.18101887768295835</v>
      </c>
      <c r="G41" s="2564">
        <v>351</v>
      </c>
      <c r="H41" s="2565">
        <f t="shared" si="3"/>
        <v>0.15025427646786871</v>
      </c>
      <c r="I41" s="2564">
        <v>168</v>
      </c>
      <c r="J41" s="2565">
        <f t="shared" si="4"/>
        <v>8.0594480237561827E-2</v>
      </c>
      <c r="K41" s="2564">
        <v>143</v>
      </c>
      <c r="L41" s="2565">
        <f t="shared" si="5"/>
        <v>6.8210221039275737E-2</v>
      </c>
      <c r="M41" s="2564">
        <v>120</v>
      </c>
      <c r="N41" s="2565">
        <f t="shared" si="6"/>
        <v>6.1943476577622919E-2</v>
      </c>
      <c r="O41" s="2558">
        <v>78</v>
      </c>
      <c r="P41" s="2565">
        <f t="shared" si="7"/>
        <v>4.0688363649641894E-2</v>
      </c>
      <c r="Q41" s="2558">
        <v>225</v>
      </c>
      <c r="R41" s="2565">
        <f t="shared" si="8"/>
        <v>0.11951556358227983</v>
      </c>
      <c r="S41" s="2558">
        <v>184</v>
      </c>
      <c r="T41" s="2565">
        <f t="shared" si="9"/>
        <v>9.8553829673272628E-2</v>
      </c>
      <c r="U41" s="2560">
        <v>165</v>
      </c>
      <c r="V41" s="2561">
        <f t="shared" si="10"/>
        <v>8.9406180405416383E-2</v>
      </c>
    </row>
    <row r="42" spans="1:22" ht="16.5" customHeight="1">
      <c r="A42" s="4080" t="s">
        <v>3824</v>
      </c>
      <c r="B42" s="4080"/>
      <c r="C42" s="2564">
        <v>1750</v>
      </c>
      <c r="D42" s="2565">
        <f t="shared" si="1"/>
        <v>0.62204749599223685</v>
      </c>
      <c r="E42" s="2564">
        <v>1030</v>
      </c>
      <c r="F42" s="2565">
        <f t="shared" si="2"/>
        <v>0.39170051263329225</v>
      </c>
      <c r="G42" s="2564">
        <v>735</v>
      </c>
      <c r="H42" s="2565">
        <f t="shared" si="3"/>
        <v>0.31463502337288746</v>
      </c>
      <c r="I42" s="2564">
        <v>576</v>
      </c>
      <c r="J42" s="2565">
        <f t="shared" si="4"/>
        <v>0.27632393224306911</v>
      </c>
      <c r="K42" s="2564">
        <v>466</v>
      </c>
      <c r="L42" s="2565">
        <f t="shared" si="5"/>
        <v>0.22227946156854889</v>
      </c>
      <c r="M42" s="2564">
        <v>381</v>
      </c>
      <c r="N42" s="2565">
        <f t="shared" si="6"/>
        <v>0.19667053813395277</v>
      </c>
      <c r="O42" s="2558">
        <v>353</v>
      </c>
      <c r="P42" s="2565">
        <f t="shared" si="7"/>
        <v>0.18414092779902036</v>
      </c>
      <c r="Q42" s="2558">
        <v>276</v>
      </c>
      <c r="R42" s="2565">
        <f t="shared" si="8"/>
        <v>0.14660575799426326</v>
      </c>
      <c r="S42" s="2558">
        <v>239</v>
      </c>
      <c r="T42" s="2565">
        <f t="shared" si="9"/>
        <v>0.12801285484734867</v>
      </c>
      <c r="U42" s="2560">
        <v>158</v>
      </c>
      <c r="V42" s="2561">
        <f t="shared" si="10"/>
        <v>8.5613190933671451E-2</v>
      </c>
    </row>
    <row r="43" spans="1:22" ht="16.5" customHeight="1">
      <c r="A43" s="4080" t="s">
        <v>3825</v>
      </c>
      <c r="B43" s="4080"/>
      <c r="C43" s="2564">
        <v>17</v>
      </c>
      <c r="D43" s="2565">
        <f t="shared" si="1"/>
        <v>6.042747103924587E-3</v>
      </c>
      <c r="E43" s="2564">
        <v>21</v>
      </c>
      <c r="F43" s="2565">
        <f t="shared" si="2"/>
        <v>7.9861269566011053E-3</v>
      </c>
      <c r="G43" s="2564">
        <v>25</v>
      </c>
      <c r="H43" s="2565">
        <f t="shared" si="3"/>
        <v>1.0701871543295492E-2</v>
      </c>
      <c r="I43" s="2564">
        <v>20</v>
      </c>
      <c r="J43" s="2565">
        <f t="shared" si="4"/>
        <v>9.5945809806621211E-3</v>
      </c>
      <c r="K43" s="2564">
        <v>36</v>
      </c>
      <c r="L43" s="2565">
        <f t="shared" si="5"/>
        <v>1.7171803897999483E-2</v>
      </c>
      <c r="M43" s="2564">
        <v>66</v>
      </c>
      <c r="N43" s="2565">
        <f t="shared" si="6"/>
        <v>3.4068912117692605E-2</v>
      </c>
      <c r="O43" s="2558">
        <v>43</v>
      </c>
      <c r="P43" s="2565">
        <f t="shared" si="7"/>
        <v>2.243076457608463E-2</v>
      </c>
      <c r="Q43" s="2558">
        <v>112</v>
      </c>
      <c r="R43" s="2565">
        <f t="shared" si="8"/>
        <v>5.9492191649845955E-2</v>
      </c>
      <c r="S43" s="2558">
        <v>119</v>
      </c>
      <c r="T43" s="2565">
        <f t="shared" si="9"/>
        <v>6.3738618103910016E-2</v>
      </c>
      <c r="U43" s="2560">
        <v>137</v>
      </c>
      <c r="V43" s="2561">
        <f t="shared" si="10"/>
        <v>7.4234222518436643E-2</v>
      </c>
    </row>
    <row r="44" spans="1:22" ht="16.5" customHeight="1">
      <c r="A44" s="4080" t="s">
        <v>3826</v>
      </c>
      <c r="B44" s="4080"/>
      <c r="C44" s="2564">
        <v>83</v>
      </c>
      <c r="D44" s="2565">
        <f t="shared" si="1"/>
        <v>2.9502824095631808E-2</v>
      </c>
      <c r="E44" s="2564">
        <v>128</v>
      </c>
      <c r="F44" s="2565">
        <f t="shared" si="2"/>
        <v>4.8677345259282925E-2</v>
      </c>
      <c r="G44" s="2564">
        <v>127</v>
      </c>
      <c r="H44" s="2565">
        <f t="shared" si="3"/>
        <v>5.4365507439941098E-2</v>
      </c>
      <c r="I44" s="2564">
        <v>113</v>
      </c>
      <c r="J44" s="2565">
        <f t="shared" si="4"/>
        <v>5.4209382540740987E-2</v>
      </c>
      <c r="K44" s="2564">
        <v>65</v>
      </c>
      <c r="L44" s="2565">
        <f t="shared" si="5"/>
        <v>3.1004645926943516E-2</v>
      </c>
      <c r="M44" s="2564">
        <v>70</v>
      </c>
      <c r="N44" s="2565">
        <f t="shared" si="6"/>
        <v>3.6133694670280041E-2</v>
      </c>
      <c r="O44" s="2558">
        <v>84</v>
      </c>
      <c r="P44" s="2565">
        <f t="shared" si="7"/>
        <v>4.3818237776537421E-2</v>
      </c>
      <c r="Q44" s="2558">
        <v>88</v>
      </c>
      <c r="R44" s="2565">
        <f t="shared" si="8"/>
        <v>4.6743864867736108E-2</v>
      </c>
      <c r="S44" s="2558">
        <v>99</v>
      </c>
      <c r="T44" s="2565">
        <f t="shared" si="9"/>
        <v>5.3026245313336905E-2</v>
      </c>
      <c r="U44" s="2560">
        <v>134</v>
      </c>
      <c r="V44" s="2561">
        <f t="shared" si="10"/>
        <v>7.260865560197452E-2</v>
      </c>
    </row>
    <row r="45" spans="1:22" ht="16.5" customHeight="1">
      <c r="A45" s="4080" t="s">
        <v>3827</v>
      </c>
      <c r="B45" s="4080"/>
      <c r="C45" s="2564">
        <v>162</v>
      </c>
      <c r="D45" s="2565">
        <f t="shared" si="1"/>
        <v>5.7583825343281353E-2</v>
      </c>
      <c r="E45" s="2564">
        <v>135</v>
      </c>
      <c r="F45" s="2565">
        <f t="shared" si="2"/>
        <v>5.1339387578149952E-2</v>
      </c>
      <c r="G45" s="2564">
        <v>151</v>
      </c>
      <c r="H45" s="2565">
        <f t="shared" si="3"/>
        <v>6.4639304121504759E-2</v>
      </c>
      <c r="I45" s="2564">
        <v>157</v>
      </c>
      <c r="J45" s="2565">
        <f t="shared" si="4"/>
        <v>7.5317460698197669E-2</v>
      </c>
      <c r="K45" s="2564">
        <v>127</v>
      </c>
      <c r="L45" s="2565">
        <f t="shared" si="5"/>
        <v>6.0578308195720409E-2</v>
      </c>
      <c r="M45" s="2564">
        <v>142</v>
      </c>
      <c r="N45" s="2565">
        <f t="shared" si="6"/>
        <v>7.3299780616853785E-2</v>
      </c>
      <c r="O45" s="2558">
        <v>123</v>
      </c>
      <c r="P45" s="2565">
        <f t="shared" si="7"/>
        <v>6.4162419601358364E-2</v>
      </c>
      <c r="Q45" s="2558">
        <v>110</v>
      </c>
      <c r="R45" s="2565">
        <f t="shared" si="8"/>
        <v>5.842983108467014E-2</v>
      </c>
      <c r="S45" s="2558">
        <v>117</v>
      </c>
      <c r="T45" s="2565">
        <f t="shared" si="9"/>
        <v>6.2667380824852709E-2</v>
      </c>
      <c r="U45" s="2560">
        <v>113</v>
      </c>
      <c r="V45" s="2561">
        <f t="shared" si="10"/>
        <v>6.1229687186739712E-2</v>
      </c>
    </row>
    <row r="46" spans="1:22" ht="16.5" customHeight="1">
      <c r="A46" s="4080" t="s">
        <v>3828</v>
      </c>
      <c r="B46" s="4080"/>
      <c r="C46" s="2564">
        <v>1356</v>
      </c>
      <c r="D46" s="2565">
        <f t="shared" si="1"/>
        <v>0.48199794546598462</v>
      </c>
      <c r="E46" s="2564">
        <v>1519</v>
      </c>
      <c r="F46" s="2565">
        <f t="shared" si="2"/>
        <v>0.57766318319414656</v>
      </c>
      <c r="G46" s="2564">
        <v>1154</v>
      </c>
      <c r="H46" s="2565">
        <f t="shared" si="3"/>
        <v>0.4939983904385199</v>
      </c>
      <c r="I46" s="2564">
        <v>981</v>
      </c>
      <c r="J46" s="2565">
        <f t="shared" si="4"/>
        <v>0.47061419710147706</v>
      </c>
      <c r="K46" s="2564">
        <v>993</v>
      </c>
      <c r="L46" s="2565">
        <f t="shared" si="5"/>
        <v>0.47365559085315245</v>
      </c>
      <c r="M46" s="2564">
        <v>642</v>
      </c>
      <c r="N46" s="2565">
        <f t="shared" si="6"/>
        <v>0.3313975996902826</v>
      </c>
      <c r="O46" s="2558">
        <v>277</v>
      </c>
      <c r="P46" s="2565">
        <f t="shared" si="7"/>
        <v>0.14449585552501029</v>
      </c>
      <c r="Q46" s="2558">
        <v>251</v>
      </c>
      <c r="R46" s="2565">
        <f t="shared" si="8"/>
        <v>0.13332625092956549</v>
      </c>
      <c r="S46" s="2558">
        <v>170</v>
      </c>
      <c r="T46" s="2565">
        <f t="shared" si="9"/>
        <v>9.1055168719871446E-2</v>
      </c>
      <c r="U46" s="2560">
        <v>109</v>
      </c>
      <c r="V46" s="2561">
        <f t="shared" si="10"/>
        <v>5.906226463145689E-2</v>
      </c>
    </row>
    <row r="47" spans="1:22" ht="16.5" customHeight="1">
      <c r="A47" s="4080" t="s">
        <v>2722</v>
      </c>
      <c r="B47" s="4080"/>
      <c r="C47" s="2564">
        <v>85</v>
      </c>
      <c r="D47" s="2565">
        <f t="shared" si="1"/>
        <v>3.0213735519622933E-2</v>
      </c>
      <c r="E47" s="2564">
        <v>76</v>
      </c>
      <c r="F47" s="2565">
        <f t="shared" si="2"/>
        <v>2.8902173747699232E-2</v>
      </c>
      <c r="G47" s="2564">
        <v>67</v>
      </c>
      <c r="H47" s="2565">
        <f t="shared" si="3"/>
        <v>2.868101573603192E-2</v>
      </c>
      <c r="I47" s="2564">
        <v>109</v>
      </c>
      <c r="J47" s="2565">
        <f t="shared" si="4"/>
        <v>5.2290466344608565E-2</v>
      </c>
      <c r="K47" s="2564">
        <v>106</v>
      </c>
      <c r="L47" s="2565">
        <f t="shared" si="5"/>
        <v>5.0561422588554034E-2</v>
      </c>
      <c r="M47" s="2564">
        <v>133</v>
      </c>
      <c r="N47" s="2565">
        <f t="shared" si="6"/>
        <v>6.8654019873532063E-2</v>
      </c>
      <c r="O47" s="2558">
        <v>173</v>
      </c>
      <c r="P47" s="2565">
        <f t="shared" si="7"/>
        <v>9.0244703992154451E-2</v>
      </c>
      <c r="Q47" s="2558">
        <v>147</v>
      </c>
      <c r="R47" s="2565">
        <f t="shared" si="8"/>
        <v>7.8083501540422817E-2</v>
      </c>
      <c r="S47" s="2558">
        <v>147</v>
      </c>
      <c r="T47" s="2565">
        <f t="shared" si="9"/>
        <v>7.8735940010712366E-2</v>
      </c>
      <c r="U47" s="2560">
        <v>93</v>
      </c>
      <c r="V47" s="2561">
        <f t="shared" si="10"/>
        <v>5.0392574410325602E-2</v>
      </c>
    </row>
    <row r="48" spans="1:22" ht="16.5" customHeight="1">
      <c r="A48" s="4080" t="s">
        <v>3829</v>
      </c>
      <c r="B48" s="4080"/>
      <c r="C48" s="2564">
        <v>86</v>
      </c>
      <c r="D48" s="2565">
        <f t="shared" si="1"/>
        <v>3.0569191231618498E-2</v>
      </c>
      <c r="E48" s="2564">
        <v>54</v>
      </c>
      <c r="F48" s="2565">
        <f t="shared" si="2"/>
        <v>2.0535755031259983E-2</v>
      </c>
      <c r="G48" s="2564">
        <v>93</v>
      </c>
      <c r="H48" s="2565">
        <f t="shared" si="3"/>
        <v>3.9810962141059225E-2</v>
      </c>
      <c r="I48" s="2564">
        <v>45</v>
      </c>
      <c r="J48" s="2565">
        <f t="shared" si="4"/>
        <v>2.1587807206489774E-2</v>
      </c>
      <c r="K48" s="2564">
        <v>81</v>
      </c>
      <c r="L48" s="2565">
        <f t="shared" si="5"/>
        <v>3.863655877049884E-2</v>
      </c>
      <c r="M48" s="2564">
        <v>72</v>
      </c>
      <c r="N48" s="2565">
        <f t="shared" si="6"/>
        <v>3.7166085946573751E-2</v>
      </c>
      <c r="O48" s="2558">
        <v>119</v>
      </c>
      <c r="P48" s="2565">
        <f t="shared" si="7"/>
        <v>6.2075836850094677E-2</v>
      </c>
      <c r="Q48" s="2558">
        <v>115</v>
      </c>
      <c r="R48" s="2565">
        <f t="shared" si="8"/>
        <v>6.1085732497609686E-2</v>
      </c>
      <c r="S48" s="2558">
        <v>98</v>
      </c>
      <c r="T48" s="2565">
        <f t="shared" si="9"/>
        <v>5.2490626673808244E-2</v>
      </c>
      <c r="U48" s="2560">
        <v>91</v>
      </c>
      <c r="V48" s="2561">
        <f t="shared" si="10"/>
        <v>4.9308863132684184E-2</v>
      </c>
    </row>
    <row r="49" spans="1:22" ht="16.5" customHeight="1">
      <c r="A49" s="4080" t="s">
        <v>3830</v>
      </c>
      <c r="B49" s="4080"/>
      <c r="C49" s="2564">
        <v>268</v>
      </c>
      <c r="D49" s="2565">
        <f t="shared" si="1"/>
        <v>9.5262130814811122E-2</v>
      </c>
      <c r="E49" s="2564">
        <v>50</v>
      </c>
      <c r="F49" s="2565">
        <f t="shared" si="2"/>
        <v>1.9014587991907392E-2</v>
      </c>
      <c r="G49" s="2564">
        <v>55</v>
      </c>
      <c r="H49" s="2565">
        <f t="shared" si="3"/>
        <v>2.3544117395250082E-2</v>
      </c>
      <c r="I49" s="2564" t="s">
        <v>1</v>
      </c>
      <c r="J49" s="2565" t="s">
        <v>1</v>
      </c>
      <c r="K49" s="2564">
        <v>370</v>
      </c>
      <c r="L49" s="2565">
        <f t="shared" si="5"/>
        <v>0.17648798450721695</v>
      </c>
      <c r="M49" s="2564">
        <v>55</v>
      </c>
      <c r="N49" s="2565">
        <f t="shared" si="6"/>
        <v>2.8390760098077172E-2</v>
      </c>
      <c r="O49" s="2558">
        <v>70</v>
      </c>
      <c r="P49" s="2565">
        <f t="shared" si="7"/>
        <v>3.6515198147114514E-2</v>
      </c>
      <c r="Q49" s="2558">
        <v>1</v>
      </c>
      <c r="R49" s="2565">
        <f t="shared" si="8"/>
        <v>5.3118028258791034E-4</v>
      </c>
      <c r="S49" s="2558">
        <v>463</v>
      </c>
      <c r="T49" s="2565">
        <f t="shared" si="9"/>
        <v>0.24799143010176752</v>
      </c>
      <c r="U49" s="2560">
        <v>85</v>
      </c>
      <c r="V49" s="2561">
        <f t="shared" si="10"/>
        <v>4.6057729299759959E-2</v>
      </c>
    </row>
    <row r="50" spans="1:22" ht="16.5" customHeight="1">
      <c r="A50" s="4080" t="s">
        <v>3831</v>
      </c>
      <c r="B50" s="4080"/>
      <c r="C50" s="2564">
        <v>103</v>
      </c>
      <c r="D50" s="2565">
        <f t="shared" si="1"/>
        <v>3.6611938335543083E-2</v>
      </c>
      <c r="E50" s="2564">
        <v>127</v>
      </c>
      <c r="F50" s="2565">
        <f t="shared" si="2"/>
        <v>4.829705349944477E-2</v>
      </c>
      <c r="G50" s="2564">
        <v>128</v>
      </c>
      <c r="H50" s="2565">
        <f t="shared" si="3"/>
        <v>5.4793582301672916E-2</v>
      </c>
      <c r="I50" s="2564">
        <v>89</v>
      </c>
      <c r="J50" s="2565">
        <f t="shared" ref="J50:J68" si="11">I50/I$4*100</f>
        <v>4.2695885363946438E-2</v>
      </c>
      <c r="K50" s="2564">
        <v>145</v>
      </c>
      <c r="L50" s="2565">
        <f t="shared" si="5"/>
        <v>6.9164210144720142E-2</v>
      </c>
      <c r="M50" s="2564">
        <v>89</v>
      </c>
      <c r="N50" s="2565">
        <f t="shared" si="6"/>
        <v>4.594141179507033E-2</v>
      </c>
      <c r="O50" s="2558">
        <v>70</v>
      </c>
      <c r="P50" s="2565">
        <f t="shared" si="7"/>
        <v>3.6515198147114514E-2</v>
      </c>
      <c r="Q50" s="2558">
        <v>55</v>
      </c>
      <c r="R50" s="2565">
        <f t="shared" si="8"/>
        <v>2.921491554233507E-2</v>
      </c>
      <c r="S50" s="2558">
        <v>63</v>
      </c>
      <c r="T50" s="2565">
        <f t="shared" si="9"/>
        <v>3.3743974290305304E-2</v>
      </c>
      <c r="U50" s="2560">
        <v>83</v>
      </c>
      <c r="V50" s="2561">
        <f t="shared" si="10"/>
        <v>4.4974018022118548E-2</v>
      </c>
    </row>
    <row r="51" spans="1:22" ht="16.5" customHeight="1">
      <c r="A51" s="4080" t="s">
        <v>3832</v>
      </c>
      <c r="B51" s="4080"/>
      <c r="C51" s="2564">
        <v>66</v>
      </c>
      <c r="D51" s="2565">
        <f t="shared" si="1"/>
        <v>2.346007699170722E-2</v>
      </c>
      <c r="E51" s="2564">
        <v>75</v>
      </c>
      <c r="F51" s="2565">
        <f t="shared" si="2"/>
        <v>2.8521881987861087E-2</v>
      </c>
      <c r="G51" s="2564">
        <v>59</v>
      </c>
      <c r="H51" s="2565">
        <f t="shared" si="3"/>
        <v>2.5256416842177359E-2</v>
      </c>
      <c r="I51" s="2564">
        <v>43</v>
      </c>
      <c r="J51" s="2565">
        <f t="shared" si="11"/>
        <v>2.0628349108423562E-2</v>
      </c>
      <c r="K51" s="2564">
        <v>40</v>
      </c>
      <c r="L51" s="2565">
        <f t="shared" si="5"/>
        <v>1.9079782108888318E-2</v>
      </c>
      <c r="M51" s="2564">
        <v>58</v>
      </c>
      <c r="N51" s="2565">
        <f t="shared" si="6"/>
        <v>2.9939347012517745E-2</v>
      </c>
      <c r="O51" s="2558">
        <v>78</v>
      </c>
      <c r="P51" s="2565">
        <f t="shared" si="7"/>
        <v>4.0688363649641894E-2</v>
      </c>
      <c r="Q51" s="2558">
        <v>129</v>
      </c>
      <c r="R51" s="2565">
        <f t="shared" si="8"/>
        <v>6.8522256453840427E-2</v>
      </c>
      <c r="S51" s="2558">
        <v>84</v>
      </c>
      <c r="T51" s="2565">
        <f t="shared" si="9"/>
        <v>4.4991965720407069E-2</v>
      </c>
      <c r="U51" s="2560">
        <v>76</v>
      </c>
      <c r="V51" s="2561">
        <f t="shared" si="10"/>
        <v>4.1181028550373609E-2</v>
      </c>
    </row>
    <row r="52" spans="1:22" ht="16.5" customHeight="1">
      <c r="A52" s="4080" t="s">
        <v>3833</v>
      </c>
      <c r="B52" s="4080"/>
      <c r="C52" s="2564">
        <v>45</v>
      </c>
      <c r="D52" s="2565">
        <f t="shared" si="1"/>
        <v>1.5995507039800377E-2</v>
      </c>
      <c r="E52" s="2564">
        <v>72</v>
      </c>
      <c r="F52" s="2565">
        <f t="shared" si="2"/>
        <v>2.7381006708346641E-2</v>
      </c>
      <c r="G52" s="2564">
        <v>54</v>
      </c>
      <c r="H52" s="2565">
        <f t="shared" si="3"/>
        <v>2.3116042533518261E-2</v>
      </c>
      <c r="I52" s="2564">
        <v>42</v>
      </c>
      <c r="J52" s="2565">
        <f t="shared" si="11"/>
        <v>2.0148620059390457E-2</v>
      </c>
      <c r="K52" s="2564">
        <v>47</v>
      </c>
      <c r="L52" s="2565">
        <f t="shared" si="5"/>
        <v>2.2418743977943769E-2</v>
      </c>
      <c r="M52" s="2564">
        <v>89</v>
      </c>
      <c r="N52" s="2565">
        <f t="shared" si="6"/>
        <v>4.594141179507033E-2</v>
      </c>
      <c r="O52" s="2558">
        <v>211</v>
      </c>
      <c r="P52" s="2565">
        <f t="shared" si="7"/>
        <v>0.11006724012915949</v>
      </c>
      <c r="Q52" s="2558">
        <v>78</v>
      </c>
      <c r="R52" s="2565">
        <f t="shared" si="8"/>
        <v>4.143206204185701E-2</v>
      </c>
      <c r="S52" s="2558">
        <v>91</v>
      </c>
      <c r="T52" s="2565">
        <f t="shared" si="9"/>
        <v>4.874129619710766E-2</v>
      </c>
      <c r="U52" s="2560">
        <v>63</v>
      </c>
      <c r="V52" s="2561">
        <f t="shared" si="10"/>
        <v>3.4136905245704438E-2</v>
      </c>
    </row>
    <row r="53" spans="1:22" ht="16.5" customHeight="1">
      <c r="A53" s="4080" t="s">
        <v>3834</v>
      </c>
      <c r="B53" s="4080"/>
      <c r="C53" s="2564">
        <v>19</v>
      </c>
      <c r="D53" s="2565">
        <f t="shared" si="1"/>
        <v>6.7536585279157138E-3</v>
      </c>
      <c r="E53" s="2564">
        <v>1</v>
      </c>
      <c r="F53" s="2565">
        <f t="shared" si="2"/>
        <v>3.8029175983814785E-4</v>
      </c>
      <c r="G53" s="2564">
        <v>2</v>
      </c>
      <c r="H53" s="2565">
        <f t="shared" si="3"/>
        <v>8.5614972346363932E-4</v>
      </c>
      <c r="I53" s="2564">
        <v>3</v>
      </c>
      <c r="J53" s="2565">
        <f t="shared" si="11"/>
        <v>1.4391871470993184E-3</v>
      </c>
      <c r="K53" s="2564">
        <v>3</v>
      </c>
      <c r="L53" s="2565">
        <f t="shared" si="5"/>
        <v>1.4309836581666237E-3</v>
      </c>
      <c r="M53" s="2564" t="s">
        <v>3249</v>
      </c>
      <c r="N53" s="2565" t="s">
        <v>1</v>
      </c>
      <c r="O53" s="2558">
        <v>32</v>
      </c>
      <c r="P53" s="2565">
        <f t="shared" si="7"/>
        <v>1.6692662010109494E-2</v>
      </c>
      <c r="Q53" s="2558">
        <v>76</v>
      </c>
      <c r="R53" s="2565">
        <f t="shared" si="8"/>
        <v>4.0369701476681188E-2</v>
      </c>
      <c r="S53" s="2558">
        <v>91</v>
      </c>
      <c r="T53" s="2565">
        <f t="shared" si="9"/>
        <v>4.874129619710766E-2</v>
      </c>
      <c r="U53" s="2560">
        <v>36</v>
      </c>
      <c r="V53" s="2561">
        <f t="shared" si="10"/>
        <v>1.9506802997545394E-2</v>
      </c>
    </row>
    <row r="54" spans="1:22" ht="16.5" customHeight="1">
      <c r="A54" s="4080" t="s">
        <v>3835</v>
      </c>
      <c r="B54" s="4080"/>
      <c r="C54" s="2564">
        <v>20</v>
      </c>
      <c r="D54" s="2565">
        <f t="shared" si="1"/>
        <v>7.1091142399112781E-3</v>
      </c>
      <c r="E54" s="2564">
        <v>12</v>
      </c>
      <c r="F54" s="2565">
        <f t="shared" si="2"/>
        <v>4.5635011180577738E-3</v>
      </c>
      <c r="G54" s="2564">
        <v>9</v>
      </c>
      <c r="H54" s="2565">
        <f t="shared" si="3"/>
        <v>3.8526737555863774E-3</v>
      </c>
      <c r="I54" s="2564">
        <v>19</v>
      </c>
      <c r="J54" s="2565">
        <f t="shared" si="11"/>
        <v>9.1148519316290155E-3</v>
      </c>
      <c r="K54" s="2564">
        <v>20</v>
      </c>
      <c r="L54" s="2565">
        <f t="shared" si="5"/>
        <v>9.5398910544441592E-3</v>
      </c>
      <c r="M54" s="2564">
        <v>30</v>
      </c>
      <c r="N54" s="2565">
        <f t="shared" ref="N54:N69" si="12">M54/M$4*100</f>
        <v>1.548586914440573E-2</v>
      </c>
      <c r="O54" s="2558">
        <v>13</v>
      </c>
      <c r="P54" s="2565">
        <f t="shared" si="7"/>
        <v>6.7813939416069818E-3</v>
      </c>
      <c r="Q54" s="2558">
        <v>21</v>
      </c>
      <c r="R54" s="2565">
        <f t="shared" si="8"/>
        <v>1.1154785934346116E-2</v>
      </c>
      <c r="S54" s="2558">
        <v>28</v>
      </c>
      <c r="T54" s="2565">
        <f t="shared" si="9"/>
        <v>1.4997321906802356E-2</v>
      </c>
      <c r="U54" s="2560">
        <v>35</v>
      </c>
      <c r="V54" s="2561">
        <f t="shared" si="10"/>
        <v>1.8964947358724688E-2</v>
      </c>
    </row>
    <row r="55" spans="1:22" ht="16.5" customHeight="1">
      <c r="A55" s="4080" t="s">
        <v>3836</v>
      </c>
      <c r="B55" s="4080"/>
      <c r="C55" s="2564">
        <v>41</v>
      </c>
      <c r="D55" s="2565">
        <f t="shared" si="1"/>
        <v>1.457368419181812E-2</v>
      </c>
      <c r="E55" s="2564">
        <v>23</v>
      </c>
      <c r="F55" s="2565">
        <f t="shared" si="2"/>
        <v>8.746710476277399E-3</v>
      </c>
      <c r="G55" s="2564">
        <v>37</v>
      </c>
      <c r="H55" s="2565">
        <f t="shared" si="3"/>
        <v>1.5838769884077328E-2</v>
      </c>
      <c r="I55" s="2564">
        <v>44</v>
      </c>
      <c r="J55" s="2565">
        <f t="shared" si="11"/>
        <v>2.1108078157456668E-2</v>
      </c>
      <c r="K55" s="2564">
        <v>25</v>
      </c>
      <c r="L55" s="2565">
        <f t="shared" si="5"/>
        <v>1.1924863818055197E-2</v>
      </c>
      <c r="M55" s="2564">
        <v>19</v>
      </c>
      <c r="N55" s="2565">
        <f t="shared" si="12"/>
        <v>9.8077171247902967E-3</v>
      </c>
      <c r="O55" s="2558">
        <v>25</v>
      </c>
      <c r="P55" s="2565">
        <f t="shared" si="7"/>
        <v>1.3041142195398042E-2</v>
      </c>
      <c r="Q55" s="2558">
        <v>29</v>
      </c>
      <c r="R55" s="2565">
        <f t="shared" si="8"/>
        <v>1.5404228195049399E-2</v>
      </c>
      <c r="S55" s="2558">
        <v>17</v>
      </c>
      <c r="T55" s="2565">
        <f t="shared" si="9"/>
        <v>9.1055168719871449E-3</v>
      </c>
      <c r="U55" s="2560">
        <v>31</v>
      </c>
      <c r="V55" s="2561">
        <f t="shared" si="10"/>
        <v>1.6797524803441866E-2</v>
      </c>
    </row>
    <row r="56" spans="1:22" ht="16.5" customHeight="1">
      <c r="A56" s="4080" t="s">
        <v>3837</v>
      </c>
      <c r="B56" s="4080"/>
      <c r="C56" s="2564">
        <v>19</v>
      </c>
      <c r="D56" s="2565">
        <f t="shared" si="1"/>
        <v>6.7536585279157138E-3</v>
      </c>
      <c r="E56" s="2564">
        <v>21</v>
      </c>
      <c r="F56" s="2565">
        <f t="shared" si="2"/>
        <v>7.9861269566011053E-3</v>
      </c>
      <c r="G56" s="2564">
        <v>19</v>
      </c>
      <c r="H56" s="2565">
        <f t="shared" si="3"/>
        <v>8.1334223729045731E-3</v>
      </c>
      <c r="I56" s="2564">
        <v>28</v>
      </c>
      <c r="J56" s="2565">
        <f t="shared" si="11"/>
        <v>1.3432413372926971E-2</v>
      </c>
      <c r="K56" s="2564">
        <v>30</v>
      </c>
      <c r="L56" s="2565">
        <f t="shared" si="5"/>
        <v>1.4309836581666237E-2</v>
      </c>
      <c r="M56" s="2564">
        <v>80</v>
      </c>
      <c r="N56" s="2565">
        <f t="shared" si="12"/>
        <v>4.1295651051748608E-2</v>
      </c>
      <c r="O56" s="2558">
        <v>21</v>
      </c>
      <c r="P56" s="2565">
        <f t="shared" si="7"/>
        <v>1.0954559444134355E-2</v>
      </c>
      <c r="Q56" s="2558">
        <v>12</v>
      </c>
      <c r="R56" s="2565">
        <f t="shared" si="8"/>
        <v>6.3741633910549241E-3</v>
      </c>
      <c r="S56" s="2558">
        <v>15</v>
      </c>
      <c r="T56" s="2565">
        <f t="shared" si="9"/>
        <v>8.0342795929298338E-3</v>
      </c>
      <c r="U56" s="2560">
        <v>28</v>
      </c>
      <c r="V56" s="2561">
        <f t="shared" si="10"/>
        <v>1.517195788697975E-2</v>
      </c>
    </row>
    <row r="57" spans="1:22" ht="16.5" customHeight="1">
      <c r="A57" s="4080" t="s">
        <v>3838</v>
      </c>
      <c r="B57" s="4080"/>
      <c r="C57" s="2564">
        <v>18</v>
      </c>
      <c r="D57" s="2565">
        <f t="shared" si="1"/>
        <v>6.3982028159201504E-3</v>
      </c>
      <c r="E57" s="2564">
        <v>18</v>
      </c>
      <c r="F57" s="2565">
        <f t="shared" si="2"/>
        <v>6.8452516770866603E-3</v>
      </c>
      <c r="G57" s="2564">
        <v>20</v>
      </c>
      <c r="H57" s="2565">
        <f t="shared" si="3"/>
        <v>8.5614972346363932E-3</v>
      </c>
      <c r="I57" s="2564">
        <v>9</v>
      </c>
      <c r="J57" s="2565">
        <f t="shared" si="11"/>
        <v>4.3175614412979549E-3</v>
      </c>
      <c r="K57" s="2564">
        <v>11</v>
      </c>
      <c r="L57" s="2565">
        <f t="shared" si="5"/>
        <v>5.2469400799442876E-3</v>
      </c>
      <c r="M57" s="2564">
        <v>8</v>
      </c>
      <c r="N57" s="2565">
        <f t="shared" si="12"/>
        <v>4.1295651051748618E-3</v>
      </c>
      <c r="O57" s="2558">
        <v>3</v>
      </c>
      <c r="P57" s="2565">
        <f t="shared" si="7"/>
        <v>1.564937063447765E-3</v>
      </c>
      <c r="Q57" s="2558">
        <v>20</v>
      </c>
      <c r="R57" s="2565">
        <f t="shared" si="8"/>
        <v>1.0623605651758208E-2</v>
      </c>
      <c r="S57" s="2558">
        <v>19</v>
      </c>
      <c r="T57" s="2565">
        <f t="shared" si="9"/>
        <v>1.0176754151044456E-2</v>
      </c>
      <c r="U57" s="2560">
        <v>28</v>
      </c>
      <c r="V57" s="2561">
        <f t="shared" si="10"/>
        <v>1.517195788697975E-2</v>
      </c>
    </row>
    <row r="58" spans="1:22" ht="16.5" customHeight="1">
      <c r="A58" s="4080" t="s">
        <v>3839</v>
      </c>
      <c r="B58" s="4080"/>
      <c r="C58" s="2564">
        <v>38</v>
      </c>
      <c r="D58" s="2565">
        <f t="shared" si="1"/>
        <v>1.3507317055831428E-2</v>
      </c>
      <c r="E58" s="2564">
        <v>55</v>
      </c>
      <c r="F58" s="2565">
        <f t="shared" si="2"/>
        <v>2.0916046791098129E-2</v>
      </c>
      <c r="G58" s="2564">
        <v>47</v>
      </c>
      <c r="H58" s="2565">
        <f t="shared" si="3"/>
        <v>2.0119518501395522E-2</v>
      </c>
      <c r="I58" s="2564">
        <v>52</v>
      </c>
      <c r="J58" s="2565">
        <f t="shared" si="11"/>
        <v>2.494591054972152E-2</v>
      </c>
      <c r="K58" s="2564">
        <v>71</v>
      </c>
      <c r="L58" s="2565">
        <f t="shared" si="5"/>
        <v>3.3866613243276764E-2</v>
      </c>
      <c r="M58" s="2564">
        <v>27</v>
      </c>
      <c r="N58" s="2565">
        <f t="shared" si="12"/>
        <v>1.3937282229965157E-2</v>
      </c>
      <c r="O58" s="2558">
        <v>51</v>
      </c>
      <c r="P58" s="2565">
        <f t="shared" si="7"/>
        <v>2.6603930078612007E-2</v>
      </c>
      <c r="Q58" s="2558">
        <v>65</v>
      </c>
      <c r="R58" s="2565">
        <f t="shared" si="8"/>
        <v>3.4526718368214172E-2</v>
      </c>
      <c r="S58" s="2558">
        <v>34</v>
      </c>
      <c r="T58" s="2565">
        <f t="shared" si="9"/>
        <v>1.821103374397429E-2</v>
      </c>
      <c r="U58" s="2560">
        <v>25</v>
      </c>
      <c r="V58" s="2561">
        <f t="shared" si="10"/>
        <v>1.3546390970517633E-2</v>
      </c>
    </row>
    <row r="59" spans="1:22" ht="16.5" customHeight="1">
      <c r="A59" s="4080" t="s">
        <v>3840</v>
      </c>
      <c r="B59" s="4080"/>
      <c r="C59" s="2564">
        <v>7</v>
      </c>
      <c r="D59" s="2565">
        <f t="shared" si="1"/>
        <v>2.4881899839689471E-3</v>
      </c>
      <c r="E59" s="2564">
        <v>7</v>
      </c>
      <c r="F59" s="2565">
        <f t="shared" si="2"/>
        <v>2.6620423188670347E-3</v>
      </c>
      <c r="G59" s="2564">
        <v>7</v>
      </c>
      <c r="H59" s="2565">
        <f t="shared" si="3"/>
        <v>2.9965240321227376E-3</v>
      </c>
      <c r="I59" s="2564">
        <v>13</v>
      </c>
      <c r="J59" s="2565">
        <f t="shared" si="11"/>
        <v>6.23647763743038E-3</v>
      </c>
      <c r="K59" s="2564">
        <v>8</v>
      </c>
      <c r="L59" s="2565">
        <f t="shared" si="5"/>
        <v>3.8159564217776633E-3</v>
      </c>
      <c r="M59" s="2564">
        <v>29</v>
      </c>
      <c r="N59" s="2565">
        <f t="shared" si="12"/>
        <v>1.4969673506258873E-2</v>
      </c>
      <c r="O59" s="2558">
        <v>15</v>
      </c>
      <c r="P59" s="2565">
        <f t="shared" si="7"/>
        <v>7.8246853172388251E-3</v>
      </c>
      <c r="Q59" s="2558">
        <v>26</v>
      </c>
      <c r="R59" s="2565">
        <f t="shared" si="8"/>
        <v>1.3810687347285669E-2</v>
      </c>
      <c r="S59" s="2558">
        <v>27</v>
      </c>
      <c r="T59" s="2565">
        <f t="shared" si="9"/>
        <v>1.4461703267273701E-2</v>
      </c>
      <c r="U59" s="2560">
        <v>22</v>
      </c>
      <c r="V59" s="2561">
        <f t="shared" si="10"/>
        <v>1.1920824054055519E-2</v>
      </c>
    </row>
    <row r="60" spans="1:22" ht="16.5" customHeight="1">
      <c r="A60" s="4080" t="s">
        <v>2703</v>
      </c>
      <c r="B60" s="4080"/>
      <c r="C60" s="2564">
        <v>60</v>
      </c>
      <c r="D60" s="2565">
        <f t="shared" si="1"/>
        <v>2.1327342719733834E-2</v>
      </c>
      <c r="E60" s="2564">
        <v>70</v>
      </c>
      <c r="F60" s="2565">
        <f t="shared" si="2"/>
        <v>2.6620423188670351E-2</v>
      </c>
      <c r="G60" s="2564">
        <v>36</v>
      </c>
      <c r="H60" s="2565">
        <f t="shared" si="3"/>
        <v>1.5410695022345509E-2</v>
      </c>
      <c r="I60" s="2564">
        <v>24</v>
      </c>
      <c r="J60" s="2565">
        <f t="shared" si="11"/>
        <v>1.1513497176794547E-2</v>
      </c>
      <c r="K60" s="2564">
        <v>25</v>
      </c>
      <c r="L60" s="2565">
        <f t="shared" si="5"/>
        <v>1.1924863818055197E-2</v>
      </c>
      <c r="M60" s="2564">
        <v>12</v>
      </c>
      <c r="N60" s="2565">
        <f t="shared" si="12"/>
        <v>6.1943476577622919E-3</v>
      </c>
      <c r="O60" s="2558">
        <v>51</v>
      </c>
      <c r="P60" s="2565">
        <f t="shared" si="7"/>
        <v>2.6603930078612007E-2</v>
      </c>
      <c r="Q60" s="2558">
        <v>144</v>
      </c>
      <c r="R60" s="2565">
        <f t="shared" si="8"/>
        <v>7.6489960692659092E-2</v>
      </c>
      <c r="S60" s="2558">
        <v>49</v>
      </c>
      <c r="T60" s="2565">
        <f t="shared" si="9"/>
        <v>2.6245313336904122E-2</v>
      </c>
      <c r="U60" s="2560">
        <v>17</v>
      </c>
      <c r="V60" s="2561">
        <f t="shared" si="10"/>
        <v>9.2115458599519914E-3</v>
      </c>
    </row>
    <row r="61" spans="1:22" ht="16.5" customHeight="1">
      <c r="A61" s="4080" t="s">
        <v>3841</v>
      </c>
      <c r="B61" s="4080"/>
      <c r="C61" s="2564">
        <v>68</v>
      </c>
      <c r="D61" s="2565">
        <f t="shared" si="1"/>
        <v>2.4170988415698348E-2</v>
      </c>
      <c r="E61" s="2564">
        <v>77</v>
      </c>
      <c r="F61" s="2565">
        <f t="shared" si="2"/>
        <v>2.9282465507537384E-2</v>
      </c>
      <c r="G61" s="2564">
        <v>33</v>
      </c>
      <c r="H61" s="2565">
        <f t="shared" si="3"/>
        <v>1.4126470437150049E-2</v>
      </c>
      <c r="I61" s="2564">
        <v>23</v>
      </c>
      <c r="J61" s="2565">
        <f t="shared" si="11"/>
        <v>1.103376812776144E-2</v>
      </c>
      <c r="K61" s="2564">
        <v>40</v>
      </c>
      <c r="L61" s="2565">
        <f t="shared" si="5"/>
        <v>1.9079782108888318E-2</v>
      </c>
      <c r="M61" s="2564">
        <v>41</v>
      </c>
      <c r="N61" s="2565">
        <f t="shared" si="12"/>
        <v>2.1164021164021166E-2</v>
      </c>
      <c r="O61" s="2558">
        <v>66</v>
      </c>
      <c r="P61" s="2565">
        <f t="shared" si="7"/>
        <v>3.4428615395850827E-2</v>
      </c>
      <c r="Q61" s="2558">
        <v>15</v>
      </c>
      <c r="R61" s="2565">
        <f t="shared" si="8"/>
        <v>7.9677042388186549E-3</v>
      </c>
      <c r="S61" s="2558">
        <v>22</v>
      </c>
      <c r="T61" s="2565">
        <f t="shared" si="9"/>
        <v>1.1783610069630423E-2</v>
      </c>
      <c r="U61" s="2560">
        <v>10</v>
      </c>
      <c r="V61" s="2561">
        <f t="shared" si="10"/>
        <v>5.4185563882070539E-3</v>
      </c>
    </row>
    <row r="62" spans="1:22" ht="16.5" customHeight="1">
      <c r="A62" s="4080" t="s">
        <v>3842</v>
      </c>
      <c r="B62" s="4080"/>
      <c r="C62" s="2564">
        <v>47</v>
      </c>
      <c r="D62" s="2565">
        <f t="shared" si="1"/>
        <v>1.6706418463791502E-2</v>
      </c>
      <c r="E62" s="2564">
        <v>18</v>
      </c>
      <c r="F62" s="2565">
        <f t="shared" si="2"/>
        <v>6.8452516770866603E-3</v>
      </c>
      <c r="G62" s="2564">
        <v>19</v>
      </c>
      <c r="H62" s="2565">
        <f t="shared" si="3"/>
        <v>8.1334223729045731E-3</v>
      </c>
      <c r="I62" s="2564">
        <v>17</v>
      </c>
      <c r="J62" s="2565">
        <f t="shared" si="11"/>
        <v>8.1553938335628042E-3</v>
      </c>
      <c r="K62" s="2564">
        <v>25</v>
      </c>
      <c r="L62" s="2565">
        <f t="shared" si="5"/>
        <v>1.1924863818055197E-2</v>
      </c>
      <c r="M62" s="2564">
        <v>33</v>
      </c>
      <c r="N62" s="2565">
        <f t="shared" si="12"/>
        <v>1.7034456058846303E-2</v>
      </c>
      <c r="O62" s="2558">
        <v>19</v>
      </c>
      <c r="P62" s="2565">
        <f t="shared" si="7"/>
        <v>9.9112680685025118E-3</v>
      </c>
      <c r="Q62" s="2558">
        <v>12</v>
      </c>
      <c r="R62" s="2565">
        <f t="shared" si="8"/>
        <v>6.3741633910549241E-3</v>
      </c>
      <c r="S62" s="2558">
        <v>12</v>
      </c>
      <c r="T62" s="2565">
        <f t="shared" si="9"/>
        <v>6.427423674343867E-3</v>
      </c>
      <c r="U62" s="2560">
        <v>8</v>
      </c>
      <c r="V62" s="2561">
        <f t="shared" si="10"/>
        <v>4.3348451105656429E-3</v>
      </c>
    </row>
    <row r="63" spans="1:22" ht="16.5" customHeight="1">
      <c r="A63" s="4080" t="s">
        <v>3843</v>
      </c>
      <c r="B63" s="4080"/>
      <c r="C63" s="2564">
        <v>73</v>
      </c>
      <c r="D63" s="2565">
        <f t="shared" si="1"/>
        <v>2.5948266975676166E-2</v>
      </c>
      <c r="E63" s="2564">
        <v>33</v>
      </c>
      <c r="F63" s="2565">
        <f t="shared" si="2"/>
        <v>1.2549628074658876E-2</v>
      </c>
      <c r="G63" s="2564">
        <v>66</v>
      </c>
      <c r="H63" s="2565">
        <f t="shared" si="3"/>
        <v>2.8252940874300098E-2</v>
      </c>
      <c r="I63" s="2564">
        <v>37</v>
      </c>
      <c r="J63" s="2565">
        <f t="shared" si="11"/>
        <v>1.7749974814224925E-2</v>
      </c>
      <c r="K63" s="2564">
        <v>30</v>
      </c>
      <c r="L63" s="2565">
        <f t="shared" si="5"/>
        <v>1.4309836581666237E-2</v>
      </c>
      <c r="M63" s="2564">
        <v>18</v>
      </c>
      <c r="N63" s="2565">
        <f t="shared" si="12"/>
        <v>9.2915214866434379E-3</v>
      </c>
      <c r="O63" s="2558">
        <v>20</v>
      </c>
      <c r="P63" s="2565">
        <f t="shared" si="7"/>
        <v>1.0432913756318433E-2</v>
      </c>
      <c r="Q63" s="2558">
        <v>14</v>
      </c>
      <c r="R63" s="2565">
        <f t="shared" si="8"/>
        <v>7.4365239562307443E-3</v>
      </c>
      <c r="S63" s="2558">
        <v>7</v>
      </c>
      <c r="T63" s="2565">
        <f t="shared" si="9"/>
        <v>3.7493304767005891E-3</v>
      </c>
      <c r="U63" s="2560">
        <v>8</v>
      </c>
      <c r="V63" s="2561">
        <f t="shared" si="10"/>
        <v>4.3348451105656429E-3</v>
      </c>
    </row>
    <row r="64" spans="1:22" ht="16.5" customHeight="1">
      <c r="A64" s="4080" t="s">
        <v>3844</v>
      </c>
      <c r="B64" s="4080"/>
      <c r="C64" s="2564" t="s">
        <v>3249</v>
      </c>
      <c r="D64" s="2565" t="s">
        <v>1</v>
      </c>
      <c r="E64" s="2564" t="s">
        <v>3249</v>
      </c>
      <c r="F64" s="2565" t="s">
        <v>1</v>
      </c>
      <c r="G64" s="2564" t="s">
        <v>3845</v>
      </c>
      <c r="H64" s="2565" t="s">
        <v>1</v>
      </c>
      <c r="I64" s="2564">
        <v>4</v>
      </c>
      <c r="J64" s="2565">
        <f t="shared" si="11"/>
        <v>1.9189161961324244E-3</v>
      </c>
      <c r="K64" s="2564">
        <v>12</v>
      </c>
      <c r="L64" s="2565">
        <f t="shared" si="5"/>
        <v>5.7239346326664947E-3</v>
      </c>
      <c r="M64" s="2564">
        <v>11</v>
      </c>
      <c r="N64" s="2565">
        <f t="shared" si="12"/>
        <v>5.6781520196154348E-3</v>
      </c>
      <c r="O64" s="2558">
        <v>9</v>
      </c>
      <c r="P64" s="2565">
        <f t="shared" si="7"/>
        <v>4.6948111903432951E-3</v>
      </c>
      <c r="Q64" s="2558">
        <v>4</v>
      </c>
      <c r="R64" s="2565">
        <f t="shared" si="8"/>
        <v>2.1247211303516414E-3</v>
      </c>
      <c r="S64" s="2558">
        <v>6</v>
      </c>
      <c r="T64" s="2565">
        <f t="shared" si="9"/>
        <v>3.2137118371719335E-3</v>
      </c>
      <c r="U64" s="2560">
        <v>8</v>
      </c>
      <c r="V64" s="2561">
        <f t="shared" si="10"/>
        <v>4.3348451105656429E-3</v>
      </c>
    </row>
    <row r="65" spans="1:22" ht="16.5" customHeight="1">
      <c r="A65" s="4080" t="s">
        <v>3846</v>
      </c>
      <c r="B65" s="4080"/>
      <c r="C65" s="2564">
        <v>12</v>
      </c>
      <c r="D65" s="2565">
        <f>C65/C$4*100</f>
        <v>4.2654685439467675E-3</v>
      </c>
      <c r="E65" s="2564">
        <v>4</v>
      </c>
      <c r="F65" s="2565">
        <f>E65/E$4*100</f>
        <v>1.5211670393525914E-3</v>
      </c>
      <c r="G65" s="2564">
        <v>1</v>
      </c>
      <c r="H65" s="2565">
        <f>G65/G$4*100</f>
        <v>4.2807486173181966E-4</v>
      </c>
      <c r="I65" s="2564">
        <v>7</v>
      </c>
      <c r="J65" s="2565">
        <f t="shared" si="11"/>
        <v>3.3581033432317428E-3</v>
      </c>
      <c r="K65" s="2564">
        <v>4</v>
      </c>
      <c r="L65" s="2565">
        <f t="shared" si="5"/>
        <v>1.9079782108888316E-3</v>
      </c>
      <c r="M65" s="2564">
        <v>5</v>
      </c>
      <c r="N65" s="2565">
        <f t="shared" si="12"/>
        <v>2.580978190734288E-3</v>
      </c>
      <c r="O65" s="2558">
        <v>6</v>
      </c>
      <c r="P65" s="2565">
        <f t="shared" si="7"/>
        <v>3.12987412689553E-3</v>
      </c>
      <c r="Q65" s="2558">
        <v>1</v>
      </c>
      <c r="R65" s="2565">
        <f t="shared" si="8"/>
        <v>5.3118028258791034E-4</v>
      </c>
      <c r="S65" s="2558">
        <v>6</v>
      </c>
      <c r="T65" s="2565">
        <f t="shared" si="9"/>
        <v>3.2137118371719335E-3</v>
      </c>
      <c r="U65" s="2560">
        <v>7</v>
      </c>
      <c r="V65" s="2561">
        <f t="shared" si="10"/>
        <v>3.7929894717449375E-3</v>
      </c>
    </row>
    <row r="66" spans="1:22" ht="16.5" customHeight="1">
      <c r="A66" s="4080" t="s">
        <v>3847</v>
      </c>
      <c r="B66" s="4080"/>
      <c r="C66" s="2564">
        <v>26</v>
      </c>
      <c r="D66" s="2565">
        <f>C66/C$4*100</f>
        <v>9.2418485118846618E-3</v>
      </c>
      <c r="E66" s="2564">
        <v>19</v>
      </c>
      <c r="F66" s="2565">
        <f>E66/E$4*100</f>
        <v>7.225543436924808E-3</v>
      </c>
      <c r="G66" s="2564">
        <v>5</v>
      </c>
      <c r="H66" s="2565">
        <f>G66/G$4*100</f>
        <v>2.1403743086590983E-3</v>
      </c>
      <c r="I66" s="2564">
        <v>22</v>
      </c>
      <c r="J66" s="2565">
        <f t="shared" si="11"/>
        <v>1.0554039078728334E-2</v>
      </c>
      <c r="K66" s="2564">
        <v>25</v>
      </c>
      <c r="L66" s="2565">
        <f t="shared" si="5"/>
        <v>1.1924863818055197E-2</v>
      </c>
      <c r="M66" s="2564">
        <v>9</v>
      </c>
      <c r="N66" s="2565">
        <f t="shared" si="12"/>
        <v>4.6457607433217189E-3</v>
      </c>
      <c r="O66" s="2558">
        <v>8</v>
      </c>
      <c r="P66" s="2565">
        <f t="shared" si="7"/>
        <v>4.1731655025273734E-3</v>
      </c>
      <c r="Q66" s="2558">
        <v>1</v>
      </c>
      <c r="R66" s="2565">
        <f t="shared" si="8"/>
        <v>5.3118028258791034E-4</v>
      </c>
      <c r="S66" s="2558">
        <v>7</v>
      </c>
      <c r="T66" s="2565">
        <f t="shared" si="9"/>
        <v>3.7493304767005891E-3</v>
      </c>
      <c r="U66" s="2560">
        <v>6</v>
      </c>
      <c r="V66" s="2561">
        <f t="shared" si="10"/>
        <v>3.251133832924232E-3</v>
      </c>
    </row>
    <row r="67" spans="1:22" ht="16.5" customHeight="1">
      <c r="A67" s="4080" t="s">
        <v>2723</v>
      </c>
      <c r="B67" s="4080"/>
      <c r="C67" s="2564">
        <v>82</v>
      </c>
      <c r="D67" s="2565">
        <f>C67/C$4*100</f>
        <v>2.9147368383636241E-2</v>
      </c>
      <c r="E67" s="2564">
        <v>109</v>
      </c>
      <c r="F67" s="2565">
        <f>E67/E$4*100</f>
        <v>4.1451801822358116E-2</v>
      </c>
      <c r="G67" s="2564">
        <v>75</v>
      </c>
      <c r="H67" s="2565">
        <f>G67/G$4*100</f>
        <v>3.2105614629886474E-2</v>
      </c>
      <c r="I67" s="2564">
        <v>89</v>
      </c>
      <c r="J67" s="2565">
        <f t="shared" si="11"/>
        <v>4.2695885363946438E-2</v>
      </c>
      <c r="K67" s="2564">
        <v>235</v>
      </c>
      <c r="L67" s="2565">
        <f t="shared" si="5"/>
        <v>0.11209371988971886</v>
      </c>
      <c r="M67" s="2564">
        <v>21</v>
      </c>
      <c r="N67" s="2565">
        <f t="shared" si="12"/>
        <v>1.0840108401084011E-2</v>
      </c>
      <c r="O67" s="2558">
        <v>23</v>
      </c>
      <c r="P67" s="2565">
        <f t="shared" si="7"/>
        <v>1.1997850819766199E-2</v>
      </c>
      <c r="Q67" s="2558">
        <v>8</v>
      </c>
      <c r="R67" s="2565">
        <f t="shared" si="8"/>
        <v>4.2494422607032827E-3</v>
      </c>
      <c r="S67" s="2558">
        <v>27</v>
      </c>
      <c r="T67" s="2565">
        <f t="shared" si="9"/>
        <v>1.4461703267273701E-2</v>
      </c>
      <c r="U67" s="2560">
        <v>6</v>
      </c>
      <c r="V67" s="2561">
        <f t="shared" si="10"/>
        <v>3.251133832924232E-3</v>
      </c>
    </row>
    <row r="68" spans="1:22" ht="16.5" customHeight="1">
      <c r="A68" s="4080" t="s">
        <v>3848</v>
      </c>
      <c r="B68" s="4080"/>
      <c r="C68" s="2564">
        <v>22</v>
      </c>
      <c r="D68" s="2565">
        <f>C68/C$4*100</f>
        <v>7.8200256639024048E-3</v>
      </c>
      <c r="E68" s="2564">
        <v>14</v>
      </c>
      <c r="F68" s="2565">
        <f>E68/E$4*100</f>
        <v>5.3240846377340693E-3</v>
      </c>
      <c r="G68" s="2564">
        <v>19</v>
      </c>
      <c r="H68" s="2565">
        <f>G68/G$4*100</f>
        <v>8.1334223729045731E-3</v>
      </c>
      <c r="I68" s="2564">
        <v>11</v>
      </c>
      <c r="J68" s="2565">
        <f t="shared" si="11"/>
        <v>5.277019539364167E-3</v>
      </c>
      <c r="K68" s="2564">
        <v>7</v>
      </c>
      <c r="L68" s="2565">
        <f t="shared" si="5"/>
        <v>3.3389618690554553E-3</v>
      </c>
      <c r="M68" s="2564">
        <v>8</v>
      </c>
      <c r="N68" s="2565">
        <f t="shared" si="12"/>
        <v>4.1295651051748618E-3</v>
      </c>
      <c r="O68" s="2558">
        <v>9</v>
      </c>
      <c r="P68" s="2565">
        <f t="shared" si="7"/>
        <v>4.6948111903432951E-3</v>
      </c>
      <c r="Q68" s="2558">
        <v>3</v>
      </c>
      <c r="R68" s="2565">
        <f t="shared" si="8"/>
        <v>1.593540847763731E-3</v>
      </c>
      <c r="S68" s="2558">
        <v>6</v>
      </c>
      <c r="T68" s="2565">
        <f t="shared" si="9"/>
        <v>3.2137118371719335E-3</v>
      </c>
      <c r="U68" s="2560">
        <v>6</v>
      </c>
      <c r="V68" s="2561">
        <f t="shared" si="10"/>
        <v>3.251133832924232E-3</v>
      </c>
    </row>
    <row r="69" spans="1:22" ht="16.5" customHeight="1">
      <c r="A69" s="4080" t="s">
        <v>3849</v>
      </c>
      <c r="B69" s="4080"/>
      <c r="C69" s="2564">
        <v>5</v>
      </c>
      <c r="D69" s="2565">
        <f>C69/C$4*100</f>
        <v>1.7772785599778195E-3</v>
      </c>
      <c r="E69" s="2564" t="s">
        <v>3850</v>
      </c>
      <c r="F69" s="2565" t="s">
        <v>1</v>
      </c>
      <c r="G69" s="2564">
        <v>1</v>
      </c>
      <c r="H69" s="2565">
        <f>G69/G$4*100</f>
        <v>4.2807486173181966E-4</v>
      </c>
      <c r="I69" s="2564" t="s">
        <v>1</v>
      </c>
      <c r="J69" s="2565" t="s">
        <v>1</v>
      </c>
      <c r="K69" s="2564">
        <v>13</v>
      </c>
      <c r="L69" s="2565">
        <f t="shared" ref="L69:L126" si="13">K69/K$4*100</f>
        <v>6.2009291853887026E-3</v>
      </c>
      <c r="M69" s="2564">
        <v>195</v>
      </c>
      <c r="N69" s="2565">
        <f t="shared" si="12"/>
        <v>0.10065814943863724</v>
      </c>
      <c r="O69" s="2558">
        <v>19</v>
      </c>
      <c r="P69" s="2565">
        <f t="shared" ref="P69:P70" si="14">O69/O$4*100</f>
        <v>9.9112680685025118E-3</v>
      </c>
      <c r="Q69" s="2558">
        <v>24</v>
      </c>
      <c r="R69" s="2565">
        <f t="shared" ref="R69:R78" si="15">Q69/Q$4*100</f>
        <v>1.2748326782109848E-2</v>
      </c>
      <c r="S69" s="2558">
        <v>13</v>
      </c>
      <c r="T69" s="2565">
        <f t="shared" ref="T69:T75" si="16">S69/S$4*100</f>
        <v>6.9630423138725226E-3</v>
      </c>
      <c r="U69" s="2560">
        <v>5</v>
      </c>
      <c r="V69" s="2561">
        <f t="shared" ref="V69:V107" si="17">U69/U$4*100</f>
        <v>2.7092781941035269E-3</v>
      </c>
    </row>
    <row r="70" spans="1:22" ht="16.5" customHeight="1">
      <c r="A70" s="4080" t="s">
        <v>3851</v>
      </c>
      <c r="B70" s="4080"/>
      <c r="C70" s="2564" t="s">
        <v>3852</v>
      </c>
      <c r="D70" s="2565" t="s">
        <v>1</v>
      </c>
      <c r="E70" s="2564" t="s">
        <v>3852</v>
      </c>
      <c r="F70" s="2565" t="s">
        <v>1</v>
      </c>
      <c r="G70" s="2564" t="s">
        <v>3852</v>
      </c>
      <c r="H70" s="2565" t="s">
        <v>1</v>
      </c>
      <c r="I70" s="2564" t="s">
        <v>1</v>
      </c>
      <c r="J70" s="2565" t="s">
        <v>1</v>
      </c>
      <c r="K70" s="2564">
        <v>4</v>
      </c>
      <c r="L70" s="2565">
        <f t="shared" si="13"/>
        <v>1.9079782108888316E-3</v>
      </c>
      <c r="M70" s="2564" t="s">
        <v>3242</v>
      </c>
      <c r="N70" s="2565" t="s">
        <v>1</v>
      </c>
      <c r="O70" s="2558">
        <v>1</v>
      </c>
      <c r="P70" s="2565">
        <f t="shared" si="14"/>
        <v>5.2164568781592167E-4</v>
      </c>
      <c r="Q70" s="2558">
        <v>6</v>
      </c>
      <c r="R70" s="2565">
        <f t="shared" si="15"/>
        <v>3.187081695527462E-3</v>
      </c>
      <c r="S70" s="2558">
        <v>7</v>
      </c>
      <c r="T70" s="2565">
        <f t="shared" si="16"/>
        <v>3.7493304767005891E-3</v>
      </c>
      <c r="U70" s="2560">
        <v>5</v>
      </c>
      <c r="V70" s="2561">
        <f t="shared" si="17"/>
        <v>2.7092781941035269E-3</v>
      </c>
    </row>
    <row r="71" spans="1:22" ht="16.5" customHeight="1">
      <c r="A71" s="4080" t="s">
        <v>3853</v>
      </c>
      <c r="B71" s="4080"/>
      <c r="C71" s="2564">
        <v>27</v>
      </c>
      <c r="D71" s="2565">
        <f>C71/C$4*100</f>
        <v>9.5973042238802261E-3</v>
      </c>
      <c r="E71" s="2564">
        <v>1</v>
      </c>
      <c r="F71" s="2565">
        <f>E71/E$4*100</f>
        <v>3.8029175983814785E-4</v>
      </c>
      <c r="G71" s="2564">
        <v>1</v>
      </c>
      <c r="H71" s="2565">
        <f>G71/G$4*100</f>
        <v>4.2807486173181966E-4</v>
      </c>
      <c r="I71" s="2564">
        <v>2</v>
      </c>
      <c r="J71" s="2565">
        <f t="shared" ref="J71:J78" si="18">I71/I$4*100</f>
        <v>9.5945809806621222E-4</v>
      </c>
      <c r="K71" s="2564">
        <v>1</v>
      </c>
      <c r="L71" s="2565">
        <f t="shared" si="13"/>
        <v>4.7699455272220791E-4</v>
      </c>
      <c r="M71" s="2564" t="s">
        <v>3854</v>
      </c>
      <c r="N71" s="2565" t="s">
        <v>1</v>
      </c>
      <c r="O71" s="2558" t="s">
        <v>3854</v>
      </c>
      <c r="P71" s="2565" t="s">
        <v>1</v>
      </c>
      <c r="Q71" s="2558">
        <v>5</v>
      </c>
      <c r="R71" s="2565">
        <f t="shared" si="15"/>
        <v>2.6559014129395519E-3</v>
      </c>
      <c r="S71" s="2558">
        <v>1</v>
      </c>
      <c r="T71" s="2565">
        <f t="shared" si="16"/>
        <v>5.3561863952865559E-4</v>
      </c>
      <c r="U71" s="2560">
        <v>5</v>
      </c>
      <c r="V71" s="2561">
        <f t="shared" si="17"/>
        <v>2.7092781941035269E-3</v>
      </c>
    </row>
    <row r="72" spans="1:22" ht="16.5" customHeight="1">
      <c r="A72" s="4080" t="s">
        <v>3855</v>
      </c>
      <c r="B72" s="4080"/>
      <c r="C72" s="2564">
        <v>22</v>
      </c>
      <c r="D72" s="2565">
        <f>C72/C$4*100</f>
        <v>7.8200256639024048E-3</v>
      </c>
      <c r="E72" s="2564">
        <v>2</v>
      </c>
      <c r="F72" s="2565">
        <f>E72/E$4*100</f>
        <v>7.6058351967629571E-4</v>
      </c>
      <c r="G72" s="2564">
        <v>3</v>
      </c>
      <c r="H72" s="2565">
        <f>G72/G$4*100</f>
        <v>1.284224585195459E-3</v>
      </c>
      <c r="I72" s="2564">
        <v>18</v>
      </c>
      <c r="J72" s="2565">
        <f t="shared" si="18"/>
        <v>8.6351228825959098E-3</v>
      </c>
      <c r="K72" s="2564">
        <v>43</v>
      </c>
      <c r="L72" s="2565">
        <f t="shared" si="13"/>
        <v>2.0510765767054941E-2</v>
      </c>
      <c r="M72" s="2564" t="s">
        <v>3852</v>
      </c>
      <c r="N72" s="2565" t="s">
        <v>1</v>
      </c>
      <c r="O72" s="2558">
        <v>1</v>
      </c>
      <c r="P72" s="2565">
        <f t="shared" ref="P72:P81" si="19">O72/O$4*100</f>
        <v>5.2164568781592167E-4</v>
      </c>
      <c r="Q72" s="2558">
        <v>1</v>
      </c>
      <c r="R72" s="2565">
        <f t="shared" si="15"/>
        <v>5.3118028258791034E-4</v>
      </c>
      <c r="S72" s="2558">
        <v>13</v>
      </c>
      <c r="T72" s="2565">
        <f t="shared" si="16"/>
        <v>6.9630423138725226E-3</v>
      </c>
      <c r="U72" s="2560">
        <v>5</v>
      </c>
      <c r="V72" s="2561">
        <f t="shared" si="17"/>
        <v>2.7092781941035269E-3</v>
      </c>
    </row>
    <row r="73" spans="1:22" ht="16.5" customHeight="1">
      <c r="A73" s="4080" t="s">
        <v>3856</v>
      </c>
      <c r="B73" s="4080"/>
      <c r="C73" s="2564">
        <v>9</v>
      </c>
      <c r="D73" s="2565">
        <f>C73/C$4*100</f>
        <v>3.1991014079600752E-3</v>
      </c>
      <c r="E73" s="2564">
        <v>23</v>
      </c>
      <c r="F73" s="2565">
        <f>E73/E$4*100</f>
        <v>8.746710476277399E-3</v>
      </c>
      <c r="G73" s="2564">
        <v>82</v>
      </c>
      <c r="H73" s="2565">
        <f>G73/G$4*100</f>
        <v>3.5102138662009216E-2</v>
      </c>
      <c r="I73" s="2564">
        <v>1</v>
      </c>
      <c r="J73" s="2565">
        <f t="shared" si="18"/>
        <v>4.7972904903310611E-4</v>
      </c>
      <c r="K73" s="2564">
        <v>2</v>
      </c>
      <c r="L73" s="2565">
        <f t="shared" si="13"/>
        <v>9.5398910544441582E-4</v>
      </c>
      <c r="M73" s="2564" t="s">
        <v>3852</v>
      </c>
      <c r="N73" s="2565" t="s">
        <v>1</v>
      </c>
      <c r="O73" s="2558">
        <v>1</v>
      </c>
      <c r="P73" s="2565">
        <f t="shared" si="19"/>
        <v>5.2164568781592167E-4</v>
      </c>
      <c r="Q73" s="2558">
        <v>1</v>
      </c>
      <c r="R73" s="2565">
        <f t="shared" si="15"/>
        <v>5.3118028258791034E-4</v>
      </c>
      <c r="S73" s="2558">
        <v>1</v>
      </c>
      <c r="T73" s="2565">
        <f t="shared" si="16"/>
        <v>5.3561863952865559E-4</v>
      </c>
      <c r="U73" s="2560">
        <v>5</v>
      </c>
      <c r="V73" s="2561">
        <f t="shared" si="17"/>
        <v>2.7092781941035269E-3</v>
      </c>
    </row>
    <row r="74" spans="1:22" ht="16.5" customHeight="1">
      <c r="A74" s="4080" t="s">
        <v>3857</v>
      </c>
      <c r="B74" s="4080"/>
      <c r="C74" s="2564">
        <v>8</v>
      </c>
      <c r="D74" s="2565">
        <f>C74/C$4*100</f>
        <v>2.8436456959645114E-3</v>
      </c>
      <c r="E74" s="2564">
        <v>13</v>
      </c>
      <c r="F74" s="2565">
        <f>E74/E$4*100</f>
        <v>4.9437928778959216E-3</v>
      </c>
      <c r="G74" s="2564">
        <v>11</v>
      </c>
      <c r="H74" s="2565">
        <f>G74/G$4*100</f>
        <v>4.7088234790500158E-3</v>
      </c>
      <c r="I74" s="2564">
        <v>18</v>
      </c>
      <c r="J74" s="2565">
        <f t="shared" si="18"/>
        <v>8.6351228825959098E-3</v>
      </c>
      <c r="K74" s="2564">
        <v>13</v>
      </c>
      <c r="L74" s="2565">
        <f t="shared" si="13"/>
        <v>6.2009291853887026E-3</v>
      </c>
      <c r="M74" s="2564">
        <v>22</v>
      </c>
      <c r="N74" s="2565">
        <f t="shared" ref="N74:N81" si="20">M74/M$4*100</f>
        <v>1.135630403923087E-2</v>
      </c>
      <c r="O74" s="2558">
        <v>5</v>
      </c>
      <c r="P74" s="2565">
        <f t="shared" si="19"/>
        <v>2.6082284390796084E-3</v>
      </c>
      <c r="Q74" s="2558">
        <v>43</v>
      </c>
      <c r="R74" s="2565">
        <f t="shared" si="15"/>
        <v>2.2840752151280144E-2</v>
      </c>
      <c r="S74" s="2558">
        <v>3</v>
      </c>
      <c r="T74" s="2565">
        <f t="shared" si="16"/>
        <v>1.6068559185859668E-3</v>
      </c>
      <c r="U74" s="2560">
        <v>4</v>
      </c>
      <c r="V74" s="2561">
        <f t="shared" si="17"/>
        <v>2.1674225552828215E-3</v>
      </c>
    </row>
    <row r="75" spans="1:22" ht="16.5" customHeight="1">
      <c r="A75" s="4080" t="s">
        <v>3858</v>
      </c>
      <c r="B75" s="4080"/>
      <c r="C75" s="2564">
        <v>3</v>
      </c>
      <c r="D75" s="2565">
        <f>C75/C$4*100</f>
        <v>1.0663671359866919E-3</v>
      </c>
      <c r="E75" s="2564">
        <v>2</v>
      </c>
      <c r="F75" s="2565">
        <f>E75/E$4*100</f>
        <v>7.6058351967629571E-4</v>
      </c>
      <c r="G75" s="2564">
        <v>3</v>
      </c>
      <c r="H75" s="2565">
        <f>G75/G$4*100</f>
        <v>1.284224585195459E-3</v>
      </c>
      <c r="I75" s="2564">
        <v>7</v>
      </c>
      <c r="J75" s="2565">
        <f t="shared" si="18"/>
        <v>3.3581033432317428E-3</v>
      </c>
      <c r="K75" s="2564">
        <v>1</v>
      </c>
      <c r="L75" s="2565">
        <f t="shared" si="13"/>
        <v>4.7699455272220791E-4</v>
      </c>
      <c r="M75" s="2564">
        <v>4</v>
      </c>
      <c r="N75" s="2565">
        <f t="shared" si="20"/>
        <v>2.0647825525874309E-3</v>
      </c>
      <c r="O75" s="2558">
        <v>3</v>
      </c>
      <c r="P75" s="2565">
        <f t="shared" si="19"/>
        <v>1.564937063447765E-3</v>
      </c>
      <c r="Q75" s="2558">
        <v>3</v>
      </c>
      <c r="R75" s="2565">
        <f t="shared" si="15"/>
        <v>1.593540847763731E-3</v>
      </c>
      <c r="S75" s="2558">
        <v>9</v>
      </c>
      <c r="T75" s="2565">
        <f t="shared" si="16"/>
        <v>4.8205677557579003E-3</v>
      </c>
      <c r="U75" s="2560">
        <v>4</v>
      </c>
      <c r="V75" s="2561">
        <f t="shared" si="17"/>
        <v>2.1674225552828215E-3</v>
      </c>
    </row>
    <row r="76" spans="1:22" ht="16.5" customHeight="1">
      <c r="A76" s="4080" t="s">
        <v>3859</v>
      </c>
      <c r="B76" s="4080"/>
      <c r="C76" s="2564" t="s">
        <v>3854</v>
      </c>
      <c r="D76" s="2565" t="s">
        <v>1</v>
      </c>
      <c r="E76" s="2564" t="s">
        <v>3854</v>
      </c>
      <c r="F76" s="2565" t="s">
        <v>1</v>
      </c>
      <c r="G76" s="2564" t="s">
        <v>3854</v>
      </c>
      <c r="H76" s="2565" t="s">
        <v>1</v>
      </c>
      <c r="I76" s="2564">
        <v>1</v>
      </c>
      <c r="J76" s="2565">
        <f t="shared" si="18"/>
        <v>4.7972904903310611E-4</v>
      </c>
      <c r="K76" s="2564">
        <v>1</v>
      </c>
      <c r="L76" s="2565">
        <f t="shared" si="13"/>
        <v>4.7699455272220791E-4</v>
      </c>
      <c r="M76" s="2564">
        <v>1</v>
      </c>
      <c r="N76" s="2565">
        <f t="shared" si="20"/>
        <v>5.1619563814685773E-4</v>
      </c>
      <c r="O76" s="2558">
        <v>1</v>
      </c>
      <c r="P76" s="2565">
        <f t="shared" si="19"/>
        <v>5.2164568781592167E-4</v>
      </c>
      <c r="Q76" s="2569">
        <f>3+1</f>
        <v>4</v>
      </c>
      <c r="R76" s="2565">
        <f t="shared" si="15"/>
        <v>2.1247211303516414E-3</v>
      </c>
      <c r="S76" s="2558" t="s">
        <v>3860</v>
      </c>
      <c r="T76" s="2565" t="s">
        <v>1</v>
      </c>
      <c r="U76" s="2560">
        <v>4</v>
      </c>
      <c r="V76" s="2561">
        <f t="shared" si="17"/>
        <v>2.1674225552828215E-3</v>
      </c>
    </row>
    <row r="77" spans="1:22" ht="16.5" customHeight="1">
      <c r="A77" s="4080" t="s">
        <v>3861</v>
      </c>
      <c r="B77" s="4080"/>
      <c r="C77" s="2564">
        <v>2</v>
      </c>
      <c r="D77" s="2565">
        <f>C77/C$4*100</f>
        <v>7.1091142399112785E-4</v>
      </c>
      <c r="E77" s="2564">
        <v>1</v>
      </c>
      <c r="F77" s="2565">
        <f>E77/E$4*100</f>
        <v>3.8029175983814785E-4</v>
      </c>
      <c r="G77" s="2564">
        <v>5</v>
      </c>
      <c r="H77" s="2565">
        <f t="shared" ref="H77:H82" si="21">G77/G$4*100</f>
        <v>2.1403743086590983E-3</v>
      </c>
      <c r="I77" s="2564">
        <v>5</v>
      </c>
      <c r="J77" s="2565">
        <f t="shared" si="18"/>
        <v>2.3986452451655303E-3</v>
      </c>
      <c r="K77" s="2564">
        <v>5</v>
      </c>
      <c r="L77" s="2565">
        <f t="shared" si="13"/>
        <v>2.3849727636110398E-3</v>
      </c>
      <c r="M77" s="2564">
        <v>6</v>
      </c>
      <c r="N77" s="2565">
        <f t="shared" si="20"/>
        <v>3.097173828881146E-3</v>
      </c>
      <c r="O77" s="2558">
        <v>4</v>
      </c>
      <c r="P77" s="2565">
        <f t="shared" si="19"/>
        <v>2.0865827512636867E-3</v>
      </c>
      <c r="Q77" s="2558">
        <v>9</v>
      </c>
      <c r="R77" s="2565">
        <f t="shared" si="15"/>
        <v>4.7806225432911933E-3</v>
      </c>
      <c r="S77" s="2558">
        <v>8</v>
      </c>
      <c r="T77" s="2565">
        <f>S77/S$4*100</f>
        <v>4.2849491162292447E-3</v>
      </c>
      <c r="U77" s="2560">
        <v>4</v>
      </c>
      <c r="V77" s="2561">
        <f t="shared" si="17"/>
        <v>2.1674225552828215E-3</v>
      </c>
    </row>
    <row r="78" spans="1:22" ht="16.5" customHeight="1">
      <c r="A78" s="4080" t="s">
        <v>3862</v>
      </c>
      <c r="B78" s="4080"/>
      <c r="C78" s="2564">
        <v>19</v>
      </c>
      <c r="D78" s="2565">
        <f>C78/C$4*100</f>
        <v>6.7536585279157138E-3</v>
      </c>
      <c r="E78" s="2564">
        <v>7</v>
      </c>
      <c r="F78" s="2565">
        <f>E78/E$4*100</f>
        <v>2.6620423188670347E-3</v>
      </c>
      <c r="G78" s="2564">
        <v>12</v>
      </c>
      <c r="H78" s="2565">
        <f t="shared" si="21"/>
        <v>5.1368983407818359E-3</v>
      </c>
      <c r="I78" s="2564">
        <v>8</v>
      </c>
      <c r="J78" s="2565">
        <f t="shared" si="18"/>
        <v>3.8378323922648489E-3</v>
      </c>
      <c r="K78" s="2564">
        <v>5</v>
      </c>
      <c r="L78" s="2565">
        <f t="shared" si="13"/>
        <v>2.3849727636110398E-3</v>
      </c>
      <c r="M78" s="2564">
        <v>4</v>
      </c>
      <c r="N78" s="2565">
        <f t="shared" si="20"/>
        <v>2.0647825525874309E-3</v>
      </c>
      <c r="O78" s="2558">
        <v>5</v>
      </c>
      <c r="P78" s="2565">
        <f t="shared" si="19"/>
        <v>2.6082284390796084E-3</v>
      </c>
      <c r="Q78" s="2558">
        <v>6</v>
      </c>
      <c r="R78" s="2565">
        <f t="shared" si="15"/>
        <v>3.187081695527462E-3</v>
      </c>
      <c r="S78" s="2558">
        <v>8</v>
      </c>
      <c r="T78" s="2565">
        <f>S78/S$4*100</f>
        <v>4.2849491162292447E-3</v>
      </c>
      <c r="U78" s="2560">
        <v>4</v>
      </c>
      <c r="V78" s="2561">
        <f t="shared" si="17"/>
        <v>2.1674225552828215E-3</v>
      </c>
    </row>
    <row r="79" spans="1:22" ht="16.5" customHeight="1">
      <c r="A79" s="4080" t="s">
        <v>3863</v>
      </c>
      <c r="B79" s="4080"/>
      <c r="C79" s="2564" t="s">
        <v>3860</v>
      </c>
      <c r="D79" s="2565" t="s">
        <v>1</v>
      </c>
      <c r="E79" s="2564">
        <v>1</v>
      </c>
      <c r="F79" s="2565">
        <f>E79/E$4*100</f>
        <v>3.8029175983814785E-4</v>
      </c>
      <c r="G79" s="2564">
        <v>3</v>
      </c>
      <c r="H79" s="2565">
        <f t="shared" si="21"/>
        <v>1.284224585195459E-3</v>
      </c>
      <c r="I79" s="2564" t="s">
        <v>1</v>
      </c>
      <c r="J79" s="2565" t="s">
        <v>1</v>
      </c>
      <c r="K79" s="2564" t="s">
        <v>1</v>
      </c>
      <c r="L79" s="2564" t="s">
        <v>1</v>
      </c>
      <c r="M79" s="2564">
        <v>2</v>
      </c>
      <c r="N79" s="2565">
        <f t="shared" si="20"/>
        <v>1.0323912762937155E-3</v>
      </c>
      <c r="O79" s="2558">
        <v>5</v>
      </c>
      <c r="P79" s="2565">
        <f t="shared" si="19"/>
        <v>2.6082284390796084E-3</v>
      </c>
      <c r="Q79" s="2558" t="s">
        <v>3860</v>
      </c>
      <c r="R79" s="2565" t="s">
        <v>1</v>
      </c>
      <c r="S79" s="2558">
        <v>1</v>
      </c>
      <c r="T79" s="2565">
        <f>S79/S$4*100</f>
        <v>5.3561863952865559E-4</v>
      </c>
      <c r="U79" s="2560">
        <v>4</v>
      </c>
      <c r="V79" s="2561">
        <f t="shared" si="17"/>
        <v>2.1674225552828215E-3</v>
      </c>
    </row>
    <row r="80" spans="1:22" ht="16.5" customHeight="1">
      <c r="A80" s="4080" t="s">
        <v>3864</v>
      </c>
      <c r="B80" s="4080"/>
      <c r="C80" s="2564">
        <v>2</v>
      </c>
      <c r="D80" s="2565">
        <f>C80/C$4*100</f>
        <v>7.1091142399112785E-4</v>
      </c>
      <c r="E80" s="2564" t="s">
        <v>3860</v>
      </c>
      <c r="F80" s="2565" t="s">
        <v>1</v>
      </c>
      <c r="G80" s="2564">
        <v>7</v>
      </c>
      <c r="H80" s="2565">
        <f t="shared" si="21"/>
        <v>2.9965240321227376E-3</v>
      </c>
      <c r="I80" s="2564">
        <v>111</v>
      </c>
      <c r="J80" s="2565">
        <f>I80/I$4*100</f>
        <v>5.3249924442674783E-2</v>
      </c>
      <c r="K80" s="2564">
        <v>184</v>
      </c>
      <c r="L80" s="2565">
        <f t="shared" si="13"/>
        <v>8.7766997700886251E-2</v>
      </c>
      <c r="M80" s="2564">
        <v>3</v>
      </c>
      <c r="N80" s="2565">
        <f t="shared" si="20"/>
        <v>1.548586914440573E-3</v>
      </c>
      <c r="O80" s="2558">
        <v>3</v>
      </c>
      <c r="P80" s="2565">
        <f t="shared" si="19"/>
        <v>1.564937063447765E-3</v>
      </c>
      <c r="Q80" s="2558">
        <v>13</v>
      </c>
      <c r="R80" s="2565">
        <f>Q80/Q$4*100</f>
        <v>6.9053436736428346E-3</v>
      </c>
      <c r="S80" s="2558">
        <v>1</v>
      </c>
      <c r="T80" s="2565">
        <f>S80/S$4*100</f>
        <v>5.3561863952865559E-4</v>
      </c>
      <c r="U80" s="2560">
        <v>3</v>
      </c>
      <c r="V80" s="2561">
        <f t="shared" si="17"/>
        <v>1.625566916462116E-3</v>
      </c>
    </row>
    <row r="81" spans="1:22" ht="16.5" customHeight="1">
      <c r="A81" s="4080" t="s">
        <v>3865</v>
      </c>
      <c r="B81" s="4080"/>
      <c r="C81" s="2564">
        <v>7</v>
      </c>
      <c r="D81" s="2565">
        <f>C81/C$4*100</f>
        <v>2.4881899839689471E-3</v>
      </c>
      <c r="E81" s="2564">
        <v>7</v>
      </c>
      <c r="F81" s="2565">
        <f>E81/E$4*100</f>
        <v>2.6620423188670347E-3</v>
      </c>
      <c r="G81" s="2564">
        <v>4</v>
      </c>
      <c r="H81" s="2565">
        <f t="shared" si="21"/>
        <v>1.7122994469272786E-3</v>
      </c>
      <c r="I81" s="2564">
        <v>14</v>
      </c>
      <c r="J81" s="2565">
        <f>I81/I$4*100</f>
        <v>6.7162066864634856E-3</v>
      </c>
      <c r="K81" s="2564">
        <v>6</v>
      </c>
      <c r="L81" s="2565">
        <f t="shared" si="13"/>
        <v>2.8619673163332473E-3</v>
      </c>
      <c r="M81" s="2564">
        <v>2</v>
      </c>
      <c r="N81" s="2565">
        <f t="shared" si="20"/>
        <v>1.0323912762937155E-3</v>
      </c>
      <c r="O81" s="2558">
        <v>7</v>
      </c>
      <c r="P81" s="2565">
        <f t="shared" si="19"/>
        <v>3.6515198147114517E-3</v>
      </c>
      <c r="Q81" s="2558">
        <v>4</v>
      </c>
      <c r="R81" s="2565">
        <f>Q81/Q$4*100</f>
        <v>2.1247211303516414E-3</v>
      </c>
      <c r="S81" s="2558">
        <v>3</v>
      </c>
      <c r="T81" s="2565">
        <f>S81/S$4*100</f>
        <v>1.6068559185859668E-3</v>
      </c>
      <c r="U81" s="2560">
        <v>3</v>
      </c>
      <c r="V81" s="2561">
        <f t="shared" si="17"/>
        <v>1.625566916462116E-3</v>
      </c>
    </row>
    <row r="82" spans="1:22" ht="16.5" customHeight="1">
      <c r="A82" s="4080" t="s">
        <v>3866</v>
      </c>
      <c r="B82" s="4080"/>
      <c r="C82" s="2564" t="s">
        <v>3860</v>
      </c>
      <c r="D82" s="2565" t="s">
        <v>1</v>
      </c>
      <c r="E82" s="2564" t="s">
        <v>3860</v>
      </c>
      <c r="F82" s="2565" t="s">
        <v>1</v>
      </c>
      <c r="G82" s="2564">
        <v>1</v>
      </c>
      <c r="H82" s="2565">
        <f t="shared" si="21"/>
        <v>4.2807486173181966E-4</v>
      </c>
      <c r="I82" s="2564" t="s">
        <v>1</v>
      </c>
      <c r="J82" s="2565" t="s">
        <v>1</v>
      </c>
      <c r="K82" s="2564">
        <v>1</v>
      </c>
      <c r="L82" s="2565">
        <f t="shared" si="13"/>
        <v>4.7699455272220791E-4</v>
      </c>
      <c r="M82" s="2564" t="s">
        <v>3860</v>
      </c>
      <c r="N82" s="2565" t="s">
        <v>1</v>
      </c>
      <c r="O82" s="2558" t="s">
        <v>3860</v>
      </c>
      <c r="P82" s="2565" t="s">
        <v>1</v>
      </c>
      <c r="Q82" s="2558">
        <v>2</v>
      </c>
      <c r="R82" s="2565">
        <f>Q82/Q$4*100</f>
        <v>1.0623605651758207E-3</v>
      </c>
      <c r="S82" s="2558" t="s">
        <v>3860</v>
      </c>
      <c r="T82" s="2565" t="s">
        <v>1</v>
      </c>
      <c r="U82" s="2560">
        <v>3</v>
      </c>
      <c r="V82" s="2561">
        <f t="shared" si="17"/>
        <v>1.625566916462116E-3</v>
      </c>
    </row>
    <row r="83" spans="1:22" ht="16.5" customHeight="1">
      <c r="A83" s="4080" t="s">
        <v>3867</v>
      </c>
      <c r="B83" s="4080"/>
      <c r="C83" s="2564">
        <v>3</v>
      </c>
      <c r="D83" s="2565">
        <f>C83/C$4*100</f>
        <v>1.0663671359866919E-3</v>
      </c>
      <c r="E83" s="2564">
        <v>1</v>
      </c>
      <c r="F83" s="2565">
        <f>E83/E$4*100</f>
        <v>3.8029175983814785E-4</v>
      </c>
      <c r="G83" s="2564" t="s">
        <v>3860</v>
      </c>
      <c r="H83" s="2565" t="s">
        <v>1</v>
      </c>
      <c r="I83" s="2564">
        <v>2</v>
      </c>
      <c r="J83" s="2565">
        <f>I83/I$4*100</f>
        <v>9.5945809806621222E-4</v>
      </c>
      <c r="K83" s="2564">
        <v>1</v>
      </c>
      <c r="L83" s="2565">
        <f t="shared" si="13"/>
        <v>4.7699455272220791E-4</v>
      </c>
      <c r="M83" s="2564" t="s">
        <v>3860</v>
      </c>
      <c r="N83" s="2565" t="s">
        <v>1</v>
      </c>
      <c r="O83" s="2558">
        <v>2</v>
      </c>
      <c r="P83" s="2565">
        <f t="shared" ref="P83:P88" si="22">O83/O$4*100</f>
        <v>1.0432913756318433E-3</v>
      </c>
      <c r="Q83" s="2558">
        <v>1</v>
      </c>
      <c r="R83" s="2565">
        <f>Q83/Q$4*100</f>
        <v>5.3118028258791034E-4</v>
      </c>
      <c r="S83" s="2558" t="s">
        <v>3860</v>
      </c>
      <c r="T83" s="2565" t="s">
        <v>1</v>
      </c>
      <c r="U83" s="2560">
        <v>3</v>
      </c>
      <c r="V83" s="2561">
        <f t="shared" si="17"/>
        <v>1.625566916462116E-3</v>
      </c>
    </row>
    <row r="84" spans="1:22" ht="16.5" customHeight="1">
      <c r="A84" s="4080" t="s">
        <v>3868</v>
      </c>
      <c r="B84" s="4080"/>
      <c r="C84" s="2564">
        <v>1</v>
      </c>
      <c r="D84" s="2565">
        <f>C84/C$4*100</f>
        <v>3.5545571199556392E-4</v>
      </c>
      <c r="E84" s="2564">
        <v>2</v>
      </c>
      <c r="F84" s="2565">
        <f>E84/E$4*100</f>
        <v>7.6058351967629571E-4</v>
      </c>
      <c r="G84" s="2564">
        <v>2</v>
      </c>
      <c r="H84" s="2565">
        <f>G84/G$4*100</f>
        <v>8.5614972346363932E-4</v>
      </c>
      <c r="I84" s="2564" t="s">
        <v>1</v>
      </c>
      <c r="J84" s="2565" t="s">
        <v>1</v>
      </c>
      <c r="K84" s="2564">
        <v>2</v>
      </c>
      <c r="L84" s="2565">
        <f t="shared" si="13"/>
        <v>9.5398910544441582E-4</v>
      </c>
      <c r="M84" s="2564">
        <v>1</v>
      </c>
      <c r="N84" s="2565">
        <f>M84/M$4*100</f>
        <v>5.1619563814685773E-4</v>
      </c>
      <c r="O84" s="2558">
        <v>4</v>
      </c>
      <c r="P84" s="2565">
        <f t="shared" si="22"/>
        <v>2.0865827512636867E-3</v>
      </c>
      <c r="Q84" s="2558">
        <v>4</v>
      </c>
      <c r="R84" s="2565">
        <f>Q84/Q$4*100</f>
        <v>2.1247211303516414E-3</v>
      </c>
      <c r="S84" s="2558">
        <v>2</v>
      </c>
      <c r="T84" s="2565">
        <f>S84/S$4*100</f>
        <v>1.0712372790573112E-3</v>
      </c>
      <c r="U84" s="2560">
        <v>3</v>
      </c>
      <c r="V84" s="2561">
        <f t="shared" si="17"/>
        <v>1.625566916462116E-3</v>
      </c>
    </row>
    <row r="85" spans="1:22" ht="16.5" customHeight="1">
      <c r="A85" s="4080" t="s">
        <v>3869</v>
      </c>
      <c r="B85" s="4080"/>
      <c r="C85" s="2564">
        <v>2</v>
      </c>
      <c r="D85" s="2565">
        <f>C85/C$4*100</f>
        <v>7.1091142399112785E-4</v>
      </c>
      <c r="E85" s="2564">
        <v>2</v>
      </c>
      <c r="F85" s="2565">
        <f>E85/E$4*100</f>
        <v>7.6058351967629571E-4</v>
      </c>
      <c r="G85" s="2564" t="s">
        <v>3860</v>
      </c>
      <c r="H85" s="2565" t="s">
        <v>1</v>
      </c>
      <c r="I85" s="2564">
        <v>14</v>
      </c>
      <c r="J85" s="2565">
        <f>I85/I$4*100</f>
        <v>6.7162066864634856E-3</v>
      </c>
      <c r="K85" s="2564" t="s">
        <v>1</v>
      </c>
      <c r="L85" s="2564" t="s">
        <v>1</v>
      </c>
      <c r="M85" s="2564">
        <v>1</v>
      </c>
      <c r="N85" s="2565">
        <f>M85/M$4*100</f>
        <v>5.1619563814685773E-4</v>
      </c>
      <c r="O85" s="2558">
        <v>1</v>
      </c>
      <c r="P85" s="2565">
        <f t="shared" si="22"/>
        <v>5.2164568781592167E-4</v>
      </c>
      <c r="Q85" s="2558" t="s">
        <v>3860</v>
      </c>
      <c r="R85" s="2565" t="s">
        <v>1</v>
      </c>
      <c r="S85" s="2558">
        <v>4</v>
      </c>
      <c r="T85" s="2565">
        <f>S85/S$4*100</f>
        <v>2.1424745581146223E-3</v>
      </c>
      <c r="U85" s="2560">
        <v>2</v>
      </c>
      <c r="V85" s="2561">
        <f t="shared" si="17"/>
        <v>1.0837112776414107E-3</v>
      </c>
    </row>
    <row r="86" spans="1:22" ht="16.5" customHeight="1">
      <c r="A86" s="4080" t="s">
        <v>3870</v>
      </c>
      <c r="B86" s="4080"/>
      <c r="C86" s="2564">
        <v>3</v>
      </c>
      <c r="D86" s="2565">
        <f>C86/C$4*100</f>
        <v>1.0663671359866919E-3</v>
      </c>
      <c r="E86" s="2564">
        <v>6</v>
      </c>
      <c r="F86" s="2565">
        <f>E86/E$4*100</f>
        <v>2.2817505590288869E-3</v>
      </c>
      <c r="G86" s="2564">
        <v>8</v>
      </c>
      <c r="H86" s="2565">
        <f>G86/G$4*100</f>
        <v>3.4245988938545573E-3</v>
      </c>
      <c r="I86" s="2564">
        <v>7</v>
      </c>
      <c r="J86" s="2565">
        <f>I86/I$4*100</f>
        <v>3.3581033432317428E-3</v>
      </c>
      <c r="K86" s="2564">
        <v>3</v>
      </c>
      <c r="L86" s="2565">
        <f t="shared" si="13"/>
        <v>1.4309836581666237E-3</v>
      </c>
      <c r="M86" s="2564">
        <v>4</v>
      </c>
      <c r="N86" s="2565">
        <f>M86/M$4*100</f>
        <v>2.0647825525874309E-3</v>
      </c>
      <c r="O86" s="2558">
        <v>5</v>
      </c>
      <c r="P86" s="2565">
        <f t="shared" si="22"/>
        <v>2.6082284390796084E-3</v>
      </c>
      <c r="Q86" s="2558">
        <v>8</v>
      </c>
      <c r="R86" s="2565">
        <f>Q86/Q$4*100</f>
        <v>4.2494422607032827E-3</v>
      </c>
      <c r="S86" s="2558">
        <v>5</v>
      </c>
      <c r="T86" s="2565">
        <f>S86/S$4*100</f>
        <v>2.6780931976432779E-3</v>
      </c>
      <c r="U86" s="2560">
        <v>2</v>
      </c>
      <c r="V86" s="2561">
        <f t="shared" si="17"/>
        <v>1.0837112776414107E-3</v>
      </c>
    </row>
    <row r="87" spans="1:22" ht="16.5" customHeight="1">
      <c r="A87" s="4080" t="s">
        <v>3871</v>
      </c>
      <c r="B87" s="4080"/>
      <c r="C87" s="2564" t="s">
        <v>3860</v>
      </c>
      <c r="D87" s="2565" t="s">
        <v>1</v>
      </c>
      <c r="E87" s="2564" t="s">
        <v>3860</v>
      </c>
      <c r="F87" s="2565" t="s">
        <v>1</v>
      </c>
      <c r="G87" s="2564" t="s">
        <v>3860</v>
      </c>
      <c r="H87" s="2565" t="s">
        <v>1</v>
      </c>
      <c r="I87" s="2564">
        <v>2</v>
      </c>
      <c r="J87" s="2565">
        <f>I87/I$4*100</f>
        <v>9.5945809806621222E-4</v>
      </c>
      <c r="K87" s="2564">
        <v>2</v>
      </c>
      <c r="L87" s="2565">
        <f t="shared" si="13"/>
        <v>9.5398910544441582E-4</v>
      </c>
      <c r="M87" s="2564">
        <v>2</v>
      </c>
      <c r="N87" s="2565">
        <f>M87/M$4*100</f>
        <v>1.0323912762937155E-3</v>
      </c>
      <c r="O87" s="2558">
        <v>1</v>
      </c>
      <c r="P87" s="2565">
        <f t="shared" si="22"/>
        <v>5.2164568781592167E-4</v>
      </c>
      <c r="Q87" s="2558">
        <v>2</v>
      </c>
      <c r="R87" s="2565">
        <f>Q87/Q$4*100</f>
        <v>1.0623605651758207E-3</v>
      </c>
      <c r="S87" s="2558">
        <v>3</v>
      </c>
      <c r="T87" s="2565">
        <f>S87/S$4*100</f>
        <v>1.6068559185859668E-3</v>
      </c>
      <c r="U87" s="2560">
        <v>2</v>
      </c>
      <c r="V87" s="2561">
        <f t="shared" si="17"/>
        <v>1.0837112776414107E-3</v>
      </c>
    </row>
    <row r="88" spans="1:22" ht="16.5" customHeight="1">
      <c r="A88" s="4080" t="s">
        <v>3872</v>
      </c>
      <c r="B88" s="4080"/>
      <c r="C88" s="2564">
        <v>5</v>
      </c>
      <c r="D88" s="2565">
        <f t="shared" ref="D88:D93" si="23">C88/C$4*100</f>
        <v>1.7772785599778195E-3</v>
      </c>
      <c r="E88" s="2564">
        <v>2</v>
      </c>
      <c r="F88" s="2565">
        <f>E88/E$4*100</f>
        <v>7.6058351967629571E-4</v>
      </c>
      <c r="G88" s="2564">
        <v>3</v>
      </c>
      <c r="H88" s="2565">
        <f>G88/G$4*100</f>
        <v>1.284224585195459E-3</v>
      </c>
      <c r="I88" s="2564">
        <v>3</v>
      </c>
      <c r="J88" s="2565">
        <f>I88/I$4*100</f>
        <v>1.4391871470993184E-3</v>
      </c>
      <c r="K88" s="2564">
        <v>1</v>
      </c>
      <c r="L88" s="2565">
        <f t="shared" si="13"/>
        <v>4.7699455272220791E-4</v>
      </c>
      <c r="M88" s="2564">
        <v>3</v>
      </c>
      <c r="N88" s="2565">
        <f>M88/M$4*100</f>
        <v>1.548586914440573E-3</v>
      </c>
      <c r="O88" s="2558">
        <v>9</v>
      </c>
      <c r="P88" s="2565">
        <f t="shared" si="22"/>
        <v>4.6948111903432951E-3</v>
      </c>
      <c r="Q88" s="2558">
        <v>1</v>
      </c>
      <c r="R88" s="2565">
        <f>Q88/Q$4*100</f>
        <v>5.3118028258791034E-4</v>
      </c>
      <c r="S88" s="2558">
        <v>2</v>
      </c>
      <c r="T88" s="2565">
        <f>S88/S$4*100</f>
        <v>1.0712372790573112E-3</v>
      </c>
      <c r="U88" s="2560">
        <v>2</v>
      </c>
      <c r="V88" s="2561">
        <f t="shared" si="17"/>
        <v>1.0837112776414107E-3</v>
      </c>
    </row>
    <row r="89" spans="1:22" ht="16.5" customHeight="1">
      <c r="A89" s="4080" t="s">
        <v>3873</v>
      </c>
      <c r="B89" s="4080"/>
      <c r="C89" s="2564">
        <v>1</v>
      </c>
      <c r="D89" s="2565">
        <f t="shared" si="23"/>
        <v>3.5545571199556392E-4</v>
      </c>
      <c r="E89" s="2564" t="s">
        <v>3249</v>
      </c>
      <c r="F89" s="2565" t="s">
        <v>1</v>
      </c>
      <c r="G89" s="2564" t="s">
        <v>3242</v>
      </c>
      <c r="H89" s="2565" t="s">
        <v>1</v>
      </c>
      <c r="I89" s="2564" t="s">
        <v>1</v>
      </c>
      <c r="J89" s="2565" t="s">
        <v>1</v>
      </c>
      <c r="K89" s="2564" t="s">
        <v>1</v>
      </c>
      <c r="L89" s="2564" t="s">
        <v>1</v>
      </c>
      <c r="M89" s="2564" t="s">
        <v>3854</v>
      </c>
      <c r="N89" s="2565" t="s">
        <v>1</v>
      </c>
      <c r="O89" s="2558" t="s">
        <v>3242</v>
      </c>
      <c r="P89" s="2565" t="s">
        <v>1</v>
      </c>
      <c r="Q89" s="2558" t="s">
        <v>3860</v>
      </c>
      <c r="R89" s="2565" t="s">
        <v>1</v>
      </c>
      <c r="S89" s="2558" t="s">
        <v>3860</v>
      </c>
      <c r="T89" s="2565" t="s">
        <v>1</v>
      </c>
      <c r="U89" s="2560">
        <v>2</v>
      </c>
      <c r="V89" s="2561">
        <f t="shared" si="17"/>
        <v>1.0837112776414107E-3</v>
      </c>
    </row>
    <row r="90" spans="1:22" ht="16.5" customHeight="1">
      <c r="A90" s="4080" t="s">
        <v>3874</v>
      </c>
      <c r="B90" s="4080"/>
      <c r="C90" s="2564">
        <v>2</v>
      </c>
      <c r="D90" s="2565">
        <f t="shared" si="23"/>
        <v>7.1091142399112785E-4</v>
      </c>
      <c r="E90" s="2564">
        <v>1</v>
      </c>
      <c r="F90" s="2565">
        <f>E90/E$4*100</f>
        <v>3.8029175983814785E-4</v>
      </c>
      <c r="G90" s="2564" t="s">
        <v>3860</v>
      </c>
      <c r="H90" s="2565" t="s">
        <v>1</v>
      </c>
      <c r="I90" s="2564" t="s">
        <v>1</v>
      </c>
      <c r="J90" s="2565" t="s">
        <v>1</v>
      </c>
      <c r="K90" s="2564" t="s">
        <v>1</v>
      </c>
      <c r="L90" s="2564" t="s">
        <v>1</v>
      </c>
      <c r="M90" s="2564" t="s">
        <v>3860</v>
      </c>
      <c r="N90" s="2565" t="s">
        <v>1</v>
      </c>
      <c r="O90" s="2558">
        <v>1</v>
      </c>
      <c r="P90" s="2565">
        <f>O90/O$4*100</f>
        <v>5.2164568781592167E-4</v>
      </c>
      <c r="Q90" s="2558" t="s">
        <v>3242</v>
      </c>
      <c r="R90" s="2565" t="s">
        <v>1</v>
      </c>
      <c r="S90" s="2558" t="s">
        <v>3242</v>
      </c>
      <c r="T90" s="2565" t="s">
        <v>1</v>
      </c>
      <c r="U90" s="2560">
        <v>1</v>
      </c>
      <c r="V90" s="2561">
        <f t="shared" si="17"/>
        <v>5.4185563882070537E-4</v>
      </c>
    </row>
    <row r="91" spans="1:22" ht="16.5" customHeight="1">
      <c r="A91" s="4080" t="s">
        <v>3875</v>
      </c>
      <c r="B91" s="4080"/>
      <c r="C91" s="2564">
        <v>5</v>
      </c>
      <c r="D91" s="2565">
        <f t="shared" si="23"/>
        <v>1.7772785599778195E-3</v>
      </c>
      <c r="E91" s="2564">
        <v>1</v>
      </c>
      <c r="F91" s="2565">
        <f>E91/E$4*100</f>
        <v>3.8029175983814785E-4</v>
      </c>
      <c r="G91" s="2564">
        <v>2</v>
      </c>
      <c r="H91" s="2565">
        <f>G91/G$4*100</f>
        <v>8.5614972346363932E-4</v>
      </c>
      <c r="I91" s="2564">
        <v>5</v>
      </c>
      <c r="J91" s="2565">
        <f>I91/I$4*100</f>
        <v>2.3986452451655303E-3</v>
      </c>
      <c r="K91" s="2564">
        <v>5</v>
      </c>
      <c r="L91" s="2565">
        <f t="shared" si="13"/>
        <v>2.3849727636110398E-3</v>
      </c>
      <c r="M91" s="2564">
        <v>9</v>
      </c>
      <c r="N91" s="2565">
        <f>M91/M$4*100</f>
        <v>4.6457607433217189E-3</v>
      </c>
      <c r="O91" s="2558">
        <v>7</v>
      </c>
      <c r="P91" s="2565">
        <f>O91/O$4*100</f>
        <v>3.6515198147114517E-3</v>
      </c>
      <c r="Q91" s="2558">
        <v>6</v>
      </c>
      <c r="R91" s="2565">
        <f>Q91/Q$4*100</f>
        <v>3.187081695527462E-3</v>
      </c>
      <c r="S91" s="2558">
        <v>6</v>
      </c>
      <c r="T91" s="2565">
        <f>S91/S$4*100</f>
        <v>3.2137118371719335E-3</v>
      </c>
      <c r="U91" s="2560">
        <v>1</v>
      </c>
      <c r="V91" s="2561">
        <f t="shared" si="17"/>
        <v>5.4185563882070537E-4</v>
      </c>
    </row>
    <row r="92" spans="1:22" ht="16.5" customHeight="1">
      <c r="A92" s="4080" t="s">
        <v>3876</v>
      </c>
      <c r="B92" s="4080"/>
      <c r="C92" s="2564">
        <v>5</v>
      </c>
      <c r="D92" s="2565">
        <f t="shared" si="23"/>
        <v>1.7772785599778195E-3</v>
      </c>
      <c r="E92" s="2564">
        <v>1</v>
      </c>
      <c r="F92" s="2565">
        <f>E92/E$4*100</f>
        <v>3.8029175983814785E-4</v>
      </c>
      <c r="G92" s="2564" t="s">
        <v>3877</v>
      </c>
      <c r="H92" s="2565" t="s">
        <v>1</v>
      </c>
      <c r="I92" s="2564">
        <v>2</v>
      </c>
      <c r="J92" s="2565">
        <f>I92/I$4*100</f>
        <v>9.5945809806621222E-4</v>
      </c>
      <c r="K92" s="2564">
        <v>2</v>
      </c>
      <c r="L92" s="2565">
        <f t="shared" si="13"/>
        <v>9.5398910544441582E-4</v>
      </c>
      <c r="M92" s="2564">
        <v>1</v>
      </c>
      <c r="N92" s="2565">
        <f>M92/M$4*100</f>
        <v>5.1619563814685773E-4</v>
      </c>
      <c r="O92" s="2558">
        <v>3</v>
      </c>
      <c r="P92" s="2565">
        <f>O92/O$4*100</f>
        <v>1.564937063447765E-3</v>
      </c>
      <c r="Q92" s="2558">
        <v>3</v>
      </c>
      <c r="R92" s="2565">
        <f>Q92/Q$4*100</f>
        <v>1.593540847763731E-3</v>
      </c>
      <c r="S92" s="2558">
        <v>6</v>
      </c>
      <c r="T92" s="2565">
        <f>S92/S$4*100</f>
        <v>3.2137118371719335E-3</v>
      </c>
      <c r="U92" s="2560">
        <v>1</v>
      </c>
      <c r="V92" s="2561">
        <f t="shared" si="17"/>
        <v>5.4185563882070537E-4</v>
      </c>
    </row>
    <row r="93" spans="1:22" ht="16.5" customHeight="1">
      <c r="A93" s="4080" t="s">
        <v>3878</v>
      </c>
      <c r="B93" s="4080"/>
      <c r="C93" s="2564">
        <v>3</v>
      </c>
      <c r="D93" s="2565">
        <f t="shared" si="23"/>
        <v>1.0663671359866919E-3</v>
      </c>
      <c r="E93" s="2564" t="s">
        <v>3877</v>
      </c>
      <c r="F93" s="2565" t="s">
        <v>1</v>
      </c>
      <c r="G93" s="2564">
        <v>2</v>
      </c>
      <c r="H93" s="2565">
        <f>G93/G$4*100</f>
        <v>8.5614972346363932E-4</v>
      </c>
      <c r="I93" s="2564">
        <v>1</v>
      </c>
      <c r="J93" s="2565">
        <f>I93/I$4*100</f>
        <v>4.7972904903310611E-4</v>
      </c>
      <c r="K93" s="2564">
        <v>1</v>
      </c>
      <c r="L93" s="2565">
        <f t="shared" si="13"/>
        <v>4.7699455272220791E-4</v>
      </c>
      <c r="M93" s="2564">
        <v>1</v>
      </c>
      <c r="N93" s="2565">
        <f>M93/M$4*100</f>
        <v>5.1619563814685773E-4</v>
      </c>
      <c r="O93" s="2558">
        <v>1</v>
      </c>
      <c r="P93" s="2565">
        <f>O93/O$4*100</f>
        <v>5.2164568781592167E-4</v>
      </c>
      <c r="Q93" s="2558">
        <v>1</v>
      </c>
      <c r="R93" s="2565">
        <f>Q93/Q$4*100</f>
        <v>5.3118028258791034E-4</v>
      </c>
      <c r="S93" s="2558" t="s">
        <v>3852</v>
      </c>
      <c r="T93" s="2565" t="s">
        <v>1</v>
      </c>
      <c r="U93" s="2560">
        <v>1</v>
      </c>
      <c r="V93" s="2561">
        <f t="shared" si="17"/>
        <v>5.4185563882070537E-4</v>
      </c>
    </row>
    <row r="94" spans="1:22" ht="16.5" customHeight="1">
      <c r="A94" s="4080" t="s">
        <v>3879</v>
      </c>
      <c r="B94" s="4080"/>
      <c r="C94" s="2564" t="s">
        <v>3877</v>
      </c>
      <c r="D94" s="2565" t="s">
        <v>1</v>
      </c>
      <c r="E94" s="2564">
        <v>2</v>
      </c>
      <c r="F94" s="2565">
        <f>E94/E$4*100</f>
        <v>7.6058351967629571E-4</v>
      </c>
      <c r="G94" s="2564">
        <v>1</v>
      </c>
      <c r="H94" s="2565">
        <f>G94/G$4*100</f>
        <v>4.2807486173181966E-4</v>
      </c>
      <c r="I94" s="2564" t="s">
        <v>1</v>
      </c>
      <c r="J94" s="2565" t="s">
        <v>1</v>
      </c>
      <c r="K94" s="2564">
        <v>1</v>
      </c>
      <c r="L94" s="2565">
        <f t="shared" si="13"/>
        <v>4.7699455272220791E-4</v>
      </c>
      <c r="M94" s="2564">
        <v>2</v>
      </c>
      <c r="N94" s="2565">
        <f>M94/M$4*100</f>
        <v>1.0323912762937155E-3</v>
      </c>
      <c r="O94" s="2558">
        <v>1</v>
      </c>
      <c r="P94" s="2565">
        <f>O94/O$4*100</f>
        <v>5.2164568781592167E-4</v>
      </c>
      <c r="Q94" s="2558">
        <v>2</v>
      </c>
      <c r="R94" s="2565">
        <f>Q94/Q$4*100</f>
        <v>1.0623605651758207E-3</v>
      </c>
      <c r="S94" s="2558">
        <v>3</v>
      </c>
      <c r="T94" s="2565">
        <f>S94/S$4*100</f>
        <v>1.6068559185859668E-3</v>
      </c>
      <c r="U94" s="2560">
        <v>1</v>
      </c>
      <c r="V94" s="2561">
        <f t="shared" si="17"/>
        <v>5.4185563882070537E-4</v>
      </c>
    </row>
    <row r="95" spans="1:22" ht="16.5" customHeight="1">
      <c r="A95" s="4080" t="s">
        <v>3880</v>
      </c>
      <c r="B95" s="4080"/>
      <c r="C95" s="2564">
        <v>9</v>
      </c>
      <c r="D95" s="2565">
        <f>C95/C$4*100</f>
        <v>3.1991014079600752E-3</v>
      </c>
      <c r="E95" s="2564">
        <v>5</v>
      </c>
      <c r="F95" s="2565">
        <f>E95/E$4*100</f>
        <v>1.9014587991907392E-3</v>
      </c>
      <c r="G95" s="2564">
        <v>3</v>
      </c>
      <c r="H95" s="2565">
        <f>G95/G$4*100</f>
        <v>1.284224585195459E-3</v>
      </c>
      <c r="I95" s="2564">
        <v>1</v>
      </c>
      <c r="J95" s="2565">
        <f>I95/I$4*100</f>
        <v>4.7972904903310611E-4</v>
      </c>
      <c r="K95" s="2564" t="s">
        <v>1</v>
      </c>
      <c r="L95" s="2564" t="s">
        <v>1</v>
      </c>
      <c r="M95" s="2564">
        <v>1</v>
      </c>
      <c r="N95" s="2565">
        <f>M95/M$4*100</f>
        <v>5.1619563814685773E-4</v>
      </c>
      <c r="O95" s="2558" t="s">
        <v>3877</v>
      </c>
      <c r="P95" s="2565" t="s">
        <v>1</v>
      </c>
      <c r="Q95" s="2558">
        <v>1</v>
      </c>
      <c r="R95" s="2565">
        <f>Q95/Q$4*100</f>
        <v>5.3118028258791034E-4</v>
      </c>
      <c r="S95" s="2558">
        <v>1</v>
      </c>
      <c r="T95" s="2565">
        <f>S95/S$4*100</f>
        <v>5.3561863952865559E-4</v>
      </c>
      <c r="U95" s="2560">
        <v>1</v>
      </c>
      <c r="V95" s="2561">
        <f t="shared" si="17"/>
        <v>5.4185563882070537E-4</v>
      </c>
    </row>
    <row r="96" spans="1:22" ht="16.5" customHeight="1">
      <c r="A96" s="4080" t="s">
        <v>3881</v>
      </c>
      <c r="B96" s="4080"/>
      <c r="C96" s="2564" t="s">
        <v>3242</v>
      </c>
      <c r="D96" s="2565" t="s">
        <v>1</v>
      </c>
      <c r="E96" s="2564">
        <v>1</v>
      </c>
      <c r="F96" s="2565">
        <f>E96/E$4*100</f>
        <v>3.8029175983814785E-4</v>
      </c>
      <c r="G96" s="2564" t="s">
        <v>3242</v>
      </c>
      <c r="H96" s="2565" t="s">
        <v>1</v>
      </c>
      <c r="I96" s="2564" t="s">
        <v>1</v>
      </c>
      <c r="J96" s="2565" t="s">
        <v>1</v>
      </c>
      <c r="K96" s="2564" t="s">
        <v>1</v>
      </c>
      <c r="L96" s="2564" t="s">
        <v>1</v>
      </c>
      <c r="M96" s="2564" t="s">
        <v>3242</v>
      </c>
      <c r="N96" s="2565" t="s">
        <v>1</v>
      </c>
      <c r="O96" s="2558" t="s">
        <v>3242</v>
      </c>
      <c r="P96" s="2565" t="s">
        <v>1</v>
      </c>
      <c r="Q96" s="2558" t="s">
        <v>3242</v>
      </c>
      <c r="R96" s="2565" t="s">
        <v>1</v>
      </c>
      <c r="S96" s="2558" t="s">
        <v>3242</v>
      </c>
      <c r="T96" s="2565" t="s">
        <v>1</v>
      </c>
      <c r="U96" s="2560">
        <v>1</v>
      </c>
      <c r="V96" s="2561">
        <f t="shared" si="17"/>
        <v>5.4185563882070537E-4</v>
      </c>
    </row>
    <row r="97" spans="1:22" ht="16.5" customHeight="1">
      <c r="A97" s="4080" t="s">
        <v>3882</v>
      </c>
      <c r="B97" s="4080"/>
      <c r="C97" s="2564" t="s">
        <v>3242</v>
      </c>
      <c r="D97" s="2565" t="s">
        <v>1</v>
      </c>
      <c r="E97" s="2564">
        <v>1</v>
      </c>
      <c r="F97" s="2565">
        <f>E97/E$4*100</f>
        <v>3.8029175983814785E-4</v>
      </c>
      <c r="G97" s="2564">
        <v>1</v>
      </c>
      <c r="H97" s="2565">
        <f>G97/G$4*100</f>
        <v>4.2807486173181966E-4</v>
      </c>
      <c r="I97" s="2564">
        <v>1</v>
      </c>
      <c r="J97" s="2565">
        <f>I97/I$4*100</f>
        <v>4.7972904903310611E-4</v>
      </c>
      <c r="K97" s="2564" t="s">
        <v>1</v>
      </c>
      <c r="L97" s="2564" t="s">
        <v>1</v>
      </c>
      <c r="M97" s="2564" t="s">
        <v>3883</v>
      </c>
      <c r="N97" s="2565" t="s">
        <v>1</v>
      </c>
      <c r="O97" s="2558" t="s">
        <v>3883</v>
      </c>
      <c r="P97" s="2565" t="s">
        <v>1</v>
      </c>
      <c r="Q97" s="2558">
        <v>1</v>
      </c>
      <c r="R97" s="2565">
        <f>Q97/Q$4*100</f>
        <v>5.3118028258791034E-4</v>
      </c>
      <c r="S97" s="2558">
        <v>1</v>
      </c>
      <c r="T97" s="2565">
        <f>S97/S$4*100</f>
        <v>5.3561863952865559E-4</v>
      </c>
      <c r="U97" s="2560">
        <v>1</v>
      </c>
      <c r="V97" s="2561">
        <f t="shared" si="17"/>
        <v>5.4185563882070537E-4</v>
      </c>
    </row>
    <row r="98" spans="1:22" ht="16.5" customHeight="1">
      <c r="A98" s="4080" t="s">
        <v>3884</v>
      </c>
      <c r="B98" s="4080"/>
      <c r="C98" s="2564" t="s">
        <v>3883</v>
      </c>
      <c r="D98" s="2565" t="s">
        <v>1</v>
      </c>
      <c r="E98" s="2564">
        <v>3</v>
      </c>
      <c r="F98" s="2565">
        <f>E98/E$4*100</f>
        <v>1.1408752795144435E-3</v>
      </c>
      <c r="G98" s="2564" t="s">
        <v>3883</v>
      </c>
      <c r="H98" s="2565" t="s">
        <v>1</v>
      </c>
      <c r="I98" s="2564">
        <v>1</v>
      </c>
      <c r="J98" s="2565">
        <f>I98/I$4*100</f>
        <v>4.7972904903310611E-4</v>
      </c>
      <c r="K98" s="2564">
        <v>4</v>
      </c>
      <c r="L98" s="2565">
        <f t="shared" si="13"/>
        <v>1.9079782108888316E-3</v>
      </c>
      <c r="M98" s="2564" t="s">
        <v>3885</v>
      </c>
      <c r="N98" s="2565" t="s">
        <v>1</v>
      </c>
      <c r="O98" s="2558" t="s">
        <v>3883</v>
      </c>
      <c r="P98" s="2565" t="s">
        <v>1</v>
      </c>
      <c r="Q98" s="2558">
        <v>2</v>
      </c>
      <c r="R98" s="2565">
        <f>Q98/Q$4*100</f>
        <v>1.0623605651758207E-3</v>
      </c>
      <c r="S98" s="2558" t="s">
        <v>3883</v>
      </c>
      <c r="T98" s="2565" t="s">
        <v>1</v>
      </c>
      <c r="U98" s="2560">
        <v>1</v>
      </c>
      <c r="V98" s="2561">
        <f t="shared" si="17"/>
        <v>5.4185563882070537E-4</v>
      </c>
    </row>
    <row r="99" spans="1:22" ht="16.5" customHeight="1">
      <c r="A99" s="4080" t="s">
        <v>3886</v>
      </c>
      <c r="B99" s="4080"/>
      <c r="C99" s="2564">
        <v>9</v>
      </c>
      <c r="D99" s="2565">
        <f>C99/C$4*100</f>
        <v>3.1991014079600752E-3</v>
      </c>
      <c r="E99" s="2564" t="s">
        <v>3885</v>
      </c>
      <c r="F99" s="2565" t="s">
        <v>1</v>
      </c>
      <c r="G99" s="2564">
        <v>5</v>
      </c>
      <c r="H99" s="2565">
        <f>G99/G$4*100</f>
        <v>2.1403743086590983E-3</v>
      </c>
      <c r="I99" s="2564">
        <v>1</v>
      </c>
      <c r="J99" s="2565">
        <f>I99/I$4*100</f>
        <v>4.7972904903310611E-4</v>
      </c>
      <c r="K99" s="2564" t="s">
        <v>1</v>
      </c>
      <c r="L99" s="2564" t="s">
        <v>1</v>
      </c>
      <c r="M99" s="2564" t="s">
        <v>3883</v>
      </c>
      <c r="N99" s="2565" t="s">
        <v>1</v>
      </c>
      <c r="O99" s="2558">
        <v>1</v>
      </c>
      <c r="P99" s="2565">
        <f>O99/O$4*100</f>
        <v>5.2164568781592167E-4</v>
      </c>
      <c r="Q99" s="2558">
        <v>8</v>
      </c>
      <c r="R99" s="2565">
        <f>Q99/Q$4*100</f>
        <v>4.2494422607032827E-3</v>
      </c>
      <c r="S99" s="2558">
        <v>1</v>
      </c>
      <c r="T99" s="2565">
        <f>S99/S$4*100</f>
        <v>5.3561863952865559E-4</v>
      </c>
      <c r="U99" s="2560">
        <v>1</v>
      </c>
      <c r="V99" s="2561">
        <f t="shared" si="17"/>
        <v>5.4185563882070537E-4</v>
      </c>
    </row>
    <row r="100" spans="1:22" ht="16.5" customHeight="1">
      <c r="A100" s="4080" t="s">
        <v>3887</v>
      </c>
      <c r="B100" s="4080"/>
      <c r="C100" s="2564" t="s">
        <v>3883</v>
      </c>
      <c r="D100" s="2565" t="s">
        <v>1</v>
      </c>
      <c r="E100" s="2564">
        <v>1</v>
      </c>
      <c r="F100" s="2565">
        <f>E100/E$4*100</f>
        <v>3.8029175983814785E-4</v>
      </c>
      <c r="G100" s="2564" t="s">
        <v>3885</v>
      </c>
      <c r="H100" s="2565" t="s">
        <v>1</v>
      </c>
      <c r="I100" s="2564" t="s">
        <v>1</v>
      </c>
      <c r="J100" s="2565" t="s">
        <v>1</v>
      </c>
      <c r="K100" s="2564" t="s">
        <v>1</v>
      </c>
      <c r="L100" s="2564" t="s">
        <v>1</v>
      </c>
      <c r="M100" s="2564" t="s">
        <v>3883</v>
      </c>
      <c r="N100" s="2565" t="s">
        <v>1</v>
      </c>
      <c r="O100" s="2558">
        <v>1</v>
      </c>
      <c r="P100" s="2565">
        <f>O100/O$4*100</f>
        <v>5.2164568781592167E-4</v>
      </c>
      <c r="Q100" s="2558" t="s">
        <v>3883</v>
      </c>
      <c r="R100" s="2565" t="s">
        <v>1</v>
      </c>
      <c r="S100" s="2558" t="s">
        <v>3885</v>
      </c>
      <c r="T100" s="2565" t="s">
        <v>1</v>
      </c>
      <c r="U100" s="2560">
        <v>1</v>
      </c>
      <c r="V100" s="2561">
        <f t="shared" si="17"/>
        <v>5.4185563882070537E-4</v>
      </c>
    </row>
    <row r="101" spans="1:22" ht="16.5" customHeight="1">
      <c r="A101" s="4080" t="s">
        <v>3888</v>
      </c>
      <c r="B101" s="4080"/>
      <c r="C101" s="2564" t="s">
        <v>3883</v>
      </c>
      <c r="D101" s="2565" t="s">
        <v>1</v>
      </c>
      <c r="E101" s="2564" t="s">
        <v>3883</v>
      </c>
      <c r="F101" s="2565" t="s">
        <v>1</v>
      </c>
      <c r="G101" s="2564" t="s">
        <v>3883</v>
      </c>
      <c r="H101" s="2565" t="s">
        <v>1</v>
      </c>
      <c r="I101" s="2564" t="s">
        <v>1</v>
      </c>
      <c r="J101" s="2565" t="s">
        <v>1</v>
      </c>
      <c r="K101" s="2564" t="s">
        <v>1</v>
      </c>
      <c r="L101" s="2564" t="s">
        <v>1</v>
      </c>
      <c r="M101" s="2564" t="s">
        <v>3883</v>
      </c>
      <c r="N101" s="2565" t="s">
        <v>1</v>
      </c>
      <c r="O101" s="2558" t="s">
        <v>3885</v>
      </c>
      <c r="P101" s="2565" t="s">
        <v>1</v>
      </c>
      <c r="Q101" s="2558" t="s">
        <v>3242</v>
      </c>
      <c r="R101" s="2565" t="s">
        <v>1</v>
      </c>
      <c r="S101" s="2558" t="s">
        <v>3242</v>
      </c>
      <c r="T101" s="2565" t="s">
        <v>1</v>
      </c>
      <c r="U101" s="2560">
        <v>1</v>
      </c>
      <c r="V101" s="2561">
        <f t="shared" si="17"/>
        <v>5.4185563882070537E-4</v>
      </c>
    </row>
    <row r="102" spans="1:22" ht="16.5" customHeight="1">
      <c r="A102" s="4080" t="s">
        <v>3889</v>
      </c>
      <c r="B102" s="4080"/>
      <c r="C102" s="2564">
        <v>1</v>
      </c>
      <c r="D102" s="2565">
        <f>C102/C$4*100</f>
        <v>3.5545571199556392E-4</v>
      </c>
      <c r="E102" s="2564">
        <v>1</v>
      </c>
      <c r="F102" s="2565">
        <f>E102/E$4*100</f>
        <v>3.8029175983814785E-4</v>
      </c>
      <c r="G102" s="2564">
        <v>1</v>
      </c>
      <c r="H102" s="2565">
        <f>G102/G$4*100</f>
        <v>4.2807486173181966E-4</v>
      </c>
      <c r="I102" s="2564" t="s">
        <v>1</v>
      </c>
      <c r="J102" s="2565" t="s">
        <v>1</v>
      </c>
      <c r="K102" s="2564" t="s">
        <v>1</v>
      </c>
      <c r="L102" s="2564" t="s">
        <v>1</v>
      </c>
      <c r="M102" s="2564">
        <v>2</v>
      </c>
      <c r="N102" s="2565">
        <f>M102/M$4*100</f>
        <v>1.0323912762937155E-3</v>
      </c>
      <c r="O102" s="2558">
        <v>1</v>
      </c>
      <c r="P102" s="2565">
        <f>O102/O$4*100</f>
        <v>5.2164568781592167E-4</v>
      </c>
      <c r="Q102" s="2558" t="s">
        <v>3242</v>
      </c>
      <c r="R102" s="2565" t="s">
        <v>1</v>
      </c>
      <c r="S102" s="2558">
        <v>2</v>
      </c>
      <c r="T102" s="2565">
        <f>S102/S$4*100</f>
        <v>1.0712372790573112E-3</v>
      </c>
      <c r="U102" s="2560">
        <v>1</v>
      </c>
      <c r="V102" s="2561">
        <f t="shared" si="17"/>
        <v>5.4185563882070537E-4</v>
      </c>
    </row>
    <row r="103" spans="1:22" ht="16.5" customHeight="1">
      <c r="A103" s="4080" t="s">
        <v>3890</v>
      </c>
      <c r="B103" s="4080"/>
      <c r="C103" s="2564" t="s">
        <v>3883</v>
      </c>
      <c r="D103" s="2565" t="s">
        <v>1</v>
      </c>
      <c r="E103" s="2564" t="s">
        <v>3883</v>
      </c>
      <c r="F103" s="2565" t="s">
        <v>1</v>
      </c>
      <c r="G103" s="2564" t="s">
        <v>3885</v>
      </c>
      <c r="H103" s="2565" t="s">
        <v>1</v>
      </c>
      <c r="I103" s="2564" t="s">
        <v>1</v>
      </c>
      <c r="J103" s="2565" t="s">
        <v>1</v>
      </c>
      <c r="K103" s="2564" t="s">
        <v>1</v>
      </c>
      <c r="L103" s="2564" t="s">
        <v>1</v>
      </c>
      <c r="M103" s="2564" t="s">
        <v>3883</v>
      </c>
      <c r="N103" s="2565" t="s">
        <v>1</v>
      </c>
      <c r="O103" s="2558" t="s">
        <v>3242</v>
      </c>
      <c r="P103" s="2565" t="s">
        <v>1</v>
      </c>
      <c r="Q103" s="2558" t="s">
        <v>3242</v>
      </c>
      <c r="R103" s="2565" t="s">
        <v>1</v>
      </c>
      <c r="S103" s="2558" t="s">
        <v>3883</v>
      </c>
      <c r="T103" s="2565" t="s">
        <v>1</v>
      </c>
      <c r="U103" s="2560">
        <v>1</v>
      </c>
      <c r="V103" s="2561">
        <f t="shared" si="17"/>
        <v>5.4185563882070537E-4</v>
      </c>
    </row>
    <row r="104" spans="1:22" ht="16.5" customHeight="1">
      <c r="A104" s="4080" t="s">
        <v>3891</v>
      </c>
      <c r="B104" s="4080"/>
      <c r="C104" s="2564" t="s">
        <v>3242</v>
      </c>
      <c r="D104" s="2565" t="s">
        <v>1</v>
      </c>
      <c r="E104" s="2564">
        <v>1</v>
      </c>
      <c r="F104" s="2565">
        <f>E104/E$4*100</f>
        <v>3.8029175983814785E-4</v>
      </c>
      <c r="G104" s="2564">
        <v>1</v>
      </c>
      <c r="H104" s="2565">
        <f>G104/G$4*100</f>
        <v>4.2807486173181966E-4</v>
      </c>
      <c r="I104" s="2564" t="s">
        <v>1</v>
      </c>
      <c r="J104" s="2565" t="s">
        <v>1</v>
      </c>
      <c r="K104" s="2564">
        <v>1</v>
      </c>
      <c r="L104" s="2565">
        <f t="shared" si="13"/>
        <v>4.7699455272220791E-4</v>
      </c>
      <c r="M104" s="2564">
        <v>1</v>
      </c>
      <c r="N104" s="2565">
        <f>M104/M$4*100</f>
        <v>5.1619563814685773E-4</v>
      </c>
      <c r="O104" s="2558" t="s">
        <v>3883</v>
      </c>
      <c r="P104" s="2565" t="s">
        <v>1</v>
      </c>
      <c r="Q104" s="2558">
        <v>3</v>
      </c>
      <c r="R104" s="2565">
        <f>Q104/Q$4*100</f>
        <v>1.593540847763731E-3</v>
      </c>
      <c r="S104" s="2558">
        <v>7</v>
      </c>
      <c r="T104" s="2565">
        <f>S104/S$4*100</f>
        <v>3.7493304767005891E-3</v>
      </c>
      <c r="U104" s="2560">
        <v>1</v>
      </c>
      <c r="V104" s="2561">
        <f t="shared" si="17"/>
        <v>5.4185563882070537E-4</v>
      </c>
    </row>
    <row r="105" spans="1:22" ht="16.5" customHeight="1">
      <c r="A105" s="4080" t="s">
        <v>3892</v>
      </c>
      <c r="B105" s="4080"/>
      <c r="C105" s="2564" t="s">
        <v>3883</v>
      </c>
      <c r="D105" s="2565" t="s">
        <v>1</v>
      </c>
      <c r="E105" s="2564" t="s">
        <v>3883</v>
      </c>
      <c r="F105" s="2565" t="s">
        <v>1</v>
      </c>
      <c r="G105" s="2564" t="s">
        <v>3242</v>
      </c>
      <c r="H105" s="2565" t="s">
        <v>1</v>
      </c>
      <c r="I105" s="2564" t="s">
        <v>1</v>
      </c>
      <c r="J105" s="2565" t="s">
        <v>1</v>
      </c>
      <c r="K105" s="2564" t="s">
        <v>1</v>
      </c>
      <c r="L105" s="2564" t="s">
        <v>1</v>
      </c>
      <c r="M105" s="2564" t="s">
        <v>3883</v>
      </c>
      <c r="N105" s="2565" t="s">
        <v>1</v>
      </c>
      <c r="O105" s="2558" t="s">
        <v>3242</v>
      </c>
      <c r="P105" s="2565" t="s">
        <v>1</v>
      </c>
      <c r="Q105" s="2558" t="s">
        <v>3883</v>
      </c>
      <c r="R105" s="2565" t="s">
        <v>1</v>
      </c>
      <c r="S105" s="2558" t="s">
        <v>3242</v>
      </c>
      <c r="T105" s="2565" t="s">
        <v>1</v>
      </c>
      <c r="U105" s="2560">
        <v>1</v>
      </c>
      <c r="V105" s="2561">
        <f t="shared" si="17"/>
        <v>5.4185563882070537E-4</v>
      </c>
    </row>
    <row r="106" spans="1:22" ht="16.5" customHeight="1">
      <c r="A106" s="4080" t="s">
        <v>3893</v>
      </c>
      <c r="B106" s="4080"/>
      <c r="C106" s="2564">
        <v>2</v>
      </c>
      <c r="D106" s="2565">
        <f>C106/C$4*100</f>
        <v>7.1091142399112785E-4</v>
      </c>
      <c r="E106" s="2564" t="s">
        <v>3883</v>
      </c>
      <c r="F106" s="2565" t="s">
        <v>1</v>
      </c>
      <c r="G106" s="2564">
        <v>1</v>
      </c>
      <c r="H106" s="2565">
        <f>G106/G$4*100</f>
        <v>4.2807486173181966E-4</v>
      </c>
      <c r="I106" s="2564" t="s">
        <v>1</v>
      </c>
      <c r="J106" s="2565" t="s">
        <v>1</v>
      </c>
      <c r="K106" s="2564" t="s">
        <v>1</v>
      </c>
      <c r="L106" s="2564" t="s">
        <v>1</v>
      </c>
      <c r="M106" s="2564" t="s">
        <v>3885</v>
      </c>
      <c r="N106" s="2565" t="s">
        <v>1</v>
      </c>
      <c r="O106" s="2558" t="s">
        <v>3242</v>
      </c>
      <c r="P106" s="2565" t="s">
        <v>1</v>
      </c>
      <c r="Q106" s="2558">
        <v>2</v>
      </c>
      <c r="R106" s="2565">
        <f>Q106/Q$4*100</f>
        <v>1.0623605651758207E-3</v>
      </c>
      <c r="S106" s="2558">
        <v>1</v>
      </c>
      <c r="T106" s="2565">
        <f>S106/S$4*100</f>
        <v>5.3561863952865559E-4</v>
      </c>
      <c r="U106" s="2560">
        <v>1</v>
      </c>
      <c r="V106" s="2561">
        <f t="shared" si="17"/>
        <v>5.4185563882070537E-4</v>
      </c>
    </row>
    <row r="107" spans="1:22" ht="16.5" customHeight="1">
      <c r="A107" s="4080" t="s">
        <v>3894</v>
      </c>
      <c r="B107" s="4080"/>
      <c r="C107" s="2564">
        <v>4</v>
      </c>
      <c r="D107" s="2565">
        <f>C107/C$4*100</f>
        <v>1.4218228479822557E-3</v>
      </c>
      <c r="E107" s="2564">
        <v>1</v>
      </c>
      <c r="F107" s="2565">
        <f>E107/E$4*100</f>
        <v>3.8029175983814785E-4</v>
      </c>
      <c r="G107" s="2564">
        <v>1</v>
      </c>
      <c r="H107" s="2565">
        <f>G107/G$4*100</f>
        <v>4.2807486173181966E-4</v>
      </c>
      <c r="I107" s="2564">
        <v>2</v>
      </c>
      <c r="J107" s="2565">
        <f>I107/I$4*100</f>
        <v>9.5945809806621222E-4</v>
      </c>
      <c r="K107" s="2564">
        <v>1</v>
      </c>
      <c r="L107" s="2565">
        <f t="shared" si="13"/>
        <v>4.7699455272220791E-4</v>
      </c>
      <c r="M107" s="2564">
        <v>1</v>
      </c>
      <c r="N107" s="2565">
        <f>M107/M$4*100</f>
        <v>5.1619563814685773E-4</v>
      </c>
      <c r="O107" s="2558">
        <v>1</v>
      </c>
      <c r="P107" s="2565">
        <f>O107/O$4*100</f>
        <v>5.2164568781592167E-4</v>
      </c>
      <c r="Q107" s="2558">
        <v>6</v>
      </c>
      <c r="R107" s="2565">
        <f>Q107/Q$4*100</f>
        <v>3.187081695527462E-3</v>
      </c>
      <c r="S107" s="2558">
        <v>3</v>
      </c>
      <c r="T107" s="2565">
        <f>S107/S$4*100</f>
        <v>1.6068559185859668E-3</v>
      </c>
      <c r="U107" s="2560">
        <v>1</v>
      </c>
      <c r="V107" s="2561">
        <f t="shared" si="17"/>
        <v>5.4185563882070537E-4</v>
      </c>
    </row>
    <row r="108" spans="1:22" ht="16.5" customHeight="1">
      <c r="A108" s="4080" t="s">
        <v>3895</v>
      </c>
      <c r="B108" s="4080"/>
      <c r="C108" s="2564" t="s">
        <v>3242</v>
      </c>
      <c r="D108" s="2565" t="s">
        <v>1</v>
      </c>
      <c r="E108" s="2564" t="s">
        <v>3242</v>
      </c>
      <c r="F108" s="2565" t="s">
        <v>1</v>
      </c>
      <c r="G108" s="2564" t="s">
        <v>3242</v>
      </c>
      <c r="H108" s="2565" t="s">
        <v>1</v>
      </c>
      <c r="I108" s="2564" t="s">
        <v>1</v>
      </c>
      <c r="J108" s="2565" t="s">
        <v>1</v>
      </c>
      <c r="K108" s="2564">
        <v>2</v>
      </c>
      <c r="L108" s="2565">
        <f t="shared" si="13"/>
        <v>9.5398910544441582E-4</v>
      </c>
      <c r="M108" s="2564" t="s">
        <v>3883</v>
      </c>
      <c r="N108" s="2565" t="s">
        <v>1</v>
      </c>
      <c r="O108" s="2558" t="s">
        <v>3242</v>
      </c>
      <c r="P108" s="2565" t="s">
        <v>1</v>
      </c>
      <c r="Q108" s="2558" t="s">
        <v>3885</v>
      </c>
      <c r="R108" s="2565" t="s">
        <v>1</v>
      </c>
      <c r="S108" s="2558" t="s">
        <v>3883</v>
      </c>
      <c r="T108" s="2565" t="s">
        <v>1</v>
      </c>
      <c r="U108" s="2560" t="s">
        <v>1</v>
      </c>
      <c r="V108" s="2561" t="s">
        <v>1</v>
      </c>
    </row>
    <row r="109" spans="1:22" ht="16.5" customHeight="1">
      <c r="A109" s="4080" t="s">
        <v>3896</v>
      </c>
      <c r="B109" s="4080"/>
      <c r="C109" s="2564">
        <v>2</v>
      </c>
      <c r="D109" s="2565">
        <f>C109/C$4*100</f>
        <v>7.1091142399112785E-4</v>
      </c>
      <c r="E109" s="2564" t="s">
        <v>3242</v>
      </c>
      <c r="F109" s="2565" t="s">
        <v>1</v>
      </c>
      <c r="G109" s="2564" t="s">
        <v>3242</v>
      </c>
      <c r="H109" s="2565" t="s">
        <v>1</v>
      </c>
      <c r="I109" s="2564" t="s">
        <v>1</v>
      </c>
      <c r="J109" s="2565" t="s">
        <v>1</v>
      </c>
      <c r="K109" s="2564" t="s">
        <v>1</v>
      </c>
      <c r="L109" s="2564" t="s">
        <v>1</v>
      </c>
      <c r="M109" s="2564" t="s">
        <v>3242</v>
      </c>
      <c r="N109" s="2565" t="s">
        <v>1</v>
      </c>
      <c r="O109" s="2558" t="s">
        <v>3242</v>
      </c>
      <c r="P109" s="2565" t="s">
        <v>1</v>
      </c>
      <c r="Q109" s="2558" t="s">
        <v>3242</v>
      </c>
      <c r="R109" s="2565" t="s">
        <v>1</v>
      </c>
      <c r="S109" s="2558" t="s">
        <v>3242</v>
      </c>
      <c r="T109" s="2565" t="s">
        <v>1</v>
      </c>
      <c r="U109" s="2560" t="s">
        <v>1</v>
      </c>
      <c r="V109" s="2561" t="s">
        <v>1</v>
      </c>
    </row>
    <row r="110" spans="1:22" ht="16.5" customHeight="1">
      <c r="A110" s="4080" t="s">
        <v>3897</v>
      </c>
      <c r="B110" s="4080"/>
      <c r="C110" s="2564">
        <v>1</v>
      </c>
      <c r="D110" s="2565">
        <f>C110/C$4*100</f>
        <v>3.5545571199556392E-4</v>
      </c>
      <c r="E110" s="2564" t="s">
        <v>3242</v>
      </c>
      <c r="F110" s="2565" t="s">
        <v>1</v>
      </c>
      <c r="G110" s="2564" t="s">
        <v>3242</v>
      </c>
      <c r="H110" s="2565" t="s">
        <v>1</v>
      </c>
      <c r="I110" s="2564" t="s">
        <v>1</v>
      </c>
      <c r="J110" s="2565" t="s">
        <v>1</v>
      </c>
      <c r="K110" s="2564" t="s">
        <v>1</v>
      </c>
      <c r="L110" s="2564" t="s">
        <v>1</v>
      </c>
      <c r="M110" s="2564" t="s">
        <v>3242</v>
      </c>
      <c r="N110" s="2565" t="s">
        <v>1</v>
      </c>
      <c r="O110" s="2558" t="s">
        <v>3242</v>
      </c>
      <c r="P110" s="2565" t="s">
        <v>1</v>
      </c>
      <c r="Q110" s="2558" t="s">
        <v>3242</v>
      </c>
      <c r="R110" s="2565" t="s">
        <v>1</v>
      </c>
      <c r="S110" s="2558" t="s">
        <v>3242</v>
      </c>
      <c r="T110" s="2565" t="s">
        <v>1</v>
      </c>
      <c r="U110" s="2560" t="s">
        <v>1</v>
      </c>
      <c r="V110" s="2561" t="s">
        <v>1</v>
      </c>
    </row>
    <row r="111" spans="1:22" ht="16.5" customHeight="1">
      <c r="A111" s="4080" t="s">
        <v>3898</v>
      </c>
      <c r="B111" s="4080"/>
      <c r="C111" s="2564" t="s">
        <v>3242</v>
      </c>
      <c r="D111" s="2565" t="s">
        <v>1</v>
      </c>
      <c r="E111" s="2564" t="s">
        <v>3883</v>
      </c>
      <c r="F111" s="2565" t="s">
        <v>1</v>
      </c>
      <c r="G111" s="2564" t="s">
        <v>3242</v>
      </c>
      <c r="H111" s="2565" t="s">
        <v>1</v>
      </c>
      <c r="I111" s="2564" t="s">
        <v>1</v>
      </c>
      <c r="J111" s="2565" t="s">
        <v>1</v>
      </c>
      <c r="K111" s="2564" t="s">
        <v>1</v>
      </c>
      <c r="L111" s="2564" t="s">
        <v>1</v>
      </c>
      <c r="M111" s="2564">
        <v>1</v>
      </c>
      <c r="N111" s="2565">
        <f>M111/M$4*100</f>
        <v>5.1619563814685773E-4</v>
      </c>
      <c r="O111" s="2558" t="s">
        <v>3883</v>
      </c>
      <c r="P111" s="2565" t="s">
        <v>1</v>
      </c>
      <c r="Q111" s="2558" t="s">
        <v>3885</v>
      </c>
      <c r="R111" s="2565" t="s">
        <v>1</v>
      </c>
      <c r="S111" s="2558" t="s">
        <v>3885</v>
      </c>
      <c r="T111" s="2565" t="s">
        <v>1</v>
      </c>
      <c r="U111" s="2560" t="s">
        <v>1</v>
      </c>
      <c r="V111" s="2561" t="s">
        <v>1</v>
      </c>
    </row>
    <row r="112" spans="1:22" ht="16.5" customHeight="1">
      <c r="A112" s="4080" t="s">
        <v>3899</v>
      </c>
      <c r="B112" s="4080"/>
      <c r="C112" s="2564" t="s">
        <v>3883</v>
      </c>
      <c r="D112" s="2565" t="s">
        <v>1</v>
      </c>
      <c r="E112" s="2564">
        <v>1</v>
      </c>
      <c r="F112" s="2565">
        <f>E112/E$4*100</f>
        <v>3.8029175983814785E-4</v>
      </c>
      <c r="G112" s="2564">
        <v>2</v>
      </c>
      <c r="H112" s="2565">
        <f>G112/G$4*100</f>
        <v>8.5614972346363932E-4</v>
      </c>
      <c r="I112" s="2564" t="s">
        <v>1</v>
      </c>
      <c r="J112" s="2565" t="s">
        <v>1</v>
      </c>
      <c r="K112" s="2564" t="s">
        <v>1</v>
      </c>
      <c r="L112" s="2564" t="s">
        <v>1</v>
      </c>
      <c r="M112" s="2564" t="s">
        <v>3242</v>
      </c>
      <c r="N112" s="2565" t="s">
        <v>1</v>
      </c>
      <c r="O112" s="2558" t="s">
        <v>3242</v>
      </c>
      <c r="P112" s="2565" t="s">
        <v>1</v>
      </c>
      <c r="Q112" s="2558" t="s">
        <v>3242</v>
      </c>
      <c r="R112" s="2565" t="s">
        <v>1</v>
      </c>
      <c r="S112" s="2558" t="s">
        <v>3242</v>
      </c>
      <c r="T112" s="2565" t="s">
        <v>1</v>
      </c>
      <c r="U112" s="2560" t="s">
        <v>1</v>
      </c>
      <c r="V112" s="2561" t="s">
        <v>1</v>
      </c>
    </row>
    <row r="113" spans="1:22" ht="16.5" customHeight="1">
      <c r="A113" s="4080" t="s">
        <v>3900</v>
      </c>
      <c r="B113" s="4080"/>
      <c r="C113" s="2564" t="s">
        <v>3885</v>
      </c>
      <c r="D113" s="2565" t="s">
        <v>1</v>
      </c>
      <c r="E113" s="2564" t="s">
        <v>3885</v>
      </c>
      <c r="F113" s="2565" t="s">
        <v>1</v>
      </c>
      <c r="G113" s="2564" t="s">
        <v>3242</v>
      </c>
      <c r="H113" s="2565" t="s">
        <v>1</v>
      </c>
      <c r="I113" s="2564">
        <v>1</v>
      </c>
      <c r="J113" s="2565">
        <f>I113/I$4*100</f>
        <v>4.7972904903310611E-4</v>
      </c>
      <c r="K113" s="2564" t="s">
        <v>1</v>
      </c>
      <c r="L113" s="2564" t="s">
        <v>1</v>
      </c>
      <c r="M113" s="2564">
        <v>1</v>
      </c>
      <c r="N113" s="2565">
        <f>M113/M$4*100</f>
        <v>5.1619563814685773E-4</v>
      </c>
      <c r="O113" s="2558" t="s">
        <v>3242</v>
      </c>
      <c r="P113" s="2565" t="s">
        <v>1</v>
      </c>
      <c r="Q113" s="2558" t="s">
        <v>3242</v>
      </c>
      <c r="R113" s="2565" t="s">
        <v>1</v>
      </c>
      <c r="S113" s="2558" t="s">
        <v>3242</v>
      </c>
      <c r="T113" s="2565" t="s">
        <v>1</v>
      </c>
      <c r="U113" s="2560" t="s">
        <v>1</v>
      </c>
      <c r="V113" s="2561" t="s">
        <v>1</v>
      </c>
    </row>
    <row r="114" spans="1:22" ht="16.5" customHeight="1">
      <c r="A114" s="4080" t="s">
        <v>3901</v>
      </c>
      <c r="B114" s="4080"/>
      <c r="C114" s="2564">
        <v>10</v>
      </c>
      <c r="D114" s="2565">
        <f>C114/C$4*100</f>
        <v>3.554557119955639E-3</v>
      </c>
      <c r="E114" s="2564" t="s">
        <v>3242</v>
      </c>
      <c r="F114" s="2565" t="s">
        <v>1</v>
      </c>
      <c r="G114" s="2564" t="s">
        <v>3242</v>
      </c>
      <c r="H114" s="2565" t="s">
        <v>1</v>
      </c>
      <c r="I114" s="2564" t="s">
        <v>1</v>
      </c>
      <c r="J114" s="2565" t="s">
        <v>1</v>
      </c>
      <c r="K114" s="2564" t="s">
        <v>1</v>
      </c>
      <c r="L114" s="2564" t="s">
        <v>1</v>
      </c>
      <c r="M114" s="2564" t="s">
        <v>3242</v>
      </c>
      <c r="N114" s="2565" t="s">
        <v>1</v>
      </c>
      <c r="O114" s="2558">
        <v>2</v>
      </c>
      <c r="P114" s="2565">
        <f>O114/O$4*100</f>
        <v>1.0432913756318433E-3</v>
      </c>
      <c r="Q114" s="2558" t="s">
        <v>3242</v>
      </c>
      <c r="R114" s="2565" t="s">
        <v>1</v>
      </c>
      <c r="S114" s="2558" t="s">
        <v>3242</v>
      </c>
      <c r="T114" s="2565" t="s">
        <v>1</v>
      </c>
      <c r="U114" s="2560" t="s">
        <v>1</v>
      </c>
      <c r="V114" s="2561" t="s">
        <v>1</v>
      </c>
    </row>
    <row r="115" spans="1:22" ht="16.5" customHeight="1">
      <c r="A115" s="4080" t="s">
        <v>3902</v>
      </c>
      <c r="B115" s="4080"/>
      <c r="C115" s="2564">
        <v>7</v>
      </c>
      <c r="D115" s="2565">
        <f>C115/C$4*100</f>
        <v>2.4881899839689471E-3</v>
      </c>
      <c r="E115" s="2564">
        <v>6</v>
      </c>
      <c r="F115" s="2565">
        <f>E115/E$4*100</f>
        <v>2.2817505590288869E-3</v>
      </c>
      <c r="G115" s="2564">
        <v>1</v>
      </c>
      <c r="H115" s="2565">
        <f>G115/G$4*100</f>
        <v>4.2807486173181966E-4</v>
      </c>
      <c r="I115" s="2564" t="s">
        <v>1</v>
      </c>
      <c r="J115" s="2565" t="s">
        <v>1</v>
      </c>
      <c r="K115" s="2564">
        <v>8</v>
      </c>
      <c r="L115" s="2565">
        <f t="shared" si="13"/>
        <v>3.8159564217776633E-3</v>
      </c>
      <c r="M115" s="2564">
        <v>2</v>
      </c>
      <c r="N115" s="2565">
        <f>M115/M$4*100</f>
        <v>1.0323912762937155E-3</v>
      </c>
      <c r="O115" s="2558" t="s">
        <v>3242</v>
      </c>
      <c r="P115" s="2565" t="s">
        <v>1</v>
      </c>
      <c r="Q115" s="2558">
        <v>1</v>
      </c>
      <c r="R115" s="2565">
        <f>Q115/Q$4*100</f>
        <v>5.3118028258791034E-4</v>
      </c>
      <c r="S115" s="2558">
        <v>10</v>
      </c>
      <c r="T115" s="2565">
        <f>S115/S$4*100</f>
        <v>5.3561863952865559E-3</v>
      </c>
      <c r="U115" s="2560" t="s">
        <v>1</v>
      </c>
      <c r="V115" s="2561" t="s">
        <v>1</v>
      </c>
    </row>
    <row r="116" spans="1:22" ht="16.5" customHeight="1">
      <c r="A116" s="4080" t="s">
        <v>3903</v>
      </c>
      <c r="B116" s="4080"/>
      <c r="C116" s="2564">
        <v>1</v>
      </c>
      <c r="D116" s="2565">
        <f>C116/C$4*100</f>
        <v>3.5545571199556392E-4</v>
      </c>
      <c r="E116" s="2564">
        <v>1</v>
      </c>
      <c r="F116" s="2565">
        <f>E116/E$4*100</f>
        <v>3.8029175983814785E-4</v>
      </c>
      <c r="G116" s="2564">
        <v>2</v>
      </c>
      <c r="H116" s="2565">
        <f>G116/G$4*100</f>
        <v>8.5614972346363932E-4</v>
      </c>
      <c r="I116" s="2564">
        <v>2</v>
      </c>
      <c r="J116" s="2565">
        <f>I116/I$4*100</f>
        <v>9.5945809806621222E-4</v>
      </c>
      <c r="K116" s="2564">
        <v>1</v>
      </c>
      <c r="L116" s="2565">
        <f t="shared" si="13"/>
        <v>4.7699455272220791E-4</v>
      </c>
      <c r="M116" s="2564">
        <v>1</v>
      </c>
      <c r="N116" s="2565">
        <f>M116/M$4*100</f>
        <v>5.1619563814685773E-4</v>
      </c>
      <c r="O116" s="2558">
        <v>1</v>
      </c>
      <c r="P116" s="2565">
        <f>O116/O$4*100</f>
        <v>5.2164568781592167E-4</v>
      </c>
      <c r="Q116" s="2558" t="s">
        <v>3242</v>
      </c>
      <c r="R116" s="2565" t="s">
        <v>1</v>
      </c>
      <c r="S116" s="2558" t="s">
        <v>3242</v>
      </c>
      <c r="T116" s="2565" t="s">
        <v>1</v>
      </c>
      <c r="U116" s="2560" t="s">
        <v>1</v>
      </c>
      <c r="V116" s="2561" t="s">
        <v>1</v>
      </c>
    </row>
    <row r="117" spans="1:22" ht="16.5" customHeight="1">
      <c r="A117" s="4080" t="s">
        <v>3904</v>
      </c>
      <c r="B117" s="4080"/>
      <c r="C117" s="2564">
        <v>2</v>
      </c>
      <c r="D117" s="2565">
        <f>C117/C$4*100</f>
        <v>7.1091142399112785E-4</v>
      </c>
      <c r="E117" s="2564">
        <v>1</v>
      </c>
      <c r="F117" s="2565">
        <f>E117/E$4*100</f>
        <v>3.8029175983814785E-4</v>
      </c>
      <c r="G117" s="2564">
        <v>2</v>
      </c>
      <c r="H117" s="2565">
        <f>G117/G$4*100</f>
        <v>8.5614972346363932E-4</v>
      </c>
      <c r="I117" s="2564">
        <v>6</v>
      </c>
      <c r="J117" s="2565">
        <f>I117/I$4*100</f>
        <v>2.8783742941986368E-3</v>
      </c>
      <c r="K117" s="2564">
        <v>8</v>
      </c>
      <c r="L117" s="2565">
        <f t="shared" si="13"/>
        <v>3.8159564217776633E-3</v>
      </c>
      <c r="M117" s="2564">
        <v>8</v>
      </c>
      <c r="N117" s="2565">
        <f>M117/M$4*100</f>
        <v>4.1295651051748618E-3</v>
      </c>
      <c r="O117" s="2558">
        <v>1</v>
      </c>
      <c r="P117" s="2565">
        <f>O117/O$4*100</f>
        <v>5.2164568781592167E-4</v>
      </c>
      <c r="Q117" s="2558" t="s">
        <v>3883</v>
      </c>
      <c r="R117" s="2565" t="s">
        <v>1</v>
      </c>
      <c r="S117" s="2558">
        <v>3</v>
      </c>
      <c r="T117" s="2565">
        <f>S117/S$4*100</f>
        <v>1.6068559185859668E-3</v>
      </c>
      <c r="U117" s="2560" t="s">
        <v>1</v>
      </c>
      <c r="V117" s="2561" t="s">
        <v>1</v>
      </c>
    </row>
    <row r="118" spans="1:22" ht="16.5" customHeight="1">
      <c r="A118" s="4080" t="s">
        <v>3905</v>
      </c>
      <c r="B118" s="4080"/>
      <c r="C118" s="2564" t="s">
        <v>3883</v>
      </c>
      <c r="D118" s="2565" t="s">
        <v>1</v>
      </c>
      <c r="E118" s="2564">
        <v>1</v>
      </c>
      <c r="F118" s="2565">
        <f>E118/E$4*100</f>
        <v>3.8029175983814785E-4</v>
      </c>
      <c r="G118" s="2564" t="s">
        <v>3883</v>
      </c>
      <c r="H118" s="2565" t="s">
        <v>1</v>
      </c>
      <c r="I118" s="2564">
        <v>1</v>
      </c>
      <c r="J118" s="2565">
        <f>I118/I$4*100</f>
        <v>4.7972904903310611E-4</v>
      </c>
      <c r="K118" s="2564">
        <v>2</v>
      </c>
      <c r="L118" s="2565">
        <f t="shared" si="13"/>
        <v>9.5398910544441582E-4</v>
      </c>
      <c r="M118" s="2564">
        <v>2</v>
      </c>
      <c r="N118" s="2565">
        <f>M118/M$4*100</f>
        <v>1.0323912762937155E-3</v>
      </c>
      <c r="O118" s="2558" t="s">
        <v>3883</v>
      </c>
      <c r="P118" s="2565" t="s">
        <v>1</v>
      </c>
      <c r="Q118" s="2558">
        <v>3</v>
      </c>
      <c r="R118" s="2565">
        <f>Q118/Q$4*100</f>
        <v>1.593540847763731E-3</v>
      </c>
      <c r="S118" s="2558" t="s">
        <v>3883</v>
      </c>
      <c r="T118" s="2565" t="s">
        <v>1</v>
      </c>
      <c r="U118" s="2560" t="s">
        <v>1</v>
      </c>
      <c r="V118" s="2561" t="s">
        <v>1</v>
      </c>
    </row>
    <row r="119" spans="1:22" ht="16.5" customHeight="1">
      <c r="A119" s="4080" t="s">
        <v>3906</v>
      </c>
      <c r="B119" s="4080"/>
      <c r="C119" s="2564" t="s">
        <v>3883</v>
      </c>
      <c r="D119" s="2565" t="s">
        <v>1</v>
      </c>
      <c r="E119" s="2564">
        <v>1</v>
      </c>
      <c r="F119" s="2565">
        <f>E119/E$4*100</f>
        <v>3.8029175983814785E-4</v>
      </c>
      <c r="G119" s="2564">
        <v>1</v>
      </c>
      <c r="H119" s="2565">
        <f>G119/G$4*100</f>
        <v>4.2807486173181966E-4</v>
      </c>
      <c r="I119" s="2564">
        <v>3</v>
      </c>
      <c r="J119" s="2565">
        <f>I119/I$4*100</f>
        <v>1.4391871470993184E-3</v>
      </c>
      <c r="K119" s="2564" t="s">
        <v>1</v>
      </c>
      <c r="L119" s="2564" t="s">
        <v>1</v>
      </c>
      <c r="M119" s="2564" t="s">
        <v>3242</v>
      </c>
      <c r="N119" s="2565" t="s">
        <v>1</v>
      </c>
      <c r="O119" s="2558" t="s">
        <v>3883</v>
      </c>
      <c r="P119" s="2565" t="s">
        <v>1</v>
      </c>
      <c r="Q119" s="2558">
        <v>1</v>
      </c>
      <c r="R119" s="2565">
        <f>Q119/Q$4*100</f>
        <v>5.3118028258791034E-4</v>
      </c>
      <c r="S119" s="2558" t="s">
        <v>3883</v>
      </c>
      <c r="T119" s="2565" t="s">
        <v>1</v>
      </c>
      <c r="U119" s="2560" t="s">
        <v>1</v>
      </c>
      <c r="V119" s="2561" t="s">
        <v>1</v>
      </c>
    </row>
    <row r="120" spans="1:22" ht="16.5" customHeight="1">
      <c r="A120" s="4080" t="s">
        <v>3907</v>
      </c>
      <c r="B120" s="4080"/>
      <c r="C120" s="2564" t="s">
        <v>3883</v>
      </c>
      <c r="D120" s="2565" t="s">
        <v>1</v>
      </c>
      <c r="E120" s="2564" t="s">
        <v>3883</v>
      </c>
      <c r="F120" s="2565" t="s">
        <v>1</v>
      </c>
      <c r="G120" s="2564" t="s">
        <v>3883</v>
      </c>
      <c r="H120" s="2565" t="s">
        <v>1</v>
      </c>
      <c r="I120" s="2564" t="s">
        <v>1</v>
      </c>
      <c r="J120" s="2565" t="s">
        <v>1</v>
      </c>
      <c r="K120" s="2564" t="s">
        <v>1</v>
      </c>
      <c r="L120" s="2564" t="s">
        <v>1</v>
      </c>
      <c r="M120" s="2564" t="s">
        <v>3242</v>
      </c>
      <c r="N120" s="2565" t="s">
        <v>1</v>
      </c>
      <c r="O120" s="2558" t="s">
        <v>3883</v>
      </c>
      <c r="P120" s="2565" t="s">
        <v>1</v>
      </c>
      <c r="Q120" s="2558">
        <v>1</v>
      </c>
      <c r="R120" s="2565">
        <f>Q120/Q$4*100</f>
        <v>5.3118028258791034E-4</v>
      </c>
      <c r="S120" s="2558">
        <v>1</v>
      </c>
      <c r="T120" s="2565">
        <f>S120/S$4*100</f>
        <v>5.3561863952865559E-4</v>
      </c>
      <c r="U120" s="2560" t="s">
        <v>1</v>
      </c>
      <c r="V120" s="2561" t="s">
        <v>1</v>
      </c>
    </row>
    <row r="121" spans="1:22" ht="16.5" customHeight="1">
      <c r="A121" s="4080" t="s">
        <v>3908</v>
      </c>
      <c r="B121" s="4080"/>
      <c r="C121" s="2564" t="s">
        <v>3883</v>
      </c>
      <c r="D121" s="2565" t="s">
        <v>1</v>
      </c>
      <c r="E121" s="2564" t="s">
        <v>3883</v>
      </c>
      <c r="F121" s="2565" t="s">
        <v>1</v>
      </c>
      <c r="G121" s="2564">
        <v>2</v>
      </c>
      <c r="H121" s="2565">
        <f>G121/G$4*100</f>
        <v>8.5614972346363932E-4</v>
      </c>
      <c r="I121" s="2564" t="s">
        <v>1</v>
      </c>
      <c r="J121" s="2565" t="s">
        <v>1</v>
      </c>
      <c r="K121" s="2564" t="s">
        <v>1</v>
      </c>
      <c r="L121" s="2564" t="s">
        <v>1</v>
      </c>
      <c r="M121" s="2564">
        <v>1</v>
      </c>
      <c r="N121" s="2565">
        <f>M121/M$4*100</f>
        <v>5.1619563814685773E-4</v>
      </c>
      <c r="O121" s="2558" t="s">
        <v>3883</v>
      </c>
      <c r="P121" s="2565" t="s">
        <v>1</v>
      </c>
      <c r="Q121" s="2558" t="s">
        <v>3883</v>
      </c>
      <c r="R121" s="2565" t="s">
        <v>1</v>
      </c>
      <c r="S121" s="2558" t="s">
        <v>3883</v>
      </c>
      <c r="T121" s="2565" t="s">
        <v>1</v>
      </c>
      <c r="U121" s="2560" t="s">
        <v>1</v>
      </c>
      <c r="V121" s="2561" t="s">
        <v>1</v>
      </c>
    </row>
    <row r="122" spans="1:22" ht="16.5" customHeight="1">
      <c r="A122" s="4080" t="s">
        <v>3909</v>
      </c>
      <c r="B122" s="4080"/>
      <c r="C122" s="2564" t="s">
        <v>3242</v>
      </c>
      <c r="D122" s="2565" t="s">
        <v>1</v>
      </c>
      <c r="E122" s="2564" t="s">
        <v>3883</v>
      </c>
      <c r="F122" s="2565" t="s">
        <v>1</v>
      </c>
      <c r="G122" s="2564">
        <v>1</v>
      </c>
      <c r="H122" s="2565">
        <f>G122/G$4*100</f>
        <v>4.2807486173181966E-4</v>
      </c>
      <c r="I122" s="2564" t="s">
        <v>1</v>
      </c>
      <c r="J122" s="2565" t="s">
        <v>1</v>
      </c>
      <c r="K122" s="2564" t="s">
        <v>1</v>
      </c>
      <c r="L122" s="2564" t="s">
        <v>1</v>
      </c>
      <c r="M122" s="2564" t="s">
        <v>3883</v>
      </c>
      <c r="N122" s="2565" t="s">
        <v>1</v>
      </c>
      <c r="O122" s="2558" t="s">
        <v>3883</v>
      </c>
      <c r="P122" s="2565" t="s">
        <v>1</v>
      </c>
      <c r="Q122" s="2558" t="s">
        <v>3883</v>
      </c>
      <c r="R122" s="2565" t="s">
        <v>1</v>
      </c>
      <c r="S122" s="2558" t="s">
        <v>3242</v>
      </c>
      <c r="T122" s="2565" t="s">
        <v>1</v>
      </c>
      <c r="U122" s="2560" t="s">
        <v>1</v>
      </c>
      <c r="V122" s="2561" t="s">
        <v>1</v>
      </c>
    </row>
    <row r="123" spans="1:22" ht="16.5" customHeight="1">
      <c r="A123" s="4080" t="s">
        <v>3910</v>
      </c>
      <c r="B123" s="4080"/>
      <c r="C123" s="2564">
        <v>1</v>
      </c>
      <c r="D123" s="2565">
        <f>C123/C$4*100</f>
        <v>3.5545571199556392E-4</v>
      </c>
      <c r="E123" s="2564" t="s">
        <v>3883</v>
      </c>
      <c r="F123" s="2565" t="s">
        <v>1</v>
      </c>
      <c r="G123" s="2564" t="s">
        <v>3242</v>
      </c>
      <c r="H123" s="2565" t="s">
        <v>1</v>
      </c>
      <c r="I123" s="2564" t="s">
        <v>1</v>
      </c>
      <c r="J123" s="2565" t="s">
        <v>1</v>
      </c>
      <c r="K123" s="2564">
        <v>1</v>
      </c>
      <c r="L123" s="2565">
        <f t="shared" si="13"/>
        <v>4.7699455272220791E-4</v>
      </c>
      <c r="M123" s="2564">
        <v>1</v>
      </c>
      <c r="N123" s="2565">
        <f>M123/M$4*100</f>
        <v>5.1619563814685773E-4</v>
      </c>
      <c r="O123" s="2558">
        <v>1</v>
      </c>
      <c r="P123" s="2565">
        <f>O123/O$4*100</f>
        <v>5.2164568781592167E-4</v>
      </c>
      <c r="Q123" s="2558" t="s">
        <v>3242</v>
      </c>
      <c r="R123" s="2565" t="s">
        <v>1</v>
      </c>
      <c r="S123" s="2558" t="s">
        <v>3883</v>
      </c>
      <c r="T123" s="2565" t="s">
        <v>1</v>
      </c>
      <c r="U123" s="2560" t="s">
        <v>1</v>
      </c>
      <c r="V123" s="2561" t="s">
        <v>1</v>
      </c>
    </row>
    <row r="124" spans="1:22" ht="16.5" customHeight="1">
      <c r="A124" s="4080" t="s">
        <v>3911</v>
      </c>
      <c r="B124" s="4080"/>
      <c r="C124" s="2564" t="s">
        <v>3242</v>
      </c>
      <c r="D124" s="2565" t="s">
        <v>1</v>
      </c>
      <c r="E124" s="2564" t="s">
        <v>3883</v>
      </c>
      <c r="F124" s="2565" t="s">
        <v>1</v>
      </c>
      <c r="G124" s="2564" t="s">
        <v>3242</v>
      </c>
      <c r="H124" s="2565" t="s">
        <v>1</v>
      </c>
      <c r="I124" s="2564" t="s">
        <v>1</v>
      </c>
      <c r="J124" s="2565" t="s">
        <v>1</v>
      </c>
      <c r="K124" s="2564">
        <v>1</v>
      </c>
      <c r="L124" s="2565">
        <f t="shared" si="13"/>
        <v>4.7699455272220791E-4</v>
      </c>
      <c r="M124" s="2564" t="s">
        <v>3242</v>
      </c>
      <c r="N124" s="2565" t="s">
        <v>1</v>
      </c>
      <c r="O124" s="2558" t="s">
        <v>3242</v>
      </c>
      <c r="P124" s="2565" t="s">
        <v>1</v>
      </c>
      <c r="Q124" s="2558" t="s">
        <v>3242</v>
      </c>
      <c r="R124" s="2565" t="s">
        <v>1</v>
      </c>
      <c r="S124" s="2558" t="s">
        <v>3242</v>
      </c>
      <c r="T124" s="2565" t="s">
        <v>1</v>
      </c>
      <c r="U124" s="2560" t="s">
        <v>1</v>
      </c>
      <c r="V124" s="2561" t="s">
        <v>1</v>
      </c>
    </row>
    <row r="125" spans="1:22" ht="16.5" customHeight="1">
      <c r="A125" s="4080" t="s">
        <v>3912</v>
      </c>
      <c r="B125" s="4080"/>
      <c r="C125" s="2564" t="s">
        <v>3242</v>
      </c>
      <c r="D125" s="2565" t="s">
        <v>1</v>
      </c>
      <c r="E125" s="2564">
        <v>1</v>
      </c>
      <c r="F125" s="2565">
        <f>E125/E$4*100</f>
        <v>3.8029175983814785E-4</v>
      </c>
      <c r="G125" s="2564" t="s">
        <v>3242</v>
      </c>
      <c r="H125" s="2565" t="s">
        <v>1</v>
      </c>
      <c r="I125" s="2564">
        <v>1</v>
      </c>
      <c r="J125" s="2565">
        <f>I125/I$4*100</f>
        <v>4.7972904903310611E-4</v>
      </c>
      <c r="K125" s="2564" t="s">
        <v>1</v>
      </c>
      <c r="L125" s="2564" t="s">
        <v>1</v>
      </c>
      <c r="M125" s="2564" t="s">
        <v>3883</v>
      </c>
      <c r="N125" s="2565" t="s">
        <v>1</v>
      </c>
      <c r="O125" s="2558" t="s">
        <v>3883</v>
      </c>
      <c r="P125" s="2565" t="s">
        <v>1</v>
      </c>
      <c r="Q125" s="2558" t="s">
        <v>3242</v>
      </c>
      <c r="R125" s="2565" t="s">
        <v>1</v>
      </c>
      <c r="S125" s="2558" t="s">
        <v>3883</v>
      </c>
      <c r="T125" s="2565" t="s">
        <v>1</v>
      </c>
      <c r="U125" s="2560" t="s">
        <v>1</v>
      </c>
      <c r="V125" s="2561" t="s">
        <v>1</v>
      </c>
    </row>
    <row r="126" spans="1:22" ht="16.5" customHeight="1">
      <c r="A126" s="4080" t="s">
        <v>3913</v>
      </c>
      <c r="B126" s="4080"/>
      <c r="C126" s="2564">
        <v>2</v>
      </c>
      <c r="D126" s="2565">
        <f>C126/C$4*100</f>
        <v>7.1091142399112785E-4</v>
      </c>
      <c r="E126" s="2564" t="s">
        <v>3883</v>
      </c>
      <c r="F126" s="2565" t="s">
        <v>1</v>
      </c>
      <c r="G126" s="2564">
        <v>1</v>
      </c>
      <c r="H126" s="2565">
        <f>G126/G$4*100</f>
        <v>4.2807486173181966E-4</v>
      </c>
      <c r="I126" s="2564">
        <v>1</v>
      </c>
      <c r="J126" s="2565">
        <f>I126/I$4*100</f>
        <v>4.7972904903310611E-4</v>
      </c>
      <c r="K126" s="2564">
        <v>1</v>
      </c>
      <c r="L126" s="2565">
        <f t="shared" si="13"/>
        <v>4.7699455272220791E-4</v>
      </c>
      <c r="M126" s="2564" t="s">
        <v>3883</v>
      </c>
      <c r="N126" s="2565" t="s">
        <v>1</v>
      </c>
      <c r="O126" s="2558">
        <v>2</v>
      </c>
      <c r="P126" s="2565">
        <f>O126/O$4*100</f>
        <v>1.0432913756318433E-3</v>
      </c>
      <c r="Q126" s="2558" t="s">
        <v>3883</v>
      </c>
      <c r="R126" s="2565" t="s">
        <v>1</v>
      </c>
      <c r="S126" s="2558" t="s">
        <v>3242</v>
      </c>
      <c r="T126" s="2565" t="s">
        <v>1</v>
      </c>
      <c r="U126" s="2560" t="s">
        <v>1</v>
      </c>
      <c r="V126" s="2561" t="s">
        <v>1</v>
      </c>
    </row>
    <row r="127" spans="1:22" ht="16.5" customHeight="1">
      <c r="A127" s="4080" t="s">
        <v>3914</v>
      </c>
      <c r="B127" s="4080"/>
      <c r="C127" s="2564" t="s">
        <v>3883</v>
      </c>
      <c r="D127" s="2565" t="s">
        <v>1</v>
      </c>
      <c r="E127" s="2564" t="s">
        <v>3242</v>
      </c>
      <c r="F127" s="2565" t="s">
        <v>1</v>
      </c>
      <c r="G127" s="2564">
        <v>1</v>
      </c>
      <c r="H127" s="2565">
        <f>G127/G$4*100</f>
        <v>4.2807486173181966E-4</v>
      </c>
      <c r="I127" s="2564" t="s">
        <v>1</v>
      </c>
      <c r="J127" s="2565" t="s">
        <v>1</v>
      </c>
      <c r="K127" s="2564" t="s">
        <v>1</v>
      </c>
      <c r="L127" s="2564" t="s">
        <v>1</v>
      </c>
      <c r="M127" s="2564" t="s">
        <v>3242</v>
      </c>
      <c r="N127" s="2565" t="s">
        <v>1</v>
      </c>
      <c r="O127" s="2558" t="s">
        <v>3242</v>
      </c>
      <c r="P127" s="2565" t="s">
        <v>1</v>
      </c>
      <c r="Q127" s="2558" t="s">
        <v>3883</v>
      </c>
      <c r="R127" s="2565" t="s">
        <v>1</v>
      </c>
      <c r="S127" s="2558" t="s">
        <v>3242</v>
      </c>
      <c r="T127" s="2565" t="s">
        <v>1</v>
      </c>
      <c r="U127" s="2560" t="s">
        <v>1</v>
      </c>
      <c r="V127" s="2561" t="s">
        <v>1</v>
      </c>
    </row>
    <row r="128" spans="1:22" ht="16.5" customHeight="1">
      <c r="A128" s="4080" t="s">
        <v>3915</v>
      </c>
      <c r="B128" s="4080"/>
      <c r="C128" s="2564" t="s">
        <v>3883</v>
      </c>
      <c r="D128" s="2565" t="s">
        <v>1</v>
      </c>
      <c r="E128" s="2564">
        <v>3</v>
      </c>
      <c r="F128" s="2565">
        <f>E128/E$4*100</f>
        <v>1.1408752795144435E-3</v>
      </c>
      <c r="G128" s="2564">
        <v>2</v>
      </c>
      <c r="H128" s="2565">
        <f>G128/G$4*100</f>
        <v>8.5614972346363932E-4</v>
      </c>
      <c r="I128" s="2564" t="s">
        <v>1</v>
      </c>
      <c r="J128" s="2565" t="s">
        <v>1</v>
      </c>
      <c r="K128" s="2564" t="s">
        <v>1</v>
      </c>
      <c r="L128" s="2564" t="s">
        <v>1</v>
      </c>
      <c r="M128" s="2564" t="s">
        <v>3242</v>
      </c>
      <c r="N128" s="2565" t="s">
        <v>1</v>
      </c>
      <c r="O128" s="2558" t="s">
        <v>3242</v>
      </c>
      <c r="P128" s="2565" t="s">
        <v>1</v>
      </c>
      <c r="Q128" s="2558" t="s">
        <v>3883</v>
      </c>
      <c r="R128" s="2565" t="s">
        <v>1</v>
      </c>
      <c r="S128" s="2558">
        <v>2</v>
      </c>
      <c r="T128" s="2565">
        <f>S128/S$4*100</f>
        <v>1.0712372790573112E-3</v>
      </c>
      <c r="U128" s="2560" t="s">
        <v>1</v>
      </c>
      <c r="V128" s="2561" t="s">
        <v>1</v>
      </c>
    </row>
    <row r="129" spans="1:22" ht="16.5" customHeight="1">
      <c r="A129" s="4080" t="s">
        <v>3916</v>
      </c>
      <c r="B129" s="4080"/>
      <c r="C129" s="2564" t="s">
        <v>3883</v>
      </c>
      <c r="D129" s="2565" t="s">
        <v>1</v>
      </c>
      <c r="E129" s="2564" t="s">
        <v>3242</v>
      </c>
      <c r="F129" s="2565" t="s">
        <v>1</v>
      </c>
      <c r="G129" s="2564" t="s">
        <v>3242</v>
      </c>
      <c r="H129" s="2565" t="s">
        <v>1</v>
      </c>
      <c r="I129" s="2564" t="s">
        <v>1</v>
      </c>
      <c r="J129" s="2565" t="s">
        <v>1</v>
      </c>
      <c r="K129" s="2564" t="s">
        <v>1</v>
      </c>
      <c r="L129" s="2564" t="s">
        <v>1</v>
      </c>
      <c r="M129" s="2564">
        <v>1</v>
      </c>
      <c r="N129" s="2565">
        <f>M129/M$4*100</f>
        <v>5.1619563814685773E-4</v>
      </c>
      <c r="O129" s="2558" t="s">
        <v>3242</v>
      </c>
      <c r="P129" s="2565" t="s">
        <v>1</v>
      </c>
      <c r="Q129" s="2558" t="s">
        <v>3242</v>
      </c>
      <c r="R129" s="2565" t="s">
        <v>1</v>
      </c>
      <c r="S129" s="2558">
        <v>1</v>
      </c>
      <c r="T129" s="2565">
        <f>S129/S$4*100</f>
        <v>5.3561863952865559E-4</v>
      </c>
      <c r="U129" s="2560" t="s">
        <v>1</v>
      </c>
      <c r="V129" s="2561" t="s">
        <v>1</v>
      </c>
    </row>
    <row r="130" spans="1:22" ht="16.5" customHeight="1">
      <c r="A130" s="4080" t="s">
        <v>3917</v>
      </c>
      <c r="B130" s="4080"/>
      <c r="C130" s="2564" t="s">
        <v>3242</v>
      </c>
      <c r="D130" s="2565" t="s">
        <v>1</v>
      </c>
      <c r="E130" s="2564">
        <v>3</v>
      </c>
      <c r="F130" s="2565">
        <f>E130/E$4*100</f>
        <v>1.1408752795144435E-3</v>
      </c>
      <c r="G130" s="2564" t="s">
        <v>3242</v>
      </c>
      <c r="H130" s="2565" t="s">
        <v>1</v>
      </c>
      <c r="I130" s="2564" t="s">
        <v>1</v>
      </c>
      <c r="J130" s="2565" t="s">
        <v>1</v>
      </c>
      <c r="K130" s="2564" t="s">
        <v>1</v>
      </c>
      <c r="L130" s="2564" t="s">
        <v>1</v>
      </c>
      <c r="M130" s="2564" t="s">
        <v>3242</v>
      </c>
      <c r="N130" s="2565" t="s">
        <v>1</v>
      </c>
      <c r="O130" s="2558">
        <v>1</v>
      </c>
      <c r="P130" s="2565">
        <f>O130/O$4*100</f>
        <v>5.2164568781592167E-4</v>
      </c>
      <c r="Q130" s="2558" t="s">
        <v>3242</v>
      </c>
      <c r="R130" s="2565" t="s">
        <v>1</v>
      </c>
      <c r="S130" s="2558" t="s">
        <v>3242</v>
      </c>
      <c r="T130" s="2565" t="s">
        <v>1</v>
      </c>
      <c r="U130" s="2560" t="s">
        <v>1</v>
      </c>
      <c r="V130" s="2561" t="s">
        <v>1</v>
      </c>
    </row>
    <row r="131" spans="1:22" ht="16.5" customHeight="1">
      <c r="A131" s="4080" t="s">
        <v>3918</v>
      </c>
      <c r="B131" s="4080"/>
      <c r="C131" s="2564">
        <v>1</v>
      </c>
      <c r="D131" s="2565">
        <f>C131/C$4*100</f>
        <v>3.5545571199556392E-4</v>
      </c>
      <c r="E131" s="2564">
        <v>1</v>
      </c>
      <c r="F131" s="2565">
        <f>E131/E$4*100</f>
        <v>3.8029175983814785E-4</v>
      </c>
      <c r="G131" s="2564">
        <v>1</v>
      </c>
      <c r="H131" s="2565">
        <f>G131/G$4*100</f>
        <v>4.2807486173181966E-4</v>
      </c>
      <c r="I131" s="2564" t="s">
        <v>1</v>
      </c>
      <c r="J131" s="2565" t="s">
        <v>1</v>
      </c>
      <c r="K131" s="2564" t="s">
        <v>1</v>
      </c>
      <c r="L131" s="2564" t="s">
        <v>1</v>
      </c>
      <c r="M131" s="2564">
        <v>2</v>
      </c>
      <c r="N131" s="2565">
        <f>M131/M$4*100</f>
        <v>1.0323912762937155E-3</v>
      </c>
      <c r="O131" s="2558">
        <v>1</v>
      </c>
      <c r="P131" s="2565">
        <f>O131/O$4*100</f>
        <v>5.2164568781592167E-4</v>
      </c>
      <c r="Q131" s="2558">
        <v>1</v>
      </c>
      <c r="R131" s="2565">
        <f>Q131/Q$4*100</f>
        <v>5.3118028258791034E-4</v>
      </c>
      <c r="S131" s="2558" t="s">
        <v>3242</v>
      </c>
      <c r="T131" s="2565" t="s">
        <v>1</v>
      </c>
      <c r="U131" s="2560" t="s">
        <v>1</v>
      </c>
      <c r="V131" s="2561" t="s">
        <v>1</v>
      </c>
    </row>
    <row r="132" spans="1:22" ht="16.5" customHeight="1">
      <c r="A132" s="4080" t="s">
        <v>3919</v>
      </c>
      <c r="B132" s="4080"/>
      <c r="C132" s="2564" t="s">
        <v>3883</v>
      </c>
      <c r="D132" s="2565" t="s">
        <v>1</v>
      </c>
      <c r="E132" s="2564">
        <v>1</v>
      </c>
      <c r="F132" s="2565">
        <f>E132/E$4*100</f>
        <v>3.8029175983814785E-4</v>
      </c>
      <c r="G132" s="2564" t="s">
        <v>3242</v>
      </c>
      <c r="H132" s="2565" t="s">
        <v>1</v>
      </c>
      <c r="I132" s="2564" t="s">
        <v>1</v>
      </c>
      <c r="J132" s="2565" t="s">
        <v>1</v>
      </c>
      <c r="K132" s="2564" t="s">
        <v>1</v>
      </c>
      <c r="L132" s="2564" t="s">
        <v>1</v>
      </c>
      <c r="M132" s="2564" t="s">
        <v>3242</v>
      </c>
      <c r="N132" s="2565" t="s">
        <v>1</v>
      </c>
      <c r="O132" s="2558" t="s">
        <v>3883</v>
      </c>
      <c r="P132" s="2565" t="s">
        <v>1</v>
      </c>
      <c r="Q132" s="2558" t="s">
        <v>3242</v>
      </c>
      <c r="R132" s="2565" t="s">
        <v>1</v>
      </c>
      <c r="S132" s="2558" t="s">
        <v>3242</v>
      </c>
      <c r="T132" s="2565" t="s">
        <v>1</v>
      </c>
      <c r="U132" s="2560" t="s">
        <v>1</v>
      </c>
      <c r="V132" s="2561" t="s">
        <v>1</v>
      </c>
    </row>
    <row r="133" spans="1:22" ht="16.5" customHeight="1">
      <c r="A133" s="4080" t="s">
        <v>3920</v>
      </c>
      <c r="B133" s="4080"/>
      <c r="C133" s="2564">
        <v>1</v>
      </c>
      <c r="D133" s="2565">
        <f>C133/C$4*100</f>
        <v>3.5545571199556392E-4</v>
      </c>
      <c r="E133" s="2564" t="s">
        <v>3242</v>
      </c>
      <c r="F133" s="2565" t="s">
        <v>1</v>
      </c>
      <c r="G133" s="2564" t="s">
        <v>3242</v>
      </c>
      <c r="H133" s="2565" t="s">
        <v>1</v>
      </c>
      <c r="I133" s="2564" t="s">
        <v>1</v>
      </c>
      <c r="J133" s="2565" t="s">
        <v>1</v>
      </c>
      <c r="K133" s="2564" t="s">
        <v>1</v>
      </c>
      <c r="L133" s="2564" t="s">
        <v>1</v>
      </c>
      <c r="M133" s="2564" t="s">
        <v>3242</v>
      </c>
      <c r="N133" s="2565" t="s">
        <v>1</v>
      </c>
      <c r="O133" s="2558" t="s">
        <v>3242</v>
      </c>
      <c r="P133" s="2565" t="s">
        <v>1</v>
      </c>
      <c r="Q133" s="2558" t="s">
        <v>3242</v>
      </c>
      <c r="R133" s="2565" t="s">
        <v>1</v>
      </c>
      <c r="S133" s="2558" t="s">
        <v>3242</v>
      </c>
      <c r="T133" s="2565" t="s">
        <v>1</v>
      </c>
      <c r="U133" s="2560" t="s">
        <v>1</v>
      </c>
      <c r="V133" s="2561" t="s">
        <v>1</v>
      </c>
    </row>
    <row r="134" spans="1:22" ht="16.5" customHeight="1">
      <c r="A134" s="4080" t="s">
        <v>3921</v>
      </c>
      <c r="B134" s="4080"/>
      <c r="C134" s="2564">
        <v>4</v>
      </c>
      <c r="D134" s="2565">
        <f>C134/C$4*100</f>
        <v>1.4218228479822557E-3</v>
      </c>
      <c r="E134" s="2564">
        <v>2</v>
      </c>
      <c r="F134" s="2565">
        <f>E134/E$4*100</f>
        <v>7.6058351967629571E-4</v>
      </c>
      <c r="G134" s="2564" t="s">
        <v>3883</v>
      </c>
      <c r="H134" s="2565" t="s">
        <v>1</v>
      </c>
      <c r="I134" s="2564" t="s">
        <v>1</v>
      </c>
      <c r="J134" s="2565" t="s">
        <v>1</v>
      </c>
      <c r="K134" s="2564" t="s">
        <v>1</v>
      </c>
      <c r="L134" s="2564" t="s">
        <v>1</v>
      </c>
      <c r="M134" s="2564" t="s">
        <v>3242</v>
      </c>
      <c r="N134" s="2565" t="s">
        <v>1</v>
      </c>
      <c r="O134" s="2558" t="s">
        <v>3242</v>
      </c>
      <c r="P134" s="2565" t="s">
        <v>1</v>
      </c>
      <c r="Q134" s="2558">
        <v>1</v>
      </c>
      <c r="R134" s="2565">
        <f>Q134/Q$4*100</f>
        <v>5.3118028258791034E-4</v>
      </c>
      <c r="S134" s="2558" t="s">
        <v>3883</v>
      </c>
      <c r="T134" s="2565" t="s">
        <v>1</v>
      </c>
      <c r="U134" s="2560" t="s">
        <v>1</v>
      </c>
      <c r="V134" s="2561" t="s">
        <v>1</v>
      </c>
    </row>
    <row r="135" spans="1:22" ht="16.5" customHeight="1">
      <c r="A135" s="4080" t="s">
        <v>3922</v>
      </c>
      <c r="B135" s="4080"/>
      <c r="C135" s="2564" t="s">
        <v>3883</v>
      </c>
      <c r="D135" s="2565" t="s">
        <v>1</v>
      </c>
      <c r="E135" s="2564" t="s">
        <v>3242</v>
      </c>
      <c r="F135" s="2565" t="s">
        <v>1</v>
      </c>
      <c r="G135" s="2564" t="s">
        <v>3242</v>
      </c>
      <c r="H135" s="2565" t="s">
        <v>1</v>
      </c>
      <c r="I135" s="2564" t="s">
        <v>1</v>
      </c>
      <c r="J135" s="2565" t="s">
        <v>1</v>
      </c>
      <c r="K135" s="2564">
        <v>1</v>
      </c>
      <c r="L135" s="2565">
        <f t="shared" ref="L135:L145" si="24">K135/K$4*100</f>
        <v>4.7699455272220791E-4</v>
      </c>
      <c r="M135" s="2564" t="s">
        <v>3242</v>
      </c>
      <c r="N135" s="2565" t="s">
        <v>1</v>
      </c>
      <c r="O135" s="2558" t="s">
        <v>3242</v>
      </c>
      <c r="P135" s="2565" t="s">
        <v>1</v>
      </c>
      <c r="Q135" s="2558" t="s">
        <v>3883</v>
      </c>
      <c r="R135" s="2565" t="s">
        <v>1</v>
      </c>
      <c r="S135" s="2558" t="s">
        <v>3242</v>
      </c>
      <c r="T135" s="2565" t="s">
        <v>1</v>
      </c>
      <c r="U135" s="2560" t="s">
        <v>1</v>
      </c>
      <c r="V135" s="2561" t="s">
        <v>1</v>
      </c>
    </row>
    <row r="136" spans="1:22" ht="16.5" customHeight="1">
      <c r="A136" s="4080" t="s">
        <v>3923</v>
      </c>
      <c r="B136" s="4080"/>
      <c r="C136" s="2564">
        <v>2</v>
      </c>
      <c r="D136" s="2565">
        <f>C136/C$4*100</f>
        <v>7.1091142399112785E-4</v>
      </c>
      <c r="E136" s="2564" t="s">
        <v>3242</v>
      </c>
      <c r="F136" s="2565" t="s">
        <v>1</v>
      </c>
      <c r="G136" s="2564">
        <v>2</v>
      </c>
      <c r="H136" s="2565">
        <f>G136/G$4*100</f>
        <v>8.5614972346363932E-4</v>
      </c>
      <c r="I136" s="2564">
        <v>2</v>
      </c>
      <c r="J136" s="2565">
        <f>I136/I$4*100</f>
        <v>9.5945809806621222E-4</v>
      </c>
      <c r="K136" s="2564" t="s">
        <v>1</v>
      </c>
      <c r="L136" s="2564" t="s">
        <v>1</v>
      </c>
      <c r="M136" s="2564" t="s">
        <v>3242</v>
      </c>
      <c r="N136" s="2565" t="s">
        <v>1</v>
      </c>
      <c r="O136" s="2558" t="s">
        <v>3242</v>
      </c>
      <c r="P136" s="2565" t="s">
        <v>1</v>
      </c>
      <c r="Q136" s="2558" t="s">
        <v>3242</v>
      </c>
      <c r="R136" s="2565" t="s">
        <v>1</v>
      </c>
      <c r="S136" s="2558" t="s">
        <v>3242</v>
      </c>
      <c r="T136" s="2565" t="s">
        <v>1</v>
      </c>
      <c r="U136" s="2560" t="s">
        <v>1</v>
      </c>
      <c r="V136" s="2561" t="s">
        <v>1</v>
      </c>
    </row>
    <row r="137" spans="1:22" ht="16.5" customHeight="1">
      <c r="A137" s="4080" t="s">
        <v>3924</v>
      </c>
      <c r="B137" s="4080"/>
      <c r="C137" s="2564">
        <v>6</v>
      </c>
      <c r="D137" s="2565">
        <f>C137/C$4*100</f>
        <v>2.1327342719733838E-3</v>
      </c>
      <c r="E137" s="2564">
        <v>18</v>
      </c>
      <c r="F137" s="2565">
        <f>E137/E$4*100</f>
        <v>6.8452516770866603E-3</v>
      </c>
      <c r="G137" s="2564">
        <v>2</v>
      </c>
      <c r="H137" s="2565">
        <f>G137/G$4*100</f>
        <v>8.5614972346363932E-4</v>
      </c>
      <c r="I137" s="2564">
        <v>5</v>
      </c>
      <c r="J137" s="2565">
        <f>I137/I$4*100</f>
        <v>2.3986452451655303E-3</v>
      </c>
      <c r="K137" s="2564" t="s">
        <v>1</v>
      </c>
      <c r="L137" s="2564" t="s">
        <v>1</v>
      </c>
      <c r="M137" s="2564">
        <v>1</v>
      </c>
      <c r="N137" s="2565">
        <f>M137/M$4*100</f>
        <v>5.1619563814685773E-4</v>
      </c>
      <c r="O137" s="2558" t="s">
        <v>3883</v>
      </c>
      <c r="P137" s="2565" t="s">
        <v>1</v>
      </c>
      <c r="Q137" s="2558">
        <v>2</v>
      </c>
      <c r="R137" s="2565">
        <f>Q137/Q$4*100</f>
        <v>1.0623605651758207E-3</v>
      </c>
      <c r="S137" s="2558">
        <v>4</v>
      </c>
      <c r="T137" s="2565">
        <f>S137/S$4*100</f>
        <v>2.1424745581146223E-3</v>
      </c>
      <c r="U137" s="2560" t="s">
        <v>1</v>
      </c>
      <c r="V137" s="2561" t="s">
        <v>1</v>
      </c>
    </row>
    <row r="138" spans="1:22" ht="16.5" customHeight="1">
      <c r="A138" s="4080" t="s">
        <v>3925</v>
      </c>
      <c r="B138" s="4080"/>
      <c r="C138" s="2564" t="s">
        <v>3242</v>
      </c>
      <c r="D138" s="2565" t="s">
        <v>1</v>
      </c>
      <c r="E138" s="2564" t="s">
        <v>3883</v>
      </c>
      <c r="F138" s="2565" t="s">
        <v>1</v>
      </c>
      <c r="G138" s="2564" t="s">
        <v>3242</v>
      </c>
      <c r="H138" s="2565" t="s">
        <v>1</v>
      </c>
      <c r="I138" s="2564" t="s">
        <v>1</v>
      </c>
      <c r="J138" s="2565" t="s">
        <v>1</v>
      </c>
      <c r="K138" s="2564">
        <v>1</v>
      </c>
      <c r="L138" s="2565">
        <f t="shared" si="24"/>
        <v>4.7699455272220791E-4</v>
      </c>
      <c r="M138" s="2564">
        <v>1</v>
      </c>
      <c r="N138" s="2565">
        <f>M138/M$4*100</f>
        <v>5.1619563814685773E-4</v>
      </c>
      <c r="O138" s="2558" t="s">
        <v>3242</v>
      </c>
      <c r="P138" s="2565" t="s">
        <v>1</v>
      </c>
      <c r="Q138" s="2558" t="s">
        <v>3242</v>
      </c>
      <c r="R138" s="2565" t="s">
        <v>1</v>
      </c>
      <c r="S138" s="2558" t="s">
        <v>3242</v>
      </c>
      <c r="T138" s="2565" t="s">
        <v>1</v>
      </c>
      <c r="U138" s="2560" t="s">
        <v>1</v>
      </c>
      <c r="V138" s="2561" t="s">
        <v>1</v>
      </c>
    </row>
    <row r="139" spans="1:22" ht="16.5" customHeight="1">
      <c r="A139" s="4080" t="s">
        <v>3926</v>
      </c>
      <c r="B139" s="4080"/>
      <c r="C139" s="2564">
        <v>13</v>
      </c>
      <c r="D139" s="2565">
        <f>C139/C$4*100</f>
        <v>4.6209242559423309E-3</v>
      </c>
      <c r="E139" s="2564">
        <v>7</v>
      </c>
      <c r="F139" s="2565">
        <f>E139/E$4*100</f>
        <v>2.6620423188670347E-3</v>
      </c>
      <c r="G139" s="2564">
        <v>3</v>
      </c>
      <c r="H139" s="2565">
        <f>G139/G$4*100</f>
        <v>1.284224585195459E-3</v>
      </c>
      <c r="I139" s="2564">
        <v>7</v>
      </c>
      <c r="J139" s="2565">
        <f>I139/I$4*100</f>
        <v>3.3581033432317428E-3</v>
      </c>
      <c r="K139" s="2564">
        <v>26</v>
      </c>
      <c r="L139" s="2565">
        <f t="shared" si="24"/>
        <v>1.2401858370777405E-2</v>
      </c>
      <c r="M139" s="2564" t="s">
        <v>3242</v>
      </c>
      <c r="N139" s="2565" t="s">
        <v>1</v>
      </c>
      <c r="O139" s="2558">
        <v>1</v>
      </c>
      <c r="P139" s="2565">
        <f>O139/O$4*100</f>
        <v>5.2164568781592167E-4</v>
      </c>
      <c r="Q139" s="2558">
        <v>2</v>
      </c>
      <c r="R139" s="2565">
        <f>Q139/Q$4*100</f>
        <v>1.0623605651758207E-3</v>
      </c>
      <c r="S139" s="2558">
        <v>2</v>
      </c>
      <c r="T139" s="2565">
        <f>S139/S$4*100</f>
        <v>1.0712372790573112E-3</v>
      </c>
      <c r="U139" s="2560" t="s">
        <v>1</v>
      </c>
      <c r="V139" s="2561" t="s">
        <v>1</v>
      </c>
    </row>
    <row r="140" spans="1:22" ht="16.5" customHeight="1">
      <c r="A140" s="4080" t="s">
        <v>3927</v>
      </c>
      <c r="B140" s="4080"/>
      <c r="C140" s="2564">
        <v>1</v>
      </c>
      <c r="D140" s="2565">
        <f>C140/C$4*100</f>
        <v>3.5545571199556392E-4</v>
      </c>
      <c r="E140" s="2564" t="s">
        <v>3928</v>
      </c>
      <c r="F140" s="2565" t="s">
        <v>1</v>
      </c>
      <c r="G140" s="2564" t="s">
        <v>3928</v>
      </c>
      <c r="H140" s="2565" t="s">
        <v>1</v>
      </c>
      <c r="I140" s="2564" t="s">
        <v>1</v>
      </c>
      <c r="J140" s="2565" t="s">
        <v>1</v>
      </c>
      <c r="K140" s="2564" t="s">
        <v>1</v>
      </c>
      <c r="L140" s="2564" t="s">
        <v>1</v>
      </c>
      <c r="M140" s="2564" t="s">
        <v>3928</v>
      </c>
      <c r="N140" s="2565" t="s">
        <v>1</v>
      </c>
      <c r="O140" s="2558">
        <v>1</v>
      </c>
      <c r="P140" s="2565">
        <f>O140/O$4*100</f>
        <v>5.2164568781592167E-4</v>
      </c>
      <c r="Q140" s="2558">
        <v>1</v>
      </c>
      <c r="R140" s="2565">
        <f>Q140/Q$4*100</f>
        <v>5.3118028258791034E-4</v>
      </c>
      <c r="S140" s="2558" t="s">
        <v>3928</v>
      </c>
      <c r="T140" s="2565" t="s">
        <v>1</v>
      </c>
      <c r="U140" s="2560" t="s">
        <v>1</v>
      </c>
      <c r="V140" s="2561" t="s">
        <v>1</v>
      </c>
    </row>
    <row r="141" spans="1:22" ht="16.5" customHeight="1">
      <c r="A141" s="4080" t="s">
        <v>3929</v>
      </c>
      <c r="B141" s="4080"/>
      <c r="C141" s="2564">
        <v>1</v>
      </c>
      <c r="D141" s="2565">
        <f>C141/C$4*100</f>
        <v>3.5545571199556392E-4</v>
      </c>
      <c r="E141" s="2564" t="s">
        <v>3928</v>
      </c>
      <c r="F141" s="2565" t="s">
        <v>1</v>
      </c>
      <c r="G141" s="2564" t="s">
        <v>3928</v>
      </c>
      <c r="H141" s="2565" t="s">
        <v>1</v>
      </c>
      <c r="I141" s="2564" t="s">
        <v>1</v>
      </c>
      <c r="J141" s="2565" t="s">
        <v>1</v>
      </c>
      <c r="K141" s="2564" t="s">
        <v>1</v>
      </c>
      <c r="L141" s="2564" t="s">
        <v>1</v>
      </c>
      <c r="M141" s="2564" t="s">
        <v>3928</v>
      </c>
      <c r="N141" s="2565" t="s">
        <v>1</v>
      </c>
      <c r="O141" s="2558" t="s">
        <v>3928</v>
      </c>
      <c r="P141" s="2565" t="s">
        <v>1</v>
      </c>
      <c r="Q141" s="2558" t="s">
        <v>3242</v>
      </c>
      <c r="R141" s="2565" t="s">
        <v>1</v>
      </c>
      <c r="S141" s="2558" t="s">
        <v>3928</v>
      </c>
      <c r="T141" s="2565" t="s">
        <v>1</v>
      </c>
      <c r="U141" s="2560" t="s">
        <v>1</v>
      </c>
      <c r="V141" s="2561" t="s">
        <v>1</v>
      </c>
    </row>
    <row r="142" spans="1:22" ht="16.5" customHeight="1">
      <c r="A142" s="4080" t="s">
        <v>3930</v>
      </c>
      <c r="B142" s="4080"/>
      <c r="C142" s="2564">
        <v>1</v>
      </c>
      <c r="D142" s="2565">
        <f>C142/C$4*100</f>
        <v>3.5545571199556392E-4</v>
      </c>
      <c r="E142" s="2564" t="s">
        <v>3928</v>
      </c>
      <c r="F142" s="2565" t="s">
        <v>1</v>
      </c>
      <c r="G142" s="2564" t="s">
        <v>3928</v>
      </c>
      <c r="H142" s="2565" t="s">
        <v>1</v>
      </c>
      <c r="I142" s="2564" t="s">
        <v>1</v>
      </c>
      <c r="J142" s="2565" t="s">
        <v>1</v>
      </c>
      <c r="K142" s="2564" t="s">
        <v>1</v>
      </c>
      <c r="L142" s="2564" t="s">
        <v>1</v>
      </c>
      <c r="M142" s="2564" t="s">
        <v>3928</v>
      </c>
      <c r="N142" s="2565" t="s">
        <v>1</v>
      </c>
      <c r="O142" s="2558" t="s">
        <v>3928</v>
      </c>
      <c r="P142" s="2565" t="s">
        <v>1</v>
      </c>
      <c r="Q142" s="2558">
        <v>1</v>
      </c>
      <c r="R142" s="2565">
        <f>Q142/Q$4*100</f>
        <v>5.3118028258791034E-4</v>
      </c>
      <c r="S142" s="2558" t="s">
        <v>3928</v>
      </c>
      <c r="T142" s="2565" t="s">
        <v>1</v>
      </c>
      <c r="U142" s="2560" t="s">
        <v>1</v>
      </c>
      <c r="V142" s="2561" t="s">
        <v>1</v>
      </c>
    </row>
    <row r="143" spans="1:22" ht="16.5" customHeight="1">
      <c r="A143" s="4080" t="s">
        <v>3931</v>
      </c>
      <c r="B143" s="4080"/>
      <c r="C143" s="2564" t="s">
        <v>3928</v>
      </c>
      <c r="D143" s="2565" t="s">
        <v>1</v>
      </c>
      <c r="E143" s="2564" t="s">
        <v>3928</v>
      </c>
      <c r="F143" s="2565" t="s">
        <v>1</v>
      </c>
      <c r="G143" s="2564" t="s">
        <v>3928</v>
      </c>
      <c r="H143" s="2565" t="s">
        <v>1</v>
      </c>
      <c r="I143" s="2564">
        <v>3</v>
      </c>
      <c r="J143" s="2565" t="s">
        <v>1</v>
      </c>
      <c r="K143" s="2564">
        <v>1</v>
      </c>
      <c r="L143" s="2565">
        <f t="shared" si="24"/>
        <v>4.7699455272220791E-4</v>
      </c>
      <c r="M143" s="2564" t="s">
        <v>3928</v>
      </c>
      <c r="N143" s="2565" t="s">
        <v>1</v>
      </c>
      <c r="O143" s="2558" t="s">
        <v>3928</v>
      </c>
      <c r="P143" s="2565" t="s">
        <v>1</v>
      </c>
      <c r="Q143" s="2558">
        <v>12</v>
      </c>
      <c r="R143" s="2565">
        <f>Q143/Q$4*100</f>
        <v>6.3741633910549241E-3</v>
      </c>
      <c r="S143" s="2558" t="s">
        <v>3928</v>
      </c>
      <c r="T143" s="2565" t="s">
        <v>1</v>
      </c>
      <c r="U143" s="2560" t="s">
        <v>1</v>
      </c>
      <c r="V143" s="2561" t="s">
        <v>1</v>
      </c>
    </row>
    <row r="144" spans="1:22" ht="16.5" customHeight="1">
      <c r="A144" s="4080" t="s">
        <v>3932</v>
      </c>
      <c r="B144" s="4080"/>
      <c r="C144" s="2564">
        <v>97</v>
      </c>
      <c r="D144" s="2565">
        <f t="shared" ref="D144:D152" si="25">C144/C$4*100</f>
        <v>3.4479204063569698E-2</v>
      </c>
      <c r="E144" s="2564">
        <v>70</v>
      </c>
      <c r="F144" s="2565">
        <f>E144/E$4*100</f>
        <v>2.6620423188670351E-2</v>
      </c>
      <c r="G144" s="2564">
        <v>61</v>
      </c>
      <c r="H144" s="2565">
        <f>G144/G$4*100</f>
        <v>2.6112566565641E-2</v>
      </c>
      <c r="I144" s="2564">
        <v>65</v>
      </c>
      <c r="J144" s="2565">
        <f>I144/I$4*100</f>
        <v>3.1182388187151897E-2</v>
      </c>
      <c r="K144" s="2564">
        <v>65</v>
      </c>
      <c r="L144" s="2565">
        <f t="shared" si="24"/>
        <v>3.1004645926943516E-2</v>
      </c>
      <c r="M144" s="2564">
        <v>131</v>
      </c>
      <c r="N144" s="2565">
        <f>M144/M$4*100</f>
        <v>6.7621628597238359E-2</v>
      </c>
      <c r="O144" s="2558">
        <v>117</v>
      </c>
      <c r="P144" s="2565">
        <f>O144/O$4*100</f>
        <v>6.1032545474462838E-2</v>
      </c>
      <c r="Q144" s="2558">
        <v>11</v>
      </c>
      <c r="R144" s="2565">
        <f>Q144/Q$4*100</f>
        <v>5.8429831084670135E-3</v>
      </c>
      <c r="S144" s="2558" t="s">
        <v>3928</v>
      </c>
      <c r="T144" s="2565" t="s">
        <v>1</v>
      </c>
      <c r="U144" s="2560" t="s">
        <v>1</v>
      </c>
      <c r="V144" s="2561" t="s">
        <v>1</v>
      </c>
    </row>
    <row r="145" spans="1:22" ht="16.5" customHeight="1">
      <c r="A145" s="4080" t="s">
        <v>3933</v>
      </c>
      <c r="B145" s="4080"/>
      <c r="C145" s="2564">
        <v>1</v>
      </c>
      <c r="D145" s="2565">
        <f t="shared" si="25"/>
        <v>3.5545571199556392E-4</v>
      </c>
      <c r="E145" s="2564" t="s">
        <v>3928</v>
      </c>
      <c r="F145" s="2565" t="s">
        <v>1</v>
      </c>
      <c r="G145" s="2564">
        <v>1</v>
      </c>
      <c r="H145" s="2565">
        <f>G145/G$4*100</f>
        <v>4.2807486173181966E-4</v>
      </c>
      <c r="I145" s="2564">
        <v>2</v>
      </c>
      <c r="J145" s="2565">
        <f>I145/I$4*100</f>
        <v>9.5945809806621222E-4</v>
      </c>
      <c r="K145" s="2564">
        <v>1</v>
      </c>
      <c r="L145" s="2565">
        <f t="shared" si="24"/>
        <v>4.7699455272220791E-4</v>
      </c>
      <c r="M145" s="2564" t="s">
        <v>3928</v>
      </c>
      <c r="N145" s="2565" t="s">
        <v>1</v>
      </c>
      <c r="O145" s="2558">
        <v>1</v>
      </c>
      <c r="P145" s="2565">
        <f>O145/O$4*100</f>
        <v>5.2164568781592167E-4</v>
      </c>
      <c r="Q145" s="2558" t="s">
        <v>3928</v>
      </c>
      <c r="R145" s="2565" t="s">
        <v>1</v>
      </c>
      <c r="S145" s="2558">
        <v>1</v>
      </c>
      <c r="T145" s="2565">
        <f>S145/S$4*100</f>
        <v>5.3561863952865559E-4</v>
      </c>
      <c r="U145" s="2560" t="s">
        <v>1</v>
      </c>
      <c r="V145" s="2561" t="s">
        <v>1</v>
      </c>
    </row>
    <row r="146" spans="1:22" ht="16.5" customHeight="1">
      <c r="A146" s="4080" t="s">
        <v>3934</v>
      </c>
      <c r="B146" s="4080"/>
      <c r="C146" s="2564">
        <v>1</v>
      </c>
      <c r="D146" s="2565">
        <f t="shared" si="25"/>
        <v>3.5545571199556392E-4</v>
      </c>
      <c r="E146" s="2564" t="s">
        <v>3242</v>
      </c>
      <c r="F146" s="2565" t="s">
        <v>1</v>
      </c>
      <c r="G146" s="2564" t="s">
        <v>3242</v>
      </c>
      <c r="H146" s="2565" t="s">
        <v>1</v>
      </c>
      <c r="I146" s="2564" t="s">
        <v>1</v>
      </c>
      <c r="J146" s="2565" t="s">
        <v>1</v>
      </c>
      <c r="K146" s="2564" t="s">
        <v>1</v>
      </c>
      <c r="L146" s="2564" t="s">
        <v>1</v>
      </c>
      <c r="M146" s="2564" t="s">
        <v>3928</v>
      </c>
      <c r="N146" s="2565" t="s">
        <v>1</v>
      </c>
      <c r="O146" s="2558" t="s">
        <v>3928</v>
      </c>
      <c r="P146" s="2565" t="s">
        <v>1</v>
      </c>
      <c r="Q146" s="2558" t="s">
        <v>3242</v>
      </c>
      <c r="R146" s="2565" t="s">
        <v>1</v>
      </c>
      <c r="S146" s="2558" t="s">
        <v>3928</v>
      </c>
      <c r="T146" s="2565" t="s">
        <v>1</v>
      </c>
      <c r="U146" s="2560" t="s">
        <v>1</v>
      </c>
      <c r="V146" s="2561" t="s">
        <v>1</v>
      </c>
    </row>
    <row r="147" spans="1:22" ht="16.5" customHeight="1">
      <c r="A147" s="4080" t="s">
        <v>3935</v>
      </c>
      <c r="B147" s="4080"/>
      <c r="C147" s="2564">
        <v>2</v>
      </c>
      <c r="D147" s="2565">
        <f t="shared" si="25"/>
        <v>7.1091142399112785E-4</v>
      </c>
      <c r="E147" s="2564" t="s">
        <v>3928</v>
      </c>
      <c r="F147" s="2565" t="s">
        <v>1</v>
      </c>
      <c r="G147" s="2564" t="s">
        <v>3242</v>
      </c>
      <c r="H147" s="2565" t="s">
        <v>1</v>
      </c>
      <c r="I147" s="2564" t="s">
        <v>1</v>
      </c>
      <c r="J147" s="2565" t="s">
        <v>1</v>
      </c>
      <c r="K147" s="2564" t="s">
        <v>1</v>
      </c>
      <c r="L147" s="2564" t="s">
        <v>1</v>
      </c>
      <c r="M147" s="2564" t="s">
        <v>3242</v>
      </c>
      <c r="N147" s="2565" t="s">
        <v>1</v>
      </c>
      <c r="O147" s="2558" t="s">
        <v>3242</v>
      </c>
      <c r="P147" s="2565" t="s">
        <v>1</v>
      </c>
      <c r="Q147" s="2558" t="s">
        <v>3242</v>
      </c>
      <c r="R147" s="2565" t="s">
        <v>1</v>
      </c>
      <c r="S147" s="2558" t="s">
        <v>3928</v>
      </c>
      <c r="T147" s="2565" t="s">
        <v>1</v>
      </c>
      <c r="U147" s="2560" t="s">
        <v>1</v>
      </c>
      <c r="V147" s="2561" t="s">
        <v>1</v>
      </c>
    </row>
    <row r="148" spans="1:22" ht="16.5" customHeight="1">
      <c r="A148" s="4080" t="s">
        <v>3936</v>
      </c>
      <c r="B148" s="4080"/>
      <c r="C148" s="2564">
        <v>1</v>
      </c>
      <c r="D148" s="2565">
        <f t="shared" si="25"/>
        <v>3.5545571199556392E-4</v>
      </c>
      <c r="E148" s="2564" t="s">
        <v>3242</v>
      </c>
      <c r="F148" s="2565" t="s">
        <v>1</v>
      </c>
      <c r="G148" s="2564" t="s">
        <v>3242</v>
      </c>
      <c r="H148" s="2565" t="s">
        <v>1</v>
      </c>
      <c r="I148" s="2564" t="s">
        <v>1</v>
      </c>
      <c r="J148" s="2565" t="s">
        <v>1</v>
      </c>
      <c r="K148" s="2564" t="s">
        <v>1</v>
      </c>
      <c r="L148" s="2564" t="s">
        <v>1</v>
      </c>
      <c r="M148" s="2564" t="s">
        <v>3928</v>
      </c>
      <c r="N148" s="2565" t="s">
        <v>1</v>
      </c>
      <c r="O148" s="2558" t="s">
        <v>3928</v>
      </c>
      <c r="P148" s="2565" t="s">
        <v>1</v>
      </c>
      <c r="Q148" s="2558" t="s">
        <v>3928</v>
      </c>
      <c r="R148" s="2565" t="s">
        <v>1</v>
      </c>
      <c r="S148" s="2558" t="s">
        <v>3242</v>
      </c>
      <c r="T148" s="2565" t="s">
        <v>1</v>
      </c>
      <c r="U148" s="2560" t="s">
        <v>1</v>
      </c>
      <c r="V148" s="2561" t="s">
        <v>1</v>
      </c>
    </row>
    <row r="149" spans="1:22" ht="16.5" customHeight="1">
      <c r="A149" s="4080" t="s">
        <v>3937</v>
      </c>
      <c r="B149" s="4080"/>
      <c r="C149" s="2564">
        <v>3</v>
      </c>
      <c r="D149" s="2565">
        <f t="shared" si="25"/>
        <v>1.0663671359866919E-3</v>
      </c>
      <c r="E149" s="2564">
        <v>3</v>
      </c>
      <c r="F149" s="2565">
        <f>E149/E$4*100</f>
        <v>1.1408752795144435E-3</v>
      </c>
      <c r="G149" s="2564" t="s">
        <v>3928</v>
      </c>
      <c r="H149" s="2565" t="s">
        <v>1</v>
      </c>
      <c r="I149" s="2564">
        <v>1</v>
      </c>
      <c r="J149" s="2565">
        <f>I149/I$4*100</f>
        <v>4.7972904903310611E-4</v>
      </c>
      <c r="K149" s="2564" t="s">
        <v>1</v>
      </c>
      <c r="L149" s="2564" t="s">
        <v>1</v>
      </c>
      <c r="M149" s="2564" t="s">
        <v>3242</v>
      </c>
      <c r="N149" s="2565" t="s">
        <v>1</v>
      </c>
      <c r="O149" s="2558" t="s">
        <v>3242</v>
      </c>
      <c r="P149" s="2565" t="s">
        <v>1</v>
      </c>
      <c r="Q149" s="2558" t="s">
        <v>3242</v>
      </c>
      <c r="R149" s="2565" t="s">
        <v>1</v>
      </c>
      <c r="S149" s="2558">
        <v>1</v>
      </c>
      <c r="T149" s="2565">
        <f>S149/S$4*100</f>
        <v>5.3561863952865559E-4</v>
      </c>
      <c r="U149" s="2560" t="s">
        <v>1</v>
      </c>
      <c r="V149" s="2561" t="s">
        <v>1</v>
      </c>
    </row>
    <row r="150" spans="1:22" ht="16.5" customHeight="1">
      <c r="A150" s="4080" t="s">
        <v>3938</v>
      </c>
      <c r="B150" s="4080"/>
      <c r="C150" s="2564">
        <v>2</v>
      </c>
      <c r="D150" s="2565">
        <f t="shared" si="25"/>
        <v>7.1091142399112785E-4</v>
      </c>
      <c r="E150" s="2564" t="s">
        <v>3928</v>
      </c>
      <c r="F150" s="2565" t="s">
        <v>1</v>
      </c>
      <c r="G150" s="2564">
        <v>1</v>
      </c>
      <c r="H150" s="2565">
        <f>G150/G$4*100</f>
        <v>4.2807486173181966E-4</v>
      </c>
      <c r="I150" s="2564">
        <v>2</v>
      </c>
      <c r="J150" s="2565">
        <f>I150/I$4*100</f>
        <v>9.5945809806621222E-4</v>
      </c>
      <c r="K150" s="2564" t="s">
        <v>1</v>
      </c>
      <c r="L150" s="2564" t="s">
        <v>1</v>
      </c>
      <c r="M150" s="2564" t="s">
        <v>3928</v>
      </c>
      <c r="N150" s="2565" t="s">
        <v>1</v>
      </c>
      <c r="O150" s="2558">
        <v>1</v>
      </c>
      <c r="P150" s="2565">
        <f>O150/O$4*100</f>
        <v>5.2164568781592167E-4</v>
      </c>
      <c r="Q150" s="2558" t="s">
        <v>3242</v>
      </c>
      <c r="R150" s="2565" t="s">
        <v>1</v>
      </c>
      <c r="S150" s="2558" t="s">
        <v>3928</v>
      </c>
      <c r="T150" s="2565" t="s">
        <v>1</v>
      </c>
      <c r="U150" s="2560" t="s">
        <v>1</v>
      </c>
      <c r="V150" s="2561" t="s">
        <v>1</v>
      </c>
    </row>
    <row r="151" spans="1:22" ht="16.5" customHeight="1">
      <c r="A151" s="4080" t="s">
        <v>3939</v>
      </c>
      <c r="B151" s="4080"/>
      <c r="C151" s="2564">
        <v>1</v>
      </c>
      <c r="D151" s="2565">
        <f t="shared" si="25"/>
        <v>3.5545571199556392E-4</v>
      </c>
      <c r="E151" s="2564" t="s">
        <v>3928</v>
      </c>
      <c r="F151" s="2565" t="s">
        <v>1</v>
      </c>
      <c r="G151" s="2564" t="s">
        <v>3928</v>
      </c>
      <c r="H151" s="2565" t="s">
        <v>1</v>
      </c>
      <c r="I151" s="2564" t="s">
        <v>1</v>
      </c>
      <c r="J151" s="2565" t="s">
        <v>1</v>
      </c>
      <c r="K151" s="2564" t="s">
        <v>1</v>
      </c>
      <c r="L151" s="2564" t="s">
        <v>1</v>
      </c>
      <c r="M151" s="2564">
        <v>1</v>
      </c>
      <c r="N151" s="2565">
        <f>M151/M$4*100</f>
        <v>5.1619563814685773E-4</v>
      </c>
      <c r="O151" s="2558">
        <v>1</v>
      </c>
      <c r="P151" s="2565">
        <f>O151/O$4*100</f>
        <v>5.2164568781592167E-4</v>
      </c>
      <c r="Q151" s="2558" t="s">
        <v>3242</v>
      </c>
      <c r="R151" s="2565" t="s">
        <v>1</v>
      </c>
      <c r="S151" s="2558" t="s">
        <v>3928</v>
      </c>
      <c r="T151" s="2565" t="s">
        <v>1</v>
      </c>
      <c r="U151" s="2560" t="s">
        <v>1</v>
      </c>
      <c r="V151" s="2561" t="s">
        <v>1</v>
      </c>
    </row>
    <row r="152" spans="1:22" ht="16.5" customHeight="1">
      <c r="A152" s="4084" t="s">
        <v>3940</v>
      </c>
      <c r="B152" s="4084"/>
      <c r="C152" s="2570">
        <v>2</v>
      </c>
      <c r="D152" s="2571">
        <f t="shared" si="25"/>
        <v>7.1091142399112785E-4</v>
      </c>
      <c r="E152" s="2570">
        <v>1</v>
      </c>
      <c r="F152" s="2571">
        <f>E152/E$4*100</f>
        <v>3.8029175983814785E-4</v>
      </c>
      <c r="G152" s="2570">
        <v>6</v>
      </c>
      <c r="H152" s="2571">
        <f>G152/G$4*100</f>
        <v>2.5684491703909179E-3</v>
      </c>
      <c r="I152" s="2570">
        <v>1</v>
      </c>
      <c r="J152" s="2571">
        <f>I152/I$4*100</f>
        <v>4.7972904903310611E-4</v>
      </c>
      <c r="K152" s="2570" t="s">
        <v>1</v>
      </c>
      <c r="L152" s="2570" t="s">
        <v>1</v>
      </c>
      <c r="M152" s="2570" t="s">
        <v>3242</v>
      </c>
      <c r="N152" s="2571" t="s">
        <v>1</v>
      </c>
      <c r="O152" s="2572" t="s">
        <v>3242</v>
      </c>
      <c r="P152" s="2571" t="s">
        <v>1</v>
      </c>
      <c r="Q152" s="2572" t="s">
        <v>3242</v>
      </c>
      <c r="R152" s="2571" t="s">
        <v>1</v>
      </c>
      <c r="S152" s="2572" t="s">
        <v>3242</v>
      </c>
      <c r="T152" s="2571" t="s">
        <v>1</v>
      </c>
      <c r="U152" s="2573" t="s">
        <v>1</v>
      </c>
      <c r="V152" s="2574" t="s">
        <v>1</v>
      </c>
    </row>
    <row r="153" spans="1:22">
      <c r="A153" s="4085" t="s">
        <v>3941</v>
      </c>
      <c r="B153" s="4085"/>
      <c r="C153" s="4085"/>
      <c r="D153" s="4085"/>
      <c r="E153" s="4085"/>
      <c r="F153" s="4085"/>
      <c r="G153" s="4085"/>
      <c r="H153" s="4085"/>
      <c r="I153" s="2575"/>
      <c r="J153" s="2576"/>
      <c r="K153" s="2575"/>
      <c r="L153" s="2576"/>
      <c r="M153" s="2575"/>
      <c r="N153" s="2576"/>
      <c r="O153" s="2577"/>
      <c r="P153" s="2576"/>
      <c r="Q153" s="2577"/>
      <c r="R153" s="2576"/>
      <c r="S153" s="2577"/>
      <c r="T153" s="2576"/>
      <c r="U153" s="2575"/>
      <c r="V153" s="2576"/>
    </row>
    <row r="154" spans="1:22" ht="30" customHeight="1">
      <c r="A154" s="4086" t="s">
        <v>3942</v>
      </c>
      <c r="B154" s="4086"/>
      <c r="C154" s="4086"/>
      <c r="D154" s="4086"/>
      <c r="E154" s="4086"/>
      <c r="F154" s="4086"/>
      <c r="G154" s="4086"/>
      <c r="H154" s="4086"/>
      <c r="I154" s="4086"/>
      <c r="J154" s="4086"/>
      <c r="K154" s="4086"/>
      <c r="L154" s="4086"/>
      <c r="M154" s="4086"/>
      <c r="N154" s="4086"/>
      <c r="O154" s="4086"/>
      <c r="P154" s="4086"/>
      <c r="Q154" s="4086"/>
      <c r="R154" s="4086"/>
      <c r="S154" s="4086"/>
      <c r="T154" s="4086"/>
      <c r="U154" s="4086"/>
      <c r="V154" s="4086"/>
    </row>
    <row r="155" spans="1:22">
      <c r="A155" s="4083"/>
      <c r="B155" s="4083"/>
    </row>
    <row r="156" spans="1:22">
      <c r="A156" s="4083"/>
      <c r="B156" s="4083"/>
    </row>
    <row r="157" spans="1:22">
      <c r="A157" s="4083"/>
      <c r="B157" s="4083"/>
    </row>
    <row r="158" spans="1:22">
      <c r="A158" s="4083"/>
      <c r="B158" s="4083"/>
    </row>
    <row r="159" spans="1:22">
      <c r="A159" s="4083"/>
      <c r="B159" s="4083"/>
    </row>
    <row r="160" spans="1:22">
      <c r="A160" s="4083"/>
      <c r="B160" s="4083"/>
    </row>
  </sheetData>
  <mergeCells count="170">
    <mergeCell ref="A157:B157"/>
    <mergeCell ref="A158:B158"/>
    <mergeCell ref="A159:B159"/>
    <mergeCell ref="A160:B160"/>
    <mergeCell ref="A151:B151"/>
    <mergeCell ref="A152:B152"/>
    <mergeCell ref="A153:H153"/>
    <mergeCell ref="A154:V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7:B127"/>
    <mergeCell ref="A128:B128"/>
    <mergeCell ref="A129:B129"/>
    <mergeCell ref="A130:B130"/>
    <mergeCell ref="A131:B131"/>
    <mergeCell ref="A132:B132"/>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3:B103"/>
    <mergeCell ref="A104:B104"/>
    <mergeCell ref="A105:B105"/>
    <mergeCell ref="A106:B106"/>
    <mergeCell ref="A107:B107"/>
    <mergeCell ref="A108:B108"/>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5:B55"/>
    <mergeCell ref="A56:B56"/>
    <mergeCell ref="A57:B57"/>
    <mergeCell ref="A58:B58"/>
    <mergeCell ref="A59:B59"/>
    <mergeCell ref="A60:B60"/>
    <mergeCell ref="A49:B49"/>
    <mergeCell ref="A50:B50"/>
    <mergeCell ref="A51:B51"/>
    <mergeCell ref="A52:B52"/>
    <mergeCell ref="A53:B53"/>
    <mergeCell ref="A54:B54"/>
    <mergeCell ref="A43:B43"/>
    <mergeCell ref="A44:B44"/>
    <mergeCell ref="A45:B45"/>
    <mergeCell ref="A46:B46"/>
    <mergeCell ref="A47:B47"/>
    <mergeCell ref="A48:B48"/>
    <mergeCell ref="A37:B37"/>
    <mergeCell ref="A38:B38"/>
    <mergeCell ref="A39:B39"/>
    <mergeCell ref="A40:B40"/>
    <mergeCell ref="A41:B41"/>
    <mergeCell ref="A42:B42"/>
    <mergeCell ref="A31:B31"/>
    <mergeCell ref="A32:B32"/>
    <mergeCell ref="A33:B33"/>
    <mergeCell ref="A34:B34"/>
    <mergeCell ref="A35:B35"/>
    <mergeCell ref="A36:B36"/>
    <mergeCell ref="A25:B25"/>
    <mergeCell ref="A26:B26"/>
    <mergeCell ref="A27:B27"/>
    <mergeCell ref="A28:B28"/>
    <mergeCell ref="A29:B29"/>
    <mergeCell ref="A30:B30"/>
    <mergeCell ref="A19:B19"/>
    <mergeCell ref="A20:B20"/>
    <mergeCell ref="A21:B21"/>
    <mergeCell ref="A22:B22"/>
    <mergeCell ref="A23:B23"/>
    <mergeCell ref="A24:B24"/>
    <mergeCell ref="A13:B13"/>
    <mergeCell ref="A14:B14"/>
    <mergeCell ref="A15:B15"/>
    <mergeCell ref="A16:B16"/>
    <mergeCell ref="A17:B17"/>
    <mergeCell ref="A18:B18"/>
    <mergeCell ref="A7:B7"/>
    <mergeCell ref="A8:B8"/>
    <mergeCell ref="A9:B9"/>
    <mergeCell ref="A10:B10"/>
    <mergeCell ref="A11:B11"/>
    <mergeCell ref="A12:B12"/>
    <mergeCell ref="Q3:R3"/>
    <mergeCell ref="S3:T3"/>
    <mergeCell ref="U3:V3"/>
    <mergeCell ref="A4:B4"/>
    <mergeCell ref="A5:B5"/>
    <mergeCell ref="A6:B6"/>
    <mergeCell ref="A1:V1"/>
    <mergeCell ref="U2:V2"/>
    <mergeCell ref="A3:B3"/>
    <mergeCell ref="C3:D3"/>
    <mergeCell ref="E3:F3"/>
    <mergeCell ref="G3:H3"/>
    <mergeCell ref="I3:J3"/>
    <mergeCell ref="K3:L3"/>
    <mergeCell ref="M3:N3"/>
    <mergeCell ref="O3:P3"/>
  </mergeCells>
  <phoneticPr fontId="61" type="noConversion"/>
  <printOptions horizontalCentered="1" verticalCentered="1"/>
  <pageMargins left="0.70866141732283472" right="0.70866141732283472" top="0.74803149606299213" bottom="0.74803149606299213" header="0.31496062992125984" footer="0.31496062992125984"/>
  <pageSetup paperSize="11" scale="35" fitToHeight="0" orientation="landscape" r:id="rId1"/>
  <headerFooter differentOddEven="1" scaleWithDoc="0">
    <oddHeader>&amp;L&amp;"Times New Roman,標準"&amp;8 107&amp;"標楷體,標準"年犯罪狀況及其分析</oddHeader>
    <evenHeader>&amp;R&amp;"標楷體,標準"&amp;8第五篇　犯罪被害趨勢、保護與補償</evenHead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Y113"/>
  <sheetViews>
    <sheetView showGridLines="0" workbookViewId="0">
      <selection activeCell="A155" sqref="A155:B155"/>
    </sheetView>
  </sheetViews>
  <sheetFormatPr defaultColWidth="8.75" defaultRowHeight="15.75"/>
  <cols>
    <col min="1" max="1" width="33.875" style="2616" bestFit="1" customWidth="1"/>
    <col min="2" max="2" width="10.625" style="2549" customWidth="1"/>
    <col min="3" max="3" width="10.625" style="2551" customWidth="1"/>
    <col min="4" max="4" width="10.625" style="2549" customWidth="1"/>
    <col min="5" max="5" width="10.625" style="2551" customWidth="1"/>
    <col min="6" max="6" width="10.625" style="2549" customWidth="1"/>
    <col min="7" max="7" width="10.625" style="2551" customWidth="1"/>
    <col min="8" max="8" width="10.625" style="2549" customWidth="1"/>
    <col min="9" max="9" width="10.625" style="2551" customWidth="1"/>
    <col min="10" max="10" width="10.625" style="2549" customWidth="1"/>
    <col min="11" max="11" width="10.625" style="2551" customWidth="1"/>
    <col min="12" max="12" width="10.625" style="2549" customWidth="1"/>
    <col min="13" max="13" width="10.625" style="2551" customWidth="1"/>
    <col min="14" max="14" width="10.625" style="2549" customWidth="1"/>
    <col min="15" max="15" width="10.625" style="2551" customWidth="1"/>
    <col min="16" max="16" width="10.625" style="2549" customWidth="1"/>
    <col min="17" max="17" width="10.625" style="2551" customWidth="1"/>
    <col min="18" max="18" width="10.625" style="2549" customWidth="1"/>
    <col min="19" max="19" width="10.625" style="2551" customWidth="1"/>
    <col min="20" max="20" width="10.625" style="2549" customWidth="1"/>
    <col min="21" max="21" width="10.625" style="2551" customWidth="1"/>
    <col min="22" max="22" width="10.625" style="2549" customWidth="1"/>
    <col min="23" max="23" width="10.625" style="2551" customWidth="1"/>
    <col min="24" max="24" width="10.625" style="2549" customWidth="1"/>
    <col min="25" max="25" width="10.625" style="2551" customWidth="1"/>
    <col min="26" max="26" width="8.75" style="2567"/>
    <col min="27" max="27" width="8.75" style="2567" customWidth="1"/>
    <col min="28" max="28" width="8.75" style="2567"/>
    <col min="29" max="29" width="8.75" style="2567" customWidth="1"/>
    <col min="30" max="30" width="8.75" style="2567"/>
    <col min="31" max="31" width="8.75" style="2567" customWidth="1"/>
    <col min="32" max="32" width="8.75" style="2567"/>
    <col min="33" max="33" width="8.75" style="2567" customWidth="1"/>
    <col min="34" max="34" width="8.75" style="2567"/>
    <col min="35" max="35" width="8.75" style="2567" customWidth="1"/>
    <col min="36" max="36" width="8.75" style="2567"/>
    <col min="37" max="37" width="8.75" style="2567" customWidth="1"/>
    <col min="38" max="38" width="8.75" style="2567"/>
    <col min="39" max="39" width="8.75" style="2567" customWidth="1"/>
    <col min="40" max="40" width="8.75" style="2567"/>
    <col min="41" max="41" width="8.75" style="2567" customWidth="1"/>
    <col min="42" max="42" width="8.75" style="2567"/>
    <col min="43" max="43" width="8.75" style="2567" customWidth="1"/>
    <col min="44" max="44" width="8.75" style="2567"/>
    <col min="45" max="45" width="8.75" style="2567" customWidth="1"/>
    <col min="46" max="46" width="8.75" style="2567"/>
    <col min="47" max="47" width="8.75" style="2567" customWidth="1"/>
    <col min="48" max="48" width="8.75" style="2567"/>
    <col min="49" max="49" width="8.75" style="2567" customWidth="1"/>
    <col min="50" max="16384" width="8.75" style="2567"/>
  </cols>
  <sheetData>
    <row r="1" spans="1:25" ht="20.25">
      <c r="A1" s="4087" t="s">
        <v>3943</v>
      </c>
      <c r="B1" s="4087"/>
      <c r="C1" s="4087"/>
      <c r="D1" s="4087"/>
      <c r="E1" s="4087"/>
      <c r="F1" s="4087"/>
      <c r="G1" s="4087"/>
      <c r="H1" s="4087"/>
      <c r="I1" s="4087"/>
      <c r="J1" s="4087"/>
      <c r="K1" s="4087"/>
      <c r="L1" s="4087"/>
      <c r="M1" s="4087"/>
      <c r="N1" s="4087"/>
      <c r="O1" s="4087"/>
      <c r="P1" s="4087"/>
      <c r="Q1" s="4087"/>
      <c r="R1" s="4087"/>
      <c r="S1" s="4087"/>
      <c r="T1" s="4087"/>
      <c r="U1" s="4087"/>
      <c r="V1" s="4087"/>
      <c r="W1" s="4087"/>
      <c r="X1" s="4087"/>
      <c r="Y1" s="4087"/>
    </row>
    <row r="2" spans="1:25" s="2582" customFormat="1" ht="16.5">
      <c r="A2" s="2579"/>
      <c r="B2" s="2580"/>
      <c r="C2" s="2581"/>
      <c r="D2" s="2580"/>
      <c r="E2" s="2581"/>
      <c r="F2" s="2580"/>
      <c r="G2" s="2581"/>
      <c r="H2" s="2580"/>
      <c r="I2" s="2581"/>
      <c r="J2" s="2580"/>
      <c r="K2" s="2581"/>
      <c r="L2" s="2580"/>
      <c r="M2" s="2581"/>
      <c r="N2" s="2580"/>
      <c r="O2" s="2581"/>
      <c r="P2" s="2580"/>
      <c r="Q2" s="2581"/>
      <c r="R2" s="2580"/>
      <c r="S2" s="2581"/>
      <c r="T2" s="2580"/>
      <c r="U2" s="2581"/>
      <c r="V2" s="4088" t="s">
        <v>3944</v>
      </c>
      <c r="W2" s="4088"/>
      <c r="X2" s="4088"/>
      <c r="Y2" s="4088"/>
    </row>
    <row r="3" spans="1:25" ht="16.5">
      <c r="A3" s="4089"/>
      <c r="B3" s="4091" t="s">
        <v>3945</v>
      </c>
      <c r="C3" s="4091"/>
      <c r="D3" s="4091"/>
      <c r="E3" s="4091"/>
      <c r="F3" s="4091"/>
      <c r="G3" s="4092"/>
      <c r="H3" s="4093" t="s">
        <v>3946</v>
      </c>
      <c r="I3" s="4091"/>
      <c r="J3" s="4091"/>
      <c r="K3" s="4091"/>
      <c r="L3" s="4091"/>
      <c r="M3" s="4092"/>
      <c r="N3" s="4093" t="s">
        <v>3947</v>
      </c>
      <c r="O3" s="4091"/>
      <c r="P3" s="4091"/>
      <c r="Q3" s="4091"/>
      <c r="R3" s="4091"/>
      <c r="S3" s="4092"/>
      <c r="T3" s="4093" t="s">
        <v>3948</v>
      </c>
      <c r="U3" s="4091"/>
      <c r="V3" s="4091"/>
      <c r="W3" s="4091"/>
      <c r="X3" s="4091"/>
      <c r="Y3" s="4091"/>
    </row>
    <row r="4" spans="1:25" ht="16.5">
      <c r="A4" s="4090"/>
      <c r="B4" s="4091" t="s">
        <v>3945</v>
      </c>
      <c r="C4" s="4092"/>
      <c r="D4" s="4093" t="s">
        <v>3949</v>
      </c>
      <c r="E4" s="4092"/>
      <c r="F4" s="4093" t="s">
        <v>3950</v>
      </c>
      <c r="G4" s="4092"/>
      <c r="H4" s="4093" t="s">
        <v>3945</v>
      </c>
      <c r="I4" s="4092"/>
      <c r="J4" s="4093" t="s">
        <v>3949</v>
      </c>
      <c r="K4" s="4092"/>
      <c r="L4" s="4093" t="s">
        <v>3950</v>
      </c>
      <c r="M4" s="4092"/>
      <c r="N4" s="4093" t="s">
        <v>3945</v>
      </c>
      <c r="O4" s="4092"/>
      <c r="P4" s="4093" t="s">
        <v>3949</v>
      </c>
      <c r="Q4" s="4092"/>
      <c r="R4" s="4093" t="s">
        <v>3950</v>
      </c>
      <c r="S4" s="4092"/>
      <c r="T4" s="4093" t="s">
        <v>3945</v>
      </c>
      <c r="U4" s="4092"/>
      <c r="V4" s="4093" t="s">
        <v>3949</v>
      </c>
      <c r="W4" s="4092"/>
      <c r="X4" s="4093" t="s">
        <v>3950</v>
      </c>
      <c r="Y4" s="4091"/>
    </row>
    <row r="5" spans="1:25" s="2588" customFormat="1" ht="16.5">
      <c r="A5" s="2583" t="s">
        <v>3951</v>
      </c>
      <c r="B5" s="2584">
        <f t="shared" ref="B5:Y5" si="0">SUM(B6:B108)</f>
        <v>184551</v>
      </c>
      <c r="C5" s="2585">
        <f t="shared" si="0"/>
        <v>99.999999999999901</v>
      </c>
      <c r="D5" s="2555">
        <f t="shared" si="0"/>
        <v>104765</v>
      </c>
      <c r="E5" s="2585">
        <f t="shared" si="0"/>
        <v>99.999999999999915</v>
      </c>
      <c r="F5" s="2555">
        <f t="shared" si="0"/>
        <v>79786</v>
      </c>
      <c r="G5" s="2585">
        <f t="shared" si="0"/>
        <v>99.999999999999986</v>
      </c>
      <c r="H5" s="2555">
        <f t="shared" si="0"/>
        <v>1473</v>
      </c>
      <c r="I5" s="2586">
        <f t="shared" si="0"/>
        <v>100.00000000000003</v>
      </c>
      <c r="J5" s="2555">
        <f t="shared" si="0"/>
        <v>608</v>
      </c>
      <c r="K5" s="2586">
        <f t="shared" si="0"/>
        <v>99.999999999999972</v>
      </c>
      <c r="L5" s="2555">
        <f t="shared" si="0"/>
        <v>865</v>
      </c>
      <c r="M5" s="2586">
        <f t="shared" si="0"/>
        <v>100.00000000000001</v>
      </c>
      <c r="N5" s="2555">
        <f t="shared" si="0"/>
        <v>6451</v>
      </c>
      <c r="O5" s="2586">
        <f t="shared" si="0"/>
        <v>99.999999999999943</v>
      </c>
      <c r="P5" s="2555">
        <f t="shared" si="0"/>
        <v>2944</v>
      </c>
      <c r="Q5" s="2586">
        <f t="shared" si="0"/>
        <v>99.999999999999986</v>
      </c>
      <c r="R5" s="2555">
        <f t="shared" si="0"/>
        <v>3507</v>
      </c>
      <c r="S5" s="2586">
        <f t="shared" si="0"/>
        <v>99.999999999999943</v>
      </c>
      <c r="T5" s="2555">
        <f t="shared" si="0"/>
        <v>23170</v>
      </c>
      <c r="U5" s="2586">
        <f t="shared" si="0"/>
        <v>100.00000000000007</v>
      </c>
      <c r="V5" s="2555">
        <f t="shared" si="0"/>
        <v>13694</v>
      </c>
      <c r="W5" s="2586">
        <f t="shared" si="0"/>
        <v>100.00000000000001</v>
      </c>
      <c r="X5" s="2555">
        <f t="shared" si="0"/>
        <v>9476</v>
      </c>
      <c r="Y5" s="2587">
        <f t="shared" si="0"/>
        <v>100.00000000000001</v>
      </c>
    </row>
    <row r="6" spans="1:25" ht="16.5">
      <c r="A6" s="2589" t="s">
        <v>3952</v>
      </c>
      <c r="B6" s="2590">
        <v>37936</v>
      </c>
      <c r="C6" s="2591">
        <f t="shared" ref="C6:C69" si="1">B6/B$5*100</f>
        <v>20.555835514302277</v>
      </c>
      <c r="D6" s="2592">
        <v>23609</v>
      </c>
      <c r="E6" s="2593">
        <f t="shared" ref="E6:E69" si="2">D6/D$5*100</f>
        <v>22.535197823700663</v>
      </c>
      <c r="F6" s="2594">
        <v>14327</v>
      </c>
      <c r="G6" s="2595">
        <f t="shared" ref="G6:G65" si="3">F6/F$5*100</f>
        <v>17.956784398265359</v>
      </c>
      <c r="H6" s="2596">
        <v>28</v>
      </c>
      <c r="I6" s="2597">
        <f t="shared" ref="I6:I65" si="4">H6/H$5*100</f>
        <v>1.9008825526137134</v>
      </c>
      <c r="J6" s="2596">
        <v>17</v>
      </c>
      <c r="K6" s="2597">
        <f t="shared" ref="K6:K51" si="5">J6/J$5*100</f>
        <v>2.7960526315789473</v>
      </c>
      <c r="L6" s="2596">
        <v>11</v>
      </c>
      <c r="M6" s="2597">
        <f t="shared" ref="M6:M65" si="6">L6/L$5*100</f>
        <v>1.2716763005780347</v>
      </c>
      <c r="N6" s="2598">
        <v>1098</v>
      </c>
      <c r="O6" s="2597">
        <f t="shared" ref="O6:O67" si="7">N6/N$5*100</f>
        <v>17.020616958611068</v>
      </c>
      <c r="P6" s="2592">
        <v>723</v>
      </c>
      <c r="Q6" s="2597">
        <f t="shared" ref="Q6:Q67" si="8">P6/P$5*100</f>
        <v>24.558423913043477</v>
      </c>
      <c r="R6" s="2592">
        <v>375</v>
      </c>
      <c r="S6" s="2597">
        <f t="shared" ref="S6:S59" si="9">R6/R$5*100</f>
        <v>10.692899914456801</v>
      </c>
      <c r="T6" s="2592">
        <v>3627</v>
      </c>
      <c r="U6" s="2597">
        <f t="shared" ref="U6:U66" si="10">T6/T$5*100</f>
        <v>15.653862753560638</v>
      </c>
      <c r="V6" s="2592">
        <v>2227</v>
      </c>
      <c r="W6" s="2597">
        <f t="shared" ref="W6:W66" si="11">V6/V$5*100</f>
        <v>16.262596757704102</v>
      </c>
      <c r="X6" s="2592">
        <v>1400</v>
      </c>
      <c r="Y6" s="2591">
        <f t="shared" ref="Y6:Y65" si="12">X6/X$5*100</f>
        <v>14.774166314900802</v>
      </c>
    </row>
    <row r="7" spans="1:25" ht="16.5">
      <c r="A7" s="2589" t="s">
        <v>3791</v>
      </c>
      <c r="B7" s="2590">
        <v>34482</v>
      </c>
      <c r="C7" s="2591">
        <f t="shared" si="1"/>
        <v>18.684266137815563</v>
      </c>
      <c r="D7" s="2592">
        <v>17373</v>
      </c>
      <c r="E7" s="2593">
        <f t="shared" si="2"/>
        <v>16.582828234620344</v>
      </c>
      <c r="F7" s="2599">
        <v>17109</v>
      </c>
      <c r="G7" s="2595">
        <f t="shared" si="3"/>
        <v>21.443611661193692</v>
      </c>
      <c r="H7" s="2596">
        <v>12</v>
      </c>
      <c r="I7" s="2597">
        <f t="shared" si="4"/>
        <v>0.81466395112016288</v>
      </c>
      <c r="J7" s="2596">
        <v>9</v>
      </c>
      <c r="K7" s="2597">
        <f t="shared" si="5"/>
        <v>1.4802631578947367</v>
      </c>
      <c r="L7" s="2596">
        <v>3</v>
      </c>
      <c r="M7" s="2597">
        <f t="shared" si="6"/>
        <v>0.34682080924855491</v>
      </c>
      <c r="N7" s="2598">
        <v>642</v>
      </c>
      <c r="O7" s="2597">
        <f t="shared" si="7"/>
        <v>9.9519454348163077</v>
      </c>
      <c r="P7" s="2592">
        <v>428</v>
      </c>
      <c r="Q7" s="2597">
        <f t="shared" si="8"/>
        <v>14.538043478260871</v>
      </c>
      <c r="R7" s="2592">
        <v>214</v>
      </c>
      <c r="S7" s="2597">
        <f t="shared" si="9"/>
        <v>6.1020815511833479</v>
      </c>
      <c r="T7" s="2592">
        <v>5998</v>
      </c>
      <c r="U7" s="2597">
        <f t="shared" si="10"/>
        <v>25.886922744928786</v>
      </c>
      <c r="V7" s="2592">
        <v>3320</v>
      </c>
      <c r="W7" s="2597">
        <f t="shared" si="11"/>
        <v>24.24419453775376</v>
      </c>
      <c r="X7" s="2592">
        <v>2678</v>
      </c>
      <c r="Y7" s="2591">
        <f t="shared" si="12"/>
        <v>28.260869565217391</v>
      </c>
    </row>
    <row r="8" spans="1:25" ht="16.5">
      <c r="A8" s="2589" t="s">
        <v>3953</v>
      </c>
      <c r="B8" s="2590">
        <v>19267</v>
      </c>
      <c r="C8" s="2591">
        <f t="shared" si="1"/>
        <v>10.439932593158531</v>
      </c>
      <c r="D8" s="2592">
        <v>9973</v>
      </c>
      <c r="E8" s="2593">
        <f t="shared" si="2"/>
        <v>9.5194005631651795</v>
      </c>
      <c r="F8" s="2594">
        <v>9294</v>
      </c>
      <c r="G8" s="2595">
        <f t="shared" si="3"/>
        <v>11.6486601659439</v>
      </c>
      <c r="H8" s="2596">
        <v>257</v>
      </c>
      <c r="I8" s="2597">
        <f t="shared" si="4"/>
        <v>17.447386286490158</v>
      </c>
      <c r="J8" s="2596">
        <v>129</v>
      </c>
      <c r="K8" s="2597">
        <f t="shared" si="5"/>
        <v>21.217105263157894</v>
      </c>
      <c r="L8" s="2596">
        <v>128</v>
      </c>
      <c r="M8" s="2597">
        <f t="shared" si="6"/>
        <v>14.797687861271678</v>
      </c>
      <c r="N8" s="2598">
        <v>474</v>
      </c>
      <c r="O8" s="2597">
        <f t="shared" si="7"/>
        <v>7.3476980313129738</v>
      </c>
      <c r="P8" s="2592">
        <v>306</v>
      </c>
      <c r="Q8" s="2597">
        <f t="shared" si="8"/>
        <v>10.394021739130435</v>
      </c>
      <c r="R8" s="2592">
        <v>168</v>
      </c>
      <c r="S8" s="2597">
        <f t="shared" si="9"/>
        <v>4.7904191616766472</v>
      </c>
      <c r="T8" s="2592">
        <v>3324</v>
      </c>
      <c r="U8" s="2597">
        <f t="shared" si="10"/>
        <v>14.346137246439362</v>
      </c>
      <c r="V8" s="2592">
        <v>2072</v>
      </c>
      <c r="W8" s="2597">
        <f t="shared" si="11"/>
        <v>15.130714181393312</v>
      </c>
      <c r="X8" s="2592">
        <v>1252</v>
      </c>
      <c r="Y8" s="2591">
        <f t="shared" si="12"/>
        <v>13.212325875897001</v>
      </c>
    </row>
    <row r="9" spans="1:25" ht="16.5">
      <c r="A9" s="2589" t="s">
        <v>3793</v>
      </c>
      <c r="B9" s="2590">
        <v>16480</v>
      </c>
      <c r="C9" s="2591">
        <f t="shared" si="1"/>
        <v>8.9297809277652256</v>
      </c>
      <c r="D9" s="2592">
        <v>10636</v>
      </c>
      <c r="E9" s="2593">
        <f t="shared" si="2"/>
        <v>10.152245501837445</v>
      </c>
      <c r="F9" s="2594">
        <v>5844</v>
      </c>
      <c r="G9" s="2595">
        <f t="shared" si="3"/>
        <v>7.3245932870428394</v>
      </c>
      <c r="H9" s="2596">
        <v>298</v>
      </c>
      <c r="I9" s="2597">
        <f t="shared" si="4"/>
        <v>20.230821452817381</v>
      </c>
      <c r="J9" s="2596">
        <v>196</v>
      </c>
      <c r="K9" s="2597">
        <f t="shared" si="5"/>
        <v>32.236842105263158</v>
      </c>
      <c r="L9" s="2596">
        <v>102</v>
      </c>
      <c r="M9" s="2597">
        <f t="shared" si="6"/>
        <v>11.791907514450866</v>
      </c>
      <c r="N9" s="2598">
        <v>688</v>
      </c>
      <c r="O9" s="2597">
        <f t="shared" si="7"/>
        <v>10.665013176251744</v>
      </c>
      <c r="P9" s="2592">
        <v>561</v>
      </c>
      <c r="Q9" s="2597">
        <f t="shared" si="8"/>
        <v>19.055706521739129</v>
      </c>
      <c r="R9" s="2592">
        <v>127</v>
      </c>
      <c r="S9" s="2597">
        <f t="shared" si="9"/>
        <v>3.6213287710293693</v>
      </c>
      <c r="T9" s="2592">
        <v>1719</v>
      </c>
      <c r="U9" s="2597">
        <f t="shared" si="10"/>
        <v>7.4190763918860592</v>
      </c>
      <c r="V9" s="2592">
        <v>1294</v>
      </c>
      <c r="W9" s="2597">
        <f t="shared" si="11"/>
        <v>9.4493938951365557</v>
      </c>
      <c r="X9" s="2592">
        <v>425</v>
      </c>
      <c r="Y9" s="2591">
        <f t="shared" si="12"/>
        <v>4.4850147741663147</v>
      </c>
    </row>
    <row r="10" spans="1:25" ht="16.5">
      <c r="A10" s="2589" t="s">
        <v>3794</v>
      </c>
      <c r="B10" s="2590">
        <v>10047</v>
      </c>
      <c r="C10" s="2591">
        <f t="shared" si="1"/>
        <v>5.4440236032316269</v>
      </c>
      <c r="D10" s="2592">
        <v>6013</v>
      </c>
      <c r="E10" s="2593">
        <f t="shared" si="2"/>
        <v>5.7395122416837685</v>
      </c>
      <c r="F10" s="2594">
        <v>4034</v>
      </c>
      <c r="G10" s="2595">
        <f>F10/F$5*100</f>
        <v>5.0560248665179355</v>
      </c>
      <c r="H10" s="2596">
        <v>25</v>
      </c>
      <c r="I10" s="2597">
        <f t="shared" si="4"/>
        <v>1.6972165648336728</v>
      </c>
      <c r="J10" s="2596">
        <v>8</v>
      </c>
      <c r="K10" s="2597">
        <f t="shared" si="5"/>
        <v>1.3157894736842104</v>
      </c>
      <c r="L10" s="2596">
        <v>17</v>
      </c>
      <c r="M10" s="2597">
        <f t="shared" si="6"/>
        <v>1.9653179190751446</v>
      </c>
      <c r="N10" s="2598">
        <v>266</v>
      </c>
      <c r="O10" s="2597">
        <f t="shared" si="7"/>
        <v>4.1233917222136105</v>
      </c>
      <c r="P10" s="2592">
        <v>177</v>
      </c>
      <c r="Q10" s="2597">
        <f t="shared" si="8"/>
        <v>6.0122282608695654</v>
      </c>
      <c r="R10" s="2592">
        <v>89</v>
      </c>
      <c r="S10" s="2597">
        <f t="shared" si="9"/>
        <v>2.5377815796977474</v>
      </c>
      <c r="T10" s="2592">
        <v>885</v>
      </c>
      <c r="U10" s="2597">
        <f t="shared" si="10"/>
        <v>3.8195943029779889</v>
      </c>
      <c r="V10" s="2592">
        <v>539</v>
      </c>
      <c r="W10" s="2597">
        <f t="shared" si="11"/>
        <v>3.9360303782678545</v>
      </c>
      <c r="X10" s="2592">
        <v>346</v>
      </c>
      <c r="Y10" s="2591">
        <f t="shared" si="12"/>
        <v>3.6513296749683413</v>
      </c>
    </row>
    <row r="11" spans="1:25" ht="16.5">
      <c r="A11" s="2589" t="s">
        <v>3795</v>
      </c>
      <c r="B11" s="2590">
        <v>8532</v>
      </c>
      <c r="C11" s="2591">
        <f t="shared" si="1"/>
        <v>4.6231123104182581</v>
      </c>
      <c r="D11" s="2592">
        <v>4859</v>
      </c>
      <c r="E11" s="2593">
        <f t="shared" si="2"/>
        <v>4.6379993318379231</v>
      </c>
      <c r="F11" s="2594">
        <v>3814</v>
      </c>
      <c r="G11" s="2595">
        <f t="shared" si="3"/>
        <v>4.7802872684430859</v>
      </c>
      <c r="H11" s="2596">
        <v>11</v>
      </c>
      <c r="I11" s="2597">
        <f t="shared" si="4"/>
        <v>0.74677528852681607</v>
      </c>
      <c r="J11" s="2596">
        <v>8</v>
      </c>
      <c r="K11" s="2597">
        <f t="shared" si="5"/>
        <v>1.3157894736842104</v>
      </c>
      <c r="L11" s="2596">
        <v>3</v>
      </c>
      <c r="M11" s="2597">
        <f t="shared" si="6"/>
        <v>0.34682080924855491</v>
      </c>
      <c r="N11" s="2598">
        <v>85</v>
      </c>
      <c r="O11" s="2597">
        <f t="shared" si="7"/>
        <v>1.3176251743915672</v>
      </c>
      <c r="P11" s="2592">
        <v>39</v>
      </c>
      <c r="Q11" s="2597">
        <f t="shared" si="8"/>
        <v>1.3247282608695652</v>
      </c>
      <c r="R11" s="2592">
        <v>46</v>
      </c>
      <c r="S11" s="2597">
        <f t="shared" si="9"/>
        <v>1.311662389506701</v>
      </c>
      <c r="T11" s="2592">
        <v>1025</v>
      </c>
      <c r="U11" s="2597">
        <f t="shared" si="10"/>
        <v>4.4238239102287444</v>
      </c>
      <c r="V11" s="2592">
        <v>644</v>
      </c>
      <c r="W11" s="2597">
        <f t="shared" si="11"/>
        <v>4.7027895428654887</v>
      </c>
      <c r="X11" s="2592">
        <v>381</v>
      </c>
      <c r="Y11" s="2591">
        <f t="shared" si="12"/>
        <v>4.0206838328408612</v>
      </c>
    </row>
    <row r="12" spans="1:25" ht="16.5">
      <c r="A12" s="2589" t="s">
        <v>3796</v>
      </c>
      <c r="B12" s="2590">
        <v>7962</v>
      </c>
      <c r="C12" s="2591">
        <f t="shared" si="1"/>
        <v>4.314254596290457</v>
      </c>
      <c r="D12" s="2592">
        <v>5183</v>
      </c>
      <c r="E12" s="2593">
        <f t="shared" si="2"/>
        <v>4.9472629217773108</v>
      </c>
      <c r="F12" s="2594">
        <v>3349</v>
      </c>
      <c r="G12" s="2595">
        <f t="shared" si="3"/>
        <v>4.1974782543303331</v>
      </c>
      <c r="H12" s="2596">
        <v>6</v>
      </c>
      <c r="I12" s="2597">
        <f t="shared" si="4"/>
        <v>0.40733197556008144</v>
      </c>
      <c r="J12" s="2596">
        <v>4</v>
      </c>
      <c r="K12" s="2597">
        <f t="shared" si="5"/>
        <v>0.6578947368421052</v>
      </c>
      <c r="L12" s="2596">
        <v>2</v>
      </c>
      <c r="M12" s="2597">
        <f t="shared" si="6"/>
        <v>0.23121387283236997</v>
      </c>
      <c r="N12" s="2598">
        <v>164</v>
      </c>
      <c r="O12" s="2597">
        <f t="shared" si="7"/>
        <v>2.5422415129437299</v>
      </c>
      <c r="P12" s="2592">
        <v>99</v>
      </c>
      <c r="Q12" s="2597">
        <f t="shared" si="8"/>
        <v>3.3627717391304346</v>
      </c>
      <c r="R12" s="2592">
        <v>65</v>
      </c>
      <c r="S12" s="2597">
        <f t="shared" si="9"/>
        <v>1.8534359851725122</v>
      </c>
      <c r="T12" s="2592">
        <v>1013</v>
      </c>
      <c r="U12" s="2597">
        <f t="shared" si="10"/>
        <v>4.3720328010358225</v>
      </c>
      <c r="V12" s="2592">
        <v>584</v>
      </c>
      <c r="W12" s="2597">
        <f t="shared" si="11"/>
        <v>4.264641448809698</v>
      </c>
      <c r="X12" s="2592">
        <v>429</v>
      </c>
      <c r="Y12" s="2591">
        <f t="shared" si="12"/>
        <v>4.5272266779231742</v>
      </c>
    </row>
    <row r="13" spans="1:25" ht="16.5">
      <c r="A13" s="2589" t="s">
        <v>3954</v>
      </c>
      <c r="B13" s="2590">
        <v>6384</v>
      </c>
      <c r="C13" s="2591">
        <f t="shared" si="1"/>
        <v>3.4592063982313834</v>
      </c>
      <c r="D13" s="2592">
        <v>4684</v>
      </c>
      <c r="E13" s="2593">
        <f t="shared" si="2"/>
        <v>4.4709588125805375</v>
      </c>
      <c r="F13" s="2599">
        <v>3278</v>
      </c>
      <c r="G13" s="2595">
        <f t="shared" si="3"/>
        <v>4.1084902113152681</v>
      </c>
      <c r="H13" s="2596">
        <v>83</v>
      </c>
      <c r="I13" s="2597">
        <f t="shared" si="4"/>
        <v>5.6347589952477932</v>
      </c>
      <c r="J13" s="2596">
        <v>42</v>
      </c>
      <c r="K13" s="2597">
        <f t="shared" si="5"/>
        <v>6.9078947368421062</v>
      </c>
      <c r="L13" s="2596">
        <v>41</v>
      </c>
      <c r="M13" s="2597">
        <f t="shared" si="6"/>
        <v>4.7398843930635834</v>
      </c>
      <c r="N13" s="2598">
        <v>204</v>
      </c>
      <c r="O13" s="2597">
        <f t="shared" si="7"/>
        <v>3.1623004185397612</v>
      </c>
      <c r="P13" s="2592">
        <v>117</v>
      </c>
      <c r="Q13" s="2597">
        <f t="shared" si="8"/>
        <v>3.9741847826086958</v>
      </c>
      <c r="R13" s="2592">
        <v>87</v>
      </c>
      <c r="S13" s="2597">
        <f t="shared" si="9"/>
        <v>2.4807527801539777</v>
      </c>
      <c r="T13" s="2592">
        <v>1455</v>
      </c>
      <c r="U13" s="2597">
        <f t="shared" si="10"/>
        <v>6.2796719896417788</v>
      </c>
      <c r="V13" s="2592">
        <v>805</v>
      </c>
      <c r="W13" s="2597">
        <f t="shared" si="11"/>
        <v>5.8784869285818608</v>
      </c>
      <c r="X13" s="2592">
        <v>650</v>
      </c>
      <c r="Y13" s="2591">
        <f t="shared" si="12"/>
        <v>6.8594343604896579</v>
      </c>
    </row>
    <row r="14" spans="1:25" ht="16.5">
      <c r="A14" s="2589" t="s">
        <v>3798</v>
      </c>
      <c r="B14" s="2590">
        <v>6058</v>
      </c>
      <c r="C14" s="2591">
        <f t="shared" si="1"/>
        <v>3.2825614599758328</v>
      </c>
      <c r="D14" s="2592">
        <v>3823</v>
      </c>
      <c r="E14" s="2593">
        <f t="shared" si="2"/>
        <v>3.6491194578342006</v>
      </c>
      <c r="F14" s="2594">
        <v>2235</v>
      </c>
      <c r="G14" s="2595">
        <f t="shared" si="3"/>
        <v>2.8012433258967739</v>
      </c>
      <c r="H14" s="2596" t="s">
        <v>3955</v>
      </c>
      <c r="I14" s="2597" t="s">
        <v>3955</v>
      </c>
      <c r="J14" s="2596" t="s">
        <v>1</v>
      </c>
      <c r="K14" s="2597" t="s">
        <v>3877</v>
      </c>
      <c r="L14" s="2596" t="s">
        <v>1</v>
      </c>
      <c r="M14" s="2597" t="s">
        <v>3877</v>
      </c>
      <c r="N14" s="2598">
        <v>18</v>
      </c>
      <c r="O14" s="2597">
        <f t="shared" si="7"/>
        <v>0.27902650751821423</v>
      </c>
      <c r="P14" s="2592">
        <v>12</v>
      </c>
      <c r="Q14" s="2597">
        <f t="shared" si="8"/>
        <v>0.40760869565217389</v>
      </c>
      <c r="R14" s="2592">
        <v>6</v>
      </c>
      <c r="S14" s="2597">
        <f t="shared" si="9"/>
        <v>0.17108639863130881</v>
      </c>
      <c r="T14" s="2592">
        <v>666</v>
      </c>
      <c r="U14" s="2597">
        <f t="shared" si="10"/>
        <v>2.8744065602071647</v>
      </c>
      <c r="V14" s="2592">
        <v>470</v>
      </c>
      <c r="W14" s="2597">
        <f t="shared" si="11"/>
        <v>3.4321600701036949</v>
      </c>
      <c r="X14" s="2592">
        <v>196</v>
      </c>
      <c r="Y14" s="2591">
        <f t="shared" si="12"/>
        <v>2.0683832840861123</v>
      </c>
    </row>
    <row r="15" spans="1:25" ht="16.5">
      <c r="A15" s="2589" t="s">
        <v>3799</v>
      </c>
      <c r="B15" s="2590">
        <v>5787</v>
      </c>
      <c r="C15" s="2591">
        <f t="shared" si="1"/>
        <v>3.1357185818554218</v>
      </c>
      <c r="D15" s="2592">
        <v>3797</v>
      </c>
      <c r="E15" s="2593">
        <f t="shared" si="2"/>
        <v>3.6243020092588174</v>
      </c>
      <c r="F15" s="2594">
        <v>1990</v>
      </c>
      <c r="G15" s="2595">
        <f t="shared" si="3"/>
        <v>2.4941719098588724</v>
      </c>
      <c r="H15" s="2596">
        <v>1</v>
      </c>
      <c r="I15" s="2597">
        <f t="shared" si="4"/>
        <v>6.7888662593346902E-2</v>
      </c>
      <c r="J15" s="2596" t="s">
        <v>1</v>
      </c>
      <c r="K15" s="2597" t="s">
        <v>3242</v>
      </c>
      <c r="L15" s="2596">
        <v>1</v>
      </c>
      <c r="M15" s="2597">
        <f t="shared" si="6"/>
        <v>0.11560693641618498</v>
      </c>
      <c r="N15" s="2598">
        <v>17</v>
      </c>
      <c r="O15" s="2597">
        <f t="shared" si="7"/>
        <v>0.26352503487831341</v>
      </c>
      <c r="P15" s="2592">
        <v>10</v>
      </c>
      <c r="Q15" s="2597">
        <f t="shared" si="8"/>
        <v>0.33967391304347827</v>
      </c>
      <c r="R15" s="2592">
        <v>7</v>
      </c>
      <c r="S15" s="2597">
        <f t="shared" si="9"/>
        <v>0.19960079840319359</v>
      </c>
      <c r="T15" s="2592">
        <v>334</v>
      </c>
      <c r="U15" s="2597">
        <f t="shared" si="10"/>
        <v>1.4415192058696591</v>
      </c>
      <c r="V15" s="2592">
        <v>228</v>
      </c>
      <c r="W15" s="2597">
        <f t="shared" si="11"/>
        <v>1.6649627574120054</v>
      </c>
      <c r="X15" s="2592">
        <v>106</v>
      </c>
      <c r="Y15" s="2591">
        <f t="shared" si="12"/>
        <v>1.1186154495567751</v>
      </c>
    </row>
    <row r="16" spans="1:25" ht="16.5">
      <c r="A16" s="2589" t="s">
        <v>3800</v>
      </c>
      <c r="B16" s="2590">
        <v>3105</v>
      </c>
      <c r="C16" s="2591">
        <f t="shared" si="1"/>
        <v>1.6824617585382902</v>
      </c>
      <c r="D16" s="2592">
        <v>249</v>
      </c>
      <c r="E16" s="2593">
        <f t="shared" si="2"/>
        <v>0.23767479597193719</v>
      </c>
      <c r="F16" s="2594">
        <v>2856</v>
      </c>
      <c r="G16" s="2595">
        <f t="shared" si="3"/>
        <v>3.5795753640989649</v>
      </c>
      <c r="H16" s="2596">
        <v>382</v>
      </c>
      <c r="I16" s="2597">
        <f t="shared" si="4"/>
        <v>25.933469110658518</v>
      </c>
      <c r="J16" s="2596">
        <v>68</v>
      </c>
      <c r="K16" s="2597">
        <f t="shared" si="5"/>
        <v>11.184210526315789</v>
      </c>
      <c r="L16" s="2596">
        <v>314</v>
      </c>
      <c r="M16" s="2597">
        <f t="shared" si="6"/>
        <v>36.300578034682083</v>
      </c>
      <c r="N16" s="2598">
        <v>1340</v>
      </c>
      <c r="O16" s="2597">
        <f t="shared" si="7"/>
        <v>20.77197333746706</v>
      </c>
      <c r="P16" s="2592">
        <v>113</v>
      </c>
      <c r="Q16" s="2597">
        <f t="shared" si="8"/>
        <v>3.8383152173913042</v>
      </c>
      <c r="R16" s="2592">
        <v>1227</v>
      </c>
      <c r="S16" s="2597">
        <f t="shared" si="9"/>
        <v>34.987168520102649</v>
      </c>
      <c r="T16" s="2592">
        <v>451</v>
      </c>
      <c r="U16" s="2597">
        <f t="shared" si="10"/>
        <v>1.9464825205006475</v>
      </c>
      <c r="V16" s="2592">
        <v>27</v>
      </c>
      <c r="W16" s="2597">
        <f t="shared" si="11"/>
        <v>0.19716664232510586</v>
      </c>
      <c r="X16" s="2592">
        <v>424</v>
      </c>
      <c r="Y16" s="2591">
        <f t="shared" si="12"/>
        <v>4.4744617982271002</v>
      </c>
    </row>
    <row r="17" spans="1:25" ht="16.5">
      <c r="A17" s="2589" t="s">
        <v>3801</v>
      </c>
      <c r="B17" s="2590">
        <v>2836</v>
      </c>
      <c r="C17" s="2591">
        <f t="shared" si="1"/>
        <v>1.5367025916955206</v>
      </c>
      <c r="D17" s="2592">
        <v>1669</v>
      </c>
      <c r="E17" s="2593">
        <f t="shared" si="2"/>
        <v>1.5930892950890088</v>
      </c>
      <c r="F17" s="2600">
        <v>1167</v>
      </c>
      <c r="G17" s="2595">
        <f t="shared" si="3"/>
        <v>1.4626626225152282</v>
      </c>
      <c r="H17" s="2596">
        <v>9</v>
      </c>
      <c r="I17" s="2597">
        <f t="shared" si="4"/>
        <v>0.61099796334012213</v>
      </c>
      <c r="J17" s="2596">
        <v>4</v>
      </c>
      <c r="K17" s="2597">
        <f t="shared" si="5"/>
        <v>0.6578947368421052</v>
      </c>
      <c r="L17" s="2596">
        <v>5</v>
      </c>
      <c r="M17" s="2597">
        <f t="shared" si="6"/>
        <v>0.57803468208092479</v>
      </c>
      <c r="N17" s="2598">
        <v>24</v>
      </c>
      <c r="O17" s="2597">
        <f t="shared" si="7"/>
        <v>0.37203534335761895</v>
      </c>
      <c r="P17" s="2592">
        <v>12</v>
      </c>
      <c r="Q17" s="2597">
        <f t="shared" si="8"/>
        <v>0.40760869565217389</v>
      </c>
      <c r="R17" s="2592">
        <v>12</v>
      </c>
      <c r="S17" s="2597">
        <f t="shared" si="9"/>
        <v>0.34217279726261762</v>
      </c>
      <c r="T17" s="2592">
        <v>292</v>
      </c>
      <c r="U17" s="2597">
        <f t="shared" si="10"/>
        <v>1.2602503236944325</v>
      </c>
      <c r="V17" s="2592">
        <v>176</v>
      </c>
      <c r="W17" s="2597">
        <f t="shared" si="11"/>
        <v>1.2852344092303198</v>
      </c>
      <c r="X17" s="2592">
        <v>116</v>
      </c>
      <c r="Y17" s="2591">
        <f t="shared" si="12"/>
        <v>1.2241452089489235</v>
      </c>
    </row>
    <row r="18" spans="1:25" ht="16.5">
      <c r="A18" s="2589" t="s">
        <v>3802</v>
      </c>
      <c r="B18" s="2590">
        <v>2756</v>
      </c>
      <c r="C18" s="2591">
        <f t="shared" si="1"/>
        <v>1.493354140589864</v>
      </c>
      <c r="D18" s="2592">
        <v>638</v>
      </c>
      <c r="E18" s="2593">
        <f t="shared" si="2"/>
        <v>0.60898200734978292</v>
      </c>
      <c r="F18" s="2598">
        <v>2118</v>
      </c>
      <c r="G18" s="2595">
        <f t="shared" si="3"/>
        <v>2.6546010578296944</v>
      </c>
      <c r="H18" s="2596">
        <v>56</v>
      </c>
      <c r="I18" s="2597">
        <f t="shared" si="4"/>
        <v>3.8017651052274268</v>
      </c>
      <c r="J18" s="2596">
        <v>34</v>
      </c>
      <c r="K18" s="2597">
        <f t="shared" si="5"/>
        <v>5.5921052631578947</v>
      </c>
      <c r="L18" s="2596">
        <v>22</v>
      </c>
      <c r="M18" s="2597">
        <f t="shared" si="6"/>
        <v>2.5433526011560694</v>
      </c>
      <c r="N18" s="2598">
        <v>64</v>
      </c>
      <c r="O18" s="2597">
        <f t="shared" si="7"/>
        <v>0.9920942489536505</v>
      </c>
      <c r="P18" s="2592">
        <v>22</v>
      </c>
      <c r="Q18" s="2597">
        <f t="shared" si="8"/>
        <v>0.74728260869565222</v>
      </c>
      <c r="R18" s="2592">
        <v>42</v>
      </c>
      <c r="S18" s="2597">
        <f t="shared" si="9"/>
        <v>1.1976047904191618</v>
      </c>
      <c r="T18" s="2592">
        <v>89</v>
      </c>
      <c r="U18" s="2597">
        <f t="shared" si="10"/>
        <v>0.38411739318083726</v>
      </c>
      <c r="V18" s="2592">
        <v>12</v>
      </c>
      <c r="W18" s="2597">
        <f t="shared" si="11"/>
        <v>8.7629618811158175E-2</v>
      </c>
      <c r="X18" s="2592">
        <v>77</v>
      </c>
      <c r="Y18" s="2591">
        <f t="shared" si="12"/>
        <v>0.81257914731954417</v>
      </c>
    </row>
    <row r="19" spans="1:25" ht="16.5">
      <c r="A19" s="2589" t="s">
        <v>3956</v>
      </c>
      <c r="B19" s="2590">
        <v>2289</v>
      </c>
      <c r="C19" s="2591">
        <f t="shared" si="1"/>
        <v>1.2403075572605946</v>
      </c>
      <c r="D19" s="2592">
        <v>1244</v>
      </c>
      <c r="E19" s="2593">
        <f t="shared" si="2"/>
        <v>1.1874194626067864</v>
      </c>
      <c r="F19" s="2598">
        <v>843</v>
      </c>
      <c r="G19" s="2595">
        <f t="shared" si="3"/>
        <v>1.0565763417140852</v>
      </c>
      <c r="H19" s="2596">
        <v>17</v>
      </c>
      <c r="I19" s="2597">
        <f t="shared" si="4"/>
        <v>1.1541072640868975</v>
      </c>
      <c r="J19" s="2596">
        <v>9</v>
      </c>
      <c r="K19" s="2597">
        <f t="shared" si="5"/>
        <v>1.4802631578947367</v>
      </c>
      <c r="L19" s="2596">
        <v>8</v>
      </c>
      <c r="M19" s="2597">
        <f t="shared" si="6"/>
        <v>0.92485549132947986</v>
      </c>
      <c r="N19" s="2598">
        <v>53</v>
      </c>
      <c r="O19" s="2597">
        <f t="shared" si="7"/>
        <v>0.82157804991474181</v>
      </c>
      <c r="P19" s="2601">
        <v>32</v>
      </c>
      <c r="Q19" s="2597">
        <f t="shared" si="8"/>
        <v>1.0869565217391304</v>
      </c>
      <c r="R19" s="2601">
        <v>21</v>
      </c>
      <c r="S19" s="2597">
        <f t="shared" si="9"/>
        <v>0.5988023952095809</v>
      </c>
      <c r="T19" s="2601">
        <v>347</v>
      </c>
      <c r="U19" s="2597">
        <f t="shared" si="10"/>
        <v>1.4976262408286578</v>
      </c>
      <c r="V19" s="2601">
        <v>223</v>
      </c>
      <c r="W19" s="2597">
        <f t="shared" si="11"/>
        <v>1.6284504162406894</v>
      </c>
      <c r="X19" s="2601">
        <v>124</v>
      </c>
      <c r="Y19" s="2591">
        <f t="shared" si="12"/>
        <v>1.3085690164626425</v>
      </c>
    </row>
    <row r="20" spans="1:25" ht="16.5">
      <c r="A20" s="2589" t="s">
        <v>2718</v>
      </c>
      <c r="B20" s="2590">
        <v>2087</v>
      </c>
      <c r="C20" s="2591">
        <f t="shared" si="1"/>
        <v>1.1308527182188122</v>
      </c>
      <c r="D20" s="2592">
        <v>1070</v>
      </c>
      <c r="E20" s="2593">
        <f t="shared" si="2"/>
        <v>1.0213334606023003</v>
      </c>
      <c r="F20" s="2600">
        <v>786</v>
      </c>
      <c r="G20" s="2595">
        <f t="shared" si="3"/>
        <v>0.98513523675832859</v>
      </c>
      <c r="H20" s="2596">
        <v>1</v>
      </c>
      <c r="I20" s="2597">
        <f t="shared" si="4"/>
        <v>6.7888662593346902E-2</v>
      </c>
      <c r="J20" s="2596">
        <v>1</v>
      </c>
      <c r="K20" s="2597">
        <f t="shared" si="5"/>
        <v>0.1644736842105263</v>
      </c>
      <c r="L20" s="2596" t="s">
        <v>1</v>
      </c>
      <c r="M20" s="2597" t="s">
        <v>3242</v>
      </c>
      <c r="N20" s="2598">
        <v>2</v>
      </c>
      <c r="O20" s="2597">
        <f t="shared" si="7"/>
        <v>3.1002945279801578E-2</v>
      </c>
      <c r="P20" s="2592" t="s">
        <v>1</v>
      </c>
      <c r="Q20" s="2597" t="s">
        <v>3242</v>
      </c>
      <c r="R20" s="2592">
        <v>2</v>
      </c>
      <c r="S20" s="2597">
        <f t="shared" si="9"/>
        <v>5.7028799543769611E-2</v>
      </c>
      <c r="T20" s="2592">
        <v>55</v>
      </c>
      <c r="U20" s="2597">
        <f t="shared" si="10"/>
        <v>0.23737591713422529</v>
      </c>
      <c r="V20" s="2592">
        <v>17</v>
      </c>
      <c r="W20" s="2597">
        <f t="shared" si="11"/>
        <v>0.12414195998247407</v>
      </c>
      <c r="X20" s="2592">
        <v>38</v>
      </c>
      <c r="Y20" s="2591">
        <f t="shared" si="12"/>
        <v>0.40101308569016464</v>
      </c>
    </row>
    <row r="21" spans="1:25" ht="16.5">
      <c r="A21" s="2589" t="s">
        <v>3804</v>
      </c>
      <c r="B21" s="2590">
        <v>1856</v>
      </c>
      <c r="C21" s="2591">
        <f t="shared" si="1"/>
        <v>1.0056840656512291</v>
      </c>
      <c r="D21" s="2592">
        <v>1469</v>
      </c>
      <c r="E21" s="2593">
        <f t="shared" si="2"/>
        <v>1.4021858445091395</v>
      </c>
      <c r="F21" s="2598">
        <v>165</v>
      </c>
      <c r="G21" s="2595">
        <f t="shared" si="3"/>
        <v>0.20680319855613766</v>
      </c>
      <c r="H21" s="2596">
        <v>3</v>
      </c>
      <c r="I21" s="2597">
        <f t="shared" si="4"/>
        <v>0.20366598778004072</v>
      </c>
      <c r="J21" s="2596">
        <v>3</v>
      </c>
      <c r="K21" s="2597">
        <f t="shared" si="5"/>
        <v>0.49342105263157893</v>
      </c>
      <c r="L21" s="2596" t="s">
        <v>1</v>
      </c>
      <c r="M21" s="2597" t="s">
        <v>3242</v>
      </c>
      <c r="N21" s="2598">
        <v>51</v>
      </c>
      <c r="O21" s="2597">
        <f t="shared" si="7"/>
        <v>0.7905751046349403</v>
      </c>
      <c r="P21" s="2592">
        <v>38</v>
      </c>
      <c r="Q21" s="2597">
        <f t="shared" si="8"/>
        <v>1.2907608695652173</v>
      </c>
      <c r="R21" s="2592">
        <v>13</v>
      </c>
      <c r="S21" s="2597">
        <f t="shared" si="9"/>
        <v>0.37068719703450242</v>
      </c>
      <c r="T21" s="2592">
        <v>274</v>
      </c>
      <c r="U21" s="2597">
        <f t="shared" si="10"/>
        <v>1.1825636599050497</v>
      </c>
      <c r="V21" s="2592">
        <v>176</v>
      </c>
      <c r="W21" s="2597">
        <f t="shared" si="11"/>
        <v>1.2852344092303198</v>
      </c>
      <c r="X21" s="2592">
        <v>98</v>
      </c>
      <c r="Y21" s="2591">
        <f t="shared" si="12"/>
        <v>1.0341916420430561</v>
      </c>
    </row>
    <row r="22" spans="1:25" ht="16.5">
      <c r="A22" s="2589" t="s">
        <v>3805</v>
      </c>
      <c r="B22" s="2590">
        <v>1634</v>
      </c>
      <c r="C22" s="2591">
        <f t="shared" si="1"/>
        <v>0.88539211383303251</v>
      </c>
      <c r="D22" s="2592">
        <v>1349</v>
      </c>
      <c r="E22" s="2593">
        <f t="shared" si="2"/>
        <v>1.2876437741612179</v>
      </c>
      <c r="F22" s="2598">
        <v>232</v>
      </c>
      <c r="G22" s="2595">
        <f t="shared" si="3"/>
        <v>0.29077783069711477</v>
      </c>
      <c r="H22" s="2596" t="s">
        <v>3242</v>
      </c>
      <c r="I22" s="2597" t="s">
        <v>3242</v>
      </c>
      <c r="J22" s="2596" t="s">
        <v>1</v>
      </c>
      <c r="K22" s="2597" t="s">
        <v>3242</v>
      </c>
      <c r="L22" s="2596" t="s">
        <v>1</v>
      </c>
      <c r="M22" s="2597" t="s">
        <v>3242</v>
      </c>
      <c r="N22" s="2598" t="s">
        <v>1</v>
      </c>
      <c r="O22" s="2597" t="s">
        <v>3242</v>
      </c>
      <c r="P22" s="2592" t="s">
        <v>1</v>
      </c>
      <c r="Q22" s="2597" t="s">
        <v>3242</v>
      </c>
      <c r="R22" s="2592" t="s">
        <v>1</v>
      </c>
      <c r="S22" s="2597" t="s">
        <v>3242</v>
      </c>
      <c r="T22" s="2592">
        <v>267</v>
      </c>
      <c r="U22" s="2597">
        <f t="shared" si="10"/>
        <v>1.1523521795425118</v>
      </c>
      <c r="V22" s="2592">
        <v>245</v>
      </c>
      <c r="W22" s="2597">
        <f t="shared" si="11"/>
        <v>1.7891047173944792</v>
      </c>
      <c r="X22" s="2592">
        <v>22</v>
      </c>
      <c r="Y22" s="2591">
        <f t="shared" si="12"/>
        <v>0.23216547066272691</v>
      </c>
    </row>
    <row r="23" spans="1:25" ht="16.5">
      <c r="A23" s="2589" t="s">
        <v>2712</v>
      </c>
      <c r="B23" s="2590">
        <v>1581</v>
      </c>
      <c r="C23" s="2591">
        <f t="shared" si="1"/>
        <v>0.85667376497553516</v>
      </c>
      <c r="D23" s="2592">
        <v>1180</v>
      </c>
      <c r="E23" s="2593">
        <f t="shared" si="2"/>
        <v>1.1263303584212285</v>
      </c>
      <c r="F23" s="2598">
        <v>314</v>
      </c>
      <c r="G23" s="2595">
        <f t="shared" si="3"/>
        <v>0.39355275361592257</v>
      </c>
      <c r="H23" s="2596" t="s">
        <v>3242</v>
      </c>
      <c r="I23" s="2597" t="s">
        <v>3242</v>
      </c>
      <c r="J23" s="2596" t="s">
        <v>1</v>
      </c>
      <c r="K23" s="2597" t="s">
        <v>3242</v>
      </c>
      <c r="L23" s="2596" t="s">
        <v>1</v>
      </c>
      <c r="M23" s="2597" t="s">
        <v>3242</v>
      </c>
      <c r="N23" s="2598">
        <v>5</v>
      </c>
      <c r="O23" s="2597">
        <f t="shared" si="7"/>
        <v>7.7507363199503951E-2</v>
      </c>
      <c r="P23" s="2592">
        <v>5</v>
      </c>
      <c r="Q23" s="2597">
        <f t="shared" si="8"/>
        <v>0.16983695652173914</v>
      </c>
      <c r="R23" s="2592" t="s">
        <v>1</v>
      </c>
      <c r="S23" s="2597" t="s">
        <v>3955</v>
      </c>
      <c r="T23" s="2592">
        <v>25</v>
      </c>
      <c r="U23" s="2597">
        <f t="shared" si="10"/>
        <v>0.10789814415192059</v>
      </c>
      <c r="V23" s="2592">
        <v>15</v>
      </c>
      <c r="W23" s="2597">
        <f t="shared" si="11"/>
        <v>0.10953702351394771</v>
      </c>
      <c r="X23" s="2592">
        <v>10</v>
      </c>
      <c r="Y23" s="2591">
        <f t="shared" si="12"/>
        <v>0.10552975939214859</v>
      </c>
    </row>
    <row r="24" spans="1:25" ht="16.5">
      <c r="A24" s="2589" t="s">
        <v>3806</v>
      </c>
      <c r="B24" s="2590">
        <v>1494</v>
      </c>
      <c r="C24" s="2591">
        <f t="shared" si="1"/>
        <v>0.80953232439813383</v>
      </c>
      <c r="D24" s="2592">
        <v>718</v>
      </c>
      <c r="E24" s="2593">
        <f t="shared" si="2"/>
        <v>0.68534338758173052</v>
      </c>
      <c r="F24" s="2598">
        <v>505</v>
      </c>
      <c r="G24" s="2595">
        <f t="shared" si="3"/>
        <v>0.63294312285363352</v>
      </c>
      <c r="H24" s="2596" t="s">
        <v>3242</v>
      </c>
      <c r="I24" s="2597" t="s">
        <v>3242</v>
      </c>
      <c r="J24" s="2596" t="s">
        <v>1</v>
      </c>
      <c r="K24" s="2597" t="s">
        <v>3955</v>
      </c>
      <c r="L24" s="2596" t="s">
        <v>1</v>
      </c>
      <c r="M24" s="2597" t="s">
        <v>3242</v>
      </c>
      <c r="N24" s="2598">
        <v>1</v>
      </c>
      <c r="O24" s="2597">
        <f t="shared" si="7"/>
        <v>1.5501472639900789E-2</v>
      </c>
      <c r="P24" s="2592">
        <v>1</v>
      </c>
      <c r="Q24" s="2597">
        <f t="shared" si="8"/>
        <v>3.3967391304347824E-2</v>
      </c>
      <c r="R24" s="2592" t="s">
        <v>1</v>
      </c>
      <c r="S24" s="2597" t="s">
        <v>3955</v>
      </c>
      <c r="T24" s="2592">
        <v>56</v>
      </c>
      <c r="U24" s="2597">
        <f t="shared" si="10"/>
        <v>0.2416918429003021</v>
      </c>
      <c r="V24" s="2592">
        <v>44</v>
      </c>
      <c r="W24" s="2597">
        <f t="shared" si="11"/>
        <v>0.32130860230757996</v>
      </c>
      <c r="X24" s="2592">
        <v>12</v>
      </c>
      <c r="Y24" s="2591">
        <f t="shared" si="12"/>
        <v>0.12663571127057829</v>
      </c>
    </row>
    <row r="25" spans="1:25" ht="16.5">
      <c r="A25" s="2589" t="s">
        <v>3807</v>
      </c>
      <c r="B25" s="2590">
        <v>1223</v>
      </c>
      <c r="C25" s="2591">
        <f t="shared" si="1"/>
        <v>0.66268944627772264</v>
      </c>
      <c r="D25" s="2592">
        <v>682</v>
      </c>
      <c r="E25" s="2593">
        <f t="shared" si="2"/>
        <v>0.65098076647735414</v>
      </c>
      <c r="F25" s="2598">
        <v>410</v>
      </c>
      <c r="G25" s="2595">
        <f t="shared" si="3"/>
        <v>0.51387461459403905</v>
      </c>
      <c r="H25" s="2596">
        <v>1</v>
      </c>
      <c r="I25" s="2597">
        <f t="shared" si="4"/>
        <v>6.7888662593346902E-2</v>
      </c>
      <c r="J25" s="2596">
        <v>1</v>
      </c>
      <c r="K25" s="2597">
        <f t="shared" si="5"/>
        <v>0.1644736842105263</v>
      </c>
      <c r="L25" s="2596" t="s">
        <v>1</v>
      </c>
      <c r="M25" s="2597" t="s">
        <v>3877</v>
      </c>
      <c r="N25" s="2598">
        <v>2</v>
      </c>
      <c r="O25" s="2597">
        <f t="shared" si="7"/>
        <v>3.1002945279801578E-2</v>
      </c>
      <c r="P25" s="2592">
        <v>2</v>
      </c>
      <c r="Q25" s="2597">
        <f t="shared" si="8"/>
        <v>6.7934782608695649E-2</v>
      </c>
      <c r="R25" s="2592" t="s">
        <v>1</v>
      </c>
      <c r="S25" s="2597" t="s">
        <v>3242</v>
      </c>
      <c r="T25" s="2592">
        <v>63</v>
      </c>
      <c r="U25" s="2597">
        <f t="shared" si="10"/>
        <v>0.27190332326283989</v>
      </c>
      <c r="V25" s="2592">
        <v>36</v>
      </c>
      <c r="W25" s="2597">
        <f t="shared" si="11"/>
        <v>0.26288885643347448</v>
      </c>
      <c r="X25" s="2592">
        <v>27</v>
      </c>
      <c r="Y25" s="2591">
        <f t="shared" si="12"/>
        <v>0.28493035035880115</v>
      </c>
    </row>
    <row r="26" spans="1:25" ht="16.5">
      <c r="A26" s="2589" t="s">
        <v>3808</v>
      </c>
      <c r="B26" s="2590">
        <v>1092</v>
      </c>
      <c r="C26" s="2591">
        <f t="shared" si="1"/>
        <v>0.59170635759221024</v>
      </c>
      <c r="D26" s="2592">
        <v>687</v>
      </c>
      <c r="E26" s="2593">
        <f t="shared" si="2"/>
        <v>0.65575335274185076</v>
      </c>
      <c r="F26" s="2598">
        <v>254</v>
      </c>
      <c r="G26" s="2595">
        <f t="shared" si="3"/>
        <v>0.31835159050459982</v>
      </c>
      <c r="H26" s="2596" t="s">
        <v>3242</v>
      </c>
      <c r="I26" s="2597" t="s">
        <v>3242</v>
      </c>
      <c r="J26" s="2596" t="s">
        <v>1</v>
      </c>
      <c r="K26" s="2597" t="s">
        <v>3242</v>
      </c>
      <c r="L26" s="2596" t="s">
        <v>1</v>
      </c>
      <c r="M26" s="2597" t="s">
        <v>3242</v>
      </c>
      <c r="N26" s="2598">
        <v>11</v>
      </c>
      <c r="O26" s="2597">
        <f t="shared" si="7"/>
        <v>0.17051619903890869</v>
      </c>
      <c r="P26" s="2592">
        <v>3</v>
      </c>
      <c r="Q26" s="2597">
        <f t="shared" si="8"/>
        <v>0.10190217391304347</v>
      </c>
      <c r="R26" s="2592">
        <v>8</v>
      </c>
      <c r="S26" s="2597">
        <f t="shared" si="9"/>
        <v>0.22811519817507844</v>
      </c>
      <c r="T26" s="2592">
        <v>110</v>
      </c>
      <c r="U26" s="2597">
        <f t="shared" si="10"/>
        <v>0.47475183426845058</v>
      </c>
      <c r="V26" s="2592">
        <v>79</v>
      </c>
      <c r="W26" s="2597">
        <f t="shared" si="11"/>
        <v>0.57689499050679127</v>
      </c>
      <c r="X26" s="2592">
        <v>31</v>
      </c>
      <c r="Y26" s="2591">
        <f t="shared" si="12"/>
        <v>0.32714225411566061</v>
      </c>
    </row>
    <row r="27" spans="1:25" ht="16.5">
      <c r="A27" s="2589" t="s">
        <v>3809</v>
      </c>
      <c r="B27" s="2590">
        <v>941</v>
      </c>
      <c r="C27" s="2591">
        <f t="shared" si="1"/>
        <v>0.50988615613028376</v>
      </c>
      <c r="D27" s="2592">
        <v>496</v>
      </c>
      <c r="E27" s="2593">
        <f t="shared" si="2"/>
        <v>0.47344055743807573</v>
      </c>
      <c r="F27" s="2598">
        <v>366</v>
      </c>
      <c r="G27" s="2595">
        <f t="shared" si="3"/>
        <v>0.45872709497906899</v>
      </c>
      <c r="H27" s="2596">
        <v>3</v>
      </c>
      <c r="I27" s="2597">
        <f t="shared" si="4"/>
        <v>0.20366598778004072</v>
      </c>
      <c r="J27" s="2596">
        <v>2</v>
      </c>
      <c r="K27" s="2597">
        <f t="shared" si="5"/>
        <v>0.3289473684210526</v>
      </c>
      <c r="L27" s="2596">
        <v>1</v>
      </c>
      <c r="M27" s="2597">
        <f t="shared" si="6"/>
        <v>0.11560693641618498</v>
      </c>
      <c r="N27" s="2598">
        <v>57</v>
      </c>
      <c r="O27" s="2597">
        <f t="shared" si="7"/>
        <v>0.88358394047434508</v>
      </c>
      <c r="P27" s="2592">
        <v>50</v>
      </c>
      <c r="Q27" s="2597">
        <f t="shared" si="8"/>
        <v>1.6983695652173911</v>
      </c>
      <c r="R27" s="2592">
        <v>7</v>
      </c>
      <c r="S27" s="2597">
        <f t="shared" si="9"/>
        <v>0.19960079840319359</v>
      </c>
      <c r="T27" s="2592">
        <v>75</v>
      </c>
      <c r="U27" s="2597">
        <f t="shared" si="10"/>
        <v>0.32369443245576174</v>
      </c>
      <c r="V27" s="2592">
        <v>57</v>
      </c>
      <c r="W27" s="2597">
        <f t="shared" si="11"/>
        <v>0.41624068935300135</v>
      </c>
      <c r="X27" s="2592">
        <v>18</v>
      </c>
      <c r="Y27" s="2591">
        <f t="shared" si="12"/>
        <v>0.18995356690586745</v>
      </c>
    </row>
    <row r="28" spans="1:25" ht="16.5">
      <c r="A28" s="2589" t="s">
        <v>3810</v>
      </c>
      <c r="B28" s="2590">
        <v>862</v>
      </c>
      <c r="C28" s="2591">
        <f t="shared" si="1"/>
        <v>0.46707956066344808</v>
      </c>
      <c r="D28" s="2592">
        <v>197</v>
      </c>
      <c r="E28" s="2593">
        <f t="shared" si="2"/>
        <v>0.18803989882117117</v>
      </c>
      <c r="F28" s="2598">
        <v>661</v>
      </c>
      <c r="G28" s="2595">
        <f t="shared" si="3"/>
        <v>0.82846614694307275</v>
      </c>
      <c r="H28" s="2596" t="s">
        <v>3242</v>
      </c>
      <c r="I28" s="2597" t="s">
        <v>3242</v>
      </c>
      <c r="J28" s="2596" t="s">
        <v>1</v>
      </c>
      <c r="K28" s="2597" t="s">
        <v>3242</v>
      </c>
      <c r="L28" s="2596" t="s">
        <v>1</v>
      </c>
      <c r="M28" s="2597" t="s">
        <v>3242</v>
      </c>
      <c r="N28" s="2598">
        <v>25</v>
      </c>
      <c r="O28" s="2597">
        <f t="shared" si="7"/>
        <v>0.38753681599751977</v>
      </c>
      <c r="P28" s="2592">
        <v>19</v>
      </c>
      <c r="Q28" s="2597">
        <f t="shared" si="8"/>
        <v>0.64538043478260865</v>
      </c>
      <c r="R28" s="2592">
        <v>6</v>
      </c>
      <c r="S28" s="2597">
        <f t="shared" si="9"/>
        <v>0.17108639863130881</v>
      </c>
      <c r="T28" s="2592">
        <v>123</v>
      </c>
      <c r="U28" s="2597">
        <f t="shared" si="10"/>
        <v>0.53085886922744929</v>
      </c>
      <c r="V28" s="2592">
        <v>78</v>
      </c>
      <c r="W28" s="2597">
        <f t="shared" si="11"/>
        <v>0.5695925222725281</v>
      </c>
      <c r="X28" s="2592">
        <v>45</v>
      </c>
      <c r="Y28" s="2591">
        <f t="shared" si="12"/>
        <v>0.47488391726466861</v>
      </c>
    </row>
    <row r="29" spans="1:25" ht="16.5">
      <c r="A29" s="2589" t="s">
        <v>3811</v>
      </c>
      <c r="B29" s="2590">
        <v>858</v>
      </c>
      <c r="C29" s="2591">
        <f t="shared" si="1"/>
        <v>0.46491213810816523</v>
      </c>
      <c r="D29" s="2592">
        <v>82</v>
      </c>
      <c r="E29" s="2593">
        <f t="shared" si="2"/>
        <v>7.8270414737746374E-2</v>
      </c>
      <c r="F29" s="2598">
        <v>677</v>
      </c>
      <c r="G29" s="2595">
        <f t="shared" si="3"/>
        <v>0.84851979043942538</v>
      </c>
      <c r="H29" s="2596">
        <v>13</v>
      </c>
      <c r="I29" s="2597">
        <f t="shared" si="4"/>
        <v>0.8825526137135099</v>
      </c>
      <c r="J29" s="2596">
        <v>7</v>
      </c>
      <c r="K29" s="2597">
        <f t="shared" si="5"/>
        <v>1.1513157894736841</v>
      </c>
      <c r="L29" s="2596">
        <v>6</v>
      </c>
      <c r="M29" s="2597">
        <f t="shared" si="6"/>
        <v>0.69364161849710981</v>
      </c>
      <c r="N29" s="2598">
        <v>55</v>
      </c>
      <c r="O29" s="2597">
        <f t="shared" si="7"/>
        <v>0.85258099519454345</v>
      </c>
      <c r="P29" s="2592">
        <v>7</v>
      </c>
      <c r="Q29" s="2597">
        <f t="shared" si="8"/>
        <v>0.23777173913043481</v>
      </c>
      <c r="R29" s="2592">
        <v>48</v>
      </c>
      <c r="S29" s="2597">
        <f t="shared" si="9"/>
        <v>1.3686911890504705</v>
      </c>
      <c r="T29" s="2592">
        <v>195</v>
      </c>
      <c r="U29" s="2597">
        <f t="shared" si="10"/>
        <v>0.84160552438498049</v>
      </c>
      <c r="V29" s="2592">
        <v>26</v>
      </c>
      <c r="W29" s="2597">
        <f t="shared" si="11"/>
        <v>0.18986417409084269</v>
      </c>
      <c r="X29" s="2592">
        <v>169</v>
      </c>
      <c r="Y29" s="2591">
        <f t="shared" si="12"/>
        <v>1.7834529337273111</v>
      </c>
    </row>
    <row r="30" spans="1:25" ht="16.5">
      <c r="A30" s="2589" t="s">
        <v>3812</v>
      </c>
      <c r="B30" s="2590">
        <v>759</v>
      </c>
      <c r="C30" s="2591">
        <f t="shared" si="1"/>
        <v>0.41126842986491541</v>
      </c>
      <c r="D30" s="2592">
        <v>46</v>
      </c>
      <c r="E30" s="2593">
        <f t="shared" si="2"/>
        <v>4.390779363336992E-2</v>
      </c>
      <c r="F30" s="2598">
        <v>654</v>
      </c>
      <c r="G30" s="2595">
        <f t="shared" si="3"/>
        <v>0.81969267791341849</v>
      </c>
      <c r="H30" s="2596">
        <v>74</v>
      </c>
      <c r="I30" s="2597">
        <f t="shared" si="4"/>
        <v>5.0237610319076715</v>
      </c>
      <c r="J30" s="2596">
        <v>13</v>
      </c>
      <c r="K30" s="2597">
        <f t="shared" si="5"/>
        <v>2.138157894736842</v>
      </c>
      <c r="L30" s="2596">
        <v>61</v>
      </c>
      <c r="M30" s="2597">
        <f t="shared" si="6"/>
        <v>7.0520231213872835</v>
      </c>
      <c r="N30" s="2598">
        <v>637</v>
      </c>
      <c r="O30" s="2597">
        <f t="shared" si="7"/>
        <v>9.8744380716168028</v>
      </c>
      <c r="P30" s="2592">
        <v>63</v>
      </c>
      <c r="Q30" s="2597">
        <f t="shared" si="8"/>
        <v>2.1399456521739131</v>
      </c>
      <c r="R30" s="2592">
        <v>574</v>
      </c>
      <c r="S30" s="2597">
        <f t="shared" si="9"/>
        <v>16.367265469061877</v>
      </c>
      <c r="T30" s="2592">
        <v>27</v>
      </c>
      <c r="U30" s="2597">
        <f t="shared" si="10"/>
        <v>0.11652999568407424</v>
      </c>
      <c r="V30" s="2592" t="s">
        <v>1</v>
      </c>
      <c r="W30" s="2597" t="s">
        <v>3242</v>
      </c>
      <c r="X30" s="2592">
        <v>27</v>
      </c>
      <c r="Y30" s="2591">
        <f t="shared" si="12"/>
        <v>0.28493035035880115</v>
      </c>
    </row>
    <row r="31" spans="1:25" ht="16.5">
      <c r="A31" s="2589" t="s">
        <v>3813</v>
      </c>
      <c r="B31" s="2590">
        <v>700</v>
      </c>
      <c r="C31" s="2591">
        <f t="shared" si="1"/>
        <v>0.37929894717449381</v>
      </c>
      <c r="D31" s="2592">
        <v>293</v>
      </c>
      <c r="E31" s="2593">
        <f t="shared" si="2"/>
        <v>0.27967355509950842</v>
      </c>
      <c r="F31" s="2598">
        <v>376</v>
      </c>
      <c r="G31" s="2595">
        <f t="shared" si="3"/>
        <v>0.47126062216428943</v>
      </c>
      <c r="H31" s="2596">
        <v>33</v>
      </c>
      <c r="I31" s="2597">
        <f t="shared" si="4"/>
        <v>2.2403258655804481</v>
      </c>
      <c r="J31" s="2596">
        <v>8</v>
      </c>
      <c r="K31" s="2597">
        <f t="shared" si="5"/>
        <v>1.3157894736842104</v>
      </c>
      <c r="L31" s="2596">
        <v>25</v>
      </c>
      <c r="M31" s="2597">
        <f t="shared" si="6"/>
        <v>2.8901734104046244</v>
      </c>
      <c r="N31" s="2598">
        <v>99</v>
      </c>
      <c r="O31" s="2597">
        <f t="shared" si="7"/>
        <v>1.5346457913501781</v>
      </c>
      <c r="P31" s="2592">
        <v>4</v>
      </c>
      <c r="Q31" s="2597">
        <f t="shared" si="8"/>
        <v>0.1358695652173913</v>
      </c>
      <c r="R31" s="2592">
        <v>95</v>
      </c>
      <c r="S31" s="2597">
        <f t="shared" si="9"/>
        <v>2.7088679783290561</v>
      </c>
      <c r="T31" s="2592">
        <v>160</v>
      </c>
      <c r="U31" s="2597">
        <f t="shared" si="10"/>
        <v>0.69054812257229181</v>
      </c>
      <c r="V31" s="2592">
        <v>10</v>
      </c>
      <c r="W31" s="2597">
        <f t="shared" si="11"/>
        <v>7.3024682342631805E-2</v>
      </c>
      <c r="X31" s="2592">
        <v>150</v>
      </c>
      <c r="Y31" s="2591">
        <f t="shared" si="12"/>
        <v>1.5829463908822288</v>
      </c>
    </row>
    <row r="32" spans="1:25" ht="16.5">
      <c r="A32" s="2589" t="s">
        <v>3814</v>
      </c>
      <c r="B32" s="2590">
        <v>669</v>
      </c>
      <c r="C32" s="2591">
        <f t="shared" si="1"/>
        <v>0.36250142237105193</v>
      </c>
      <c r="D32" s="2592">
        <v>433</v>
      </c>
      <c r="E32" s="2593">
        <f t="shared" si="2"/>
        <v>0.41330597050541695</v>
      </c>
      <c r="F32" s="2598">
        <v>191</v>
      </c>
      <c r="G32" s="2595">
        <f t="shared" si="3"/>
        <v>0.2393903692377109</v>
      </c>
      <c r="H32" s="2596">
        <v>5</v>
      </c>
      <c r="I32" s="2597">
        <f t="shared" si="4"/>
        <v>0.33944331296673458</v>
      </c>
      <c r="J32" s="2596">
        <v>1</v>
      </c>
      <c r="K32" s="2597">
        <f t="shared" si="5"/>
        <v>0.1644736842105263</v>
      </c>
      <c r="L32" s="2596">
        <v>4</v>
      </c>
      <c r="M32" s="2597">
        <f t="shared" si="6"/>
        <v>0.46242774566473993</v>
      </c>
      <c r="N32" s="2598">
        <v>69</v>
      </c>
      <c r="O32" s="2597">
        <f t="shared" si="7"/>
        <v>1.0696016121531546</v>
      </c>
      <c r="P32" s="2592">
        <v>3</v>
      </c>
      <c r="Q32" s="2597">
        <f t="shared" si="8"/>
        <v>0.10190217391304347</v>
      </c>
      <c r="R32" s="2592">
        <v>66</v>
      </c>
      <c r="S32" s="2597">
        <f t="shared" si="9"/>
        <v>1.8819503849443968</v>
      </c>
      <c r="T32" s="2592">
        <v>16</v>
      </c>
      <c r="U32" s="2597">
        <f t="shared" si="10"/>
        <v>6.9054812257229176E-2</v>
      </c>
      <c r="V32" s="2592">
        <v>5</v>
      </c>
      <c r="W32" s="2597">
        <f t="shared" si="11"/>
        <v>3.6512341171315903E-2</v>
      </c>
      <c r="X32" s="2592">
        <v>11</v>
      </c>
      <c r="Y32" s="2591">
        <f t="shared" si="12"/>
        <v>0.11608273533136346</v>
      </c>
    </row>
    <row r="33" spans="1:25" s="2582" customFormat="1" ht="16.5" customHeight="1">
      <c r="A33" s="2589" t="s">
        <v>3815</v>
      </c>
      <c r="B33" s="2590">
        <v>624</v>
      </c>
      <c r="C33" s="2591">
        <f t="shared" si="1"/>
        <v>0.33811791862412016</v>
      </c>
      <c r="D33" s="2592">
        <v>230</v>
      </c>
      <c r="E33" s="2593">
        <f t="shared" si="2"/>
        <v>0.21953896816684962</v>
      </c>
      <c r="F33" s="2602">
        <v>288</v>
      </c>
      <c r="G33" s="2595">
        <f t="shared" si="3"/>
        <v>0.36096558293434938</v>
      </c>
      <c r="H33" s="2596">
        <v>3</v>
      </c>
      <c r="I33" s="2597">
        <f t="shared" si="4"/>
        <v>0.20366598778004072</v>
      </c>
      <c r="J33" s="2596">
        <v>2</v>
      </c>
      <c r="K33" s="2597">
        <f t="shared" si="5"/>
        <v>0.3289473684210526</v>
      </c>
      <c r="L33" s="2596">
        <v>1</v>
      </c>
      <c r="M33" s="2597">
        <f t="shared" si="6"/>
        <v>0.11560693641618498</v>
      </c>
      <c r="N33" s="2602">
        <v>12</v>
      </c>
      <c r="O33" s="2597">
        <f t="shared" si="7"/>
        <v>0.18601767167880948</v>
      </c>
      <c r="P33" s="2592">
        <v>8</v>
      </c>
      <c r="Q33" s="2597">
        <f t="shared" si="8"/>
        <v>0.27173913043478259</v>
      </c>
      <c r="R33" s="2592">
        <v>4</v>
      </c>
      <c r="S33" s="2597">
        <f t="shared" si="9"/>
        <v>0.11405759908753922</v>
      </c>
      <c r="T33" s="2592">
        <v>16</v>
      </c>
      <c r="U33" s="2597">
        <f t="shared" si="10"/>
        <v>6.9054812257229176E-2</v>
      </c>
      <c r="V33" s="2592">
        <v>7</v>
      </c>
      <c r="W33" s="2597">
        <f t="shared" si="11"/>
        <v>5.1117277639842272E-2</v>
      </c>
      <c r="X33" s="2592">
        <v>9</v>
      </c>
      <c r="Y33" s="2591">
        <f t="shared" si="12"/>
        <v>9.4976783452933727E-2</v>
      </c>
    </row>
    <row r="34" spans="1:25" ht="15.75" customHeight="1">
      <c r="A34" s="2589" t="s">
        <v>3816</v>
      </c>
      <c r="B34" s="2590">
        <v>518</v>
      </c>
      <c r="C34" s="2591">
        <f t="shared" si="1"/>
        <v>0.2806812209091254</v>
      </c>
      <c r="D34" s="2592">
        <v>325</v>
      </c>
      <c r="E34" s="2593">
        <f t="shared" si="2"/>
        <v>0.31021810719228748</v>
      </c>
      <c r="F34" s="2596">
        <v>77</v>
      </c>
      <c r="G34" s="2595">
        <f t="shared" si="3"/>
        <v>9.6508159326197579E-2</v>
      </c>
      <c r="H34" s="2596" t="s">
        <v>3242</v>
      </c>
      <c r="I34" s="2597" t="s">
        <v>3242</v>
      </c>
      <c r="J34" s="2596" t="s">
        <v>1</v>
      </c>
      <c r="K34" s="2597" t="s">
        <v>3242</v>
      </c>
      <c r="L34" s="2596" t="s">
        <v>1</v>
      </c>
      <c r="M34" s="2597" t="s">
        <v>3877</v>
      </c>
      <c r="N34" s="2596">
        <v>4</v>
      </c>
      <c r="O34" s="2597">
        <f t="shared" si="7"/>
        <v>6.2005890559603156E-2</v>
      </c>
      <c r="P34" s="2592">
        <v>3</v>
      </c>
      <c r="Q34" s="2597">
        <f t="shared" si="8"/>
        <v>0.10190217391304347</v>
      </c>
      <c r="R34" s="2592">
        <v>1</v>
      </c>
      <c r="S34" s="2597">
        <f t="shared" si="9"/>
        <v>2.8514399771884805E-2</v>
      </c>
      <c r="T34" s="2592">
        <v>106</v>
      </c>
      <c r="U34" s="2597">
        <f t="shared" si="10"/>
        <v>0.45748813120414328</v>
      </c>
      <c r="V34" s="2592">
        <v>54</v>
      </c>
      <c r="W34" s="2597">
        <f t="shared" si="11"/>
        <v>0.39433328465021172</v>
      </c>
      <c r="X34" s="2592">
        <v>52</v>
      </c>
      <c r="Y34" s="2591">
        <f t="shared" si="12"/>
        <v>0.54875474883917263</v>
      </c>
    </row>
    <row r="35" spans="1:25" ht="16.5">
      <c r="A35" s="2589" t="s">
        <v>3817</v>
      </c>
      <c r="B35" s="2590">
        <v>402</v>
      </c>
      <c r="C35" s="2591">
        <f t="shared" si="1"/>
        <v>0.21782596680592356</v>
      </c>
      <c r="D35" s="2592">
        <v>282</v>
      </c>
      <c r="E35" s="2593">
        <f t="shared" si="2"/>
        <v>0.26917386531761561</v>
      </c>
      <c r="F35" s="2596">
        <v>106</v>
      </c>
      <c r="G35" s="2595">
        <f t="shared" si="3"/>
        <v>0.13285538816333692</v>
      </c>
      <c r="H35" s="2596">
        <v>13</v>
      </c>
      <c r="I35" s="2597">
        <f t="shared" si="4"/>
        <v>0.8825526137135099</v>
      </c>
      <c r="J35" s="2596">
        <v>9</v>
      </c>
      <c r="K35" s="2597">
        <f t="shared" si="5"/>
        <v>1.4802631578947367</v>
      </c>
      <c r="L35" s="2596">
        <v>4</v>
      </c>
      <c r="M35" s="2597">
        <f t="shared" si="6"/>
        <v>0.46242774566473993</v>
      </c>
      <c r="N35" s="2596">
        <v>10</v>
      </c>
      <c r="O35" s="2597">
        <f t="shared" si="7"/>
        <v>0.1550147263990079</v>
      </c>
      <c r="P35" s="2592">
        <v>10</v>
      </c>
      <c r="Q35" s="2597">
        <f t="shared" si="8"/>
        <v>0.33967391304347827</v>
      </c>
      <c r="R35" s="2592" t="s">
        <v>1</v>
      </c>
      <c r="S35" s="2597" t="s">
        <v>3242</v>
      </c>
      <c r="T35" s="2592">
        <v>68</v>
      </c>
      <c r="U35" s="2597">
        <f t="shared" si="10"/>
        <v>0.293482952093224</v>
      </c>
      <c r="V35" s="2592">
        <v>63</v>
      </c>
      <c r="W35" s="2597">
        <f t="shared" si="11"/>
        <v>0.46005549875858037</v>
      </c>
      <c r="X35" s="2592">
        <v>5</v>
      </c>
      <c r="Y35" s="2591">
        <f t="shared" si="12"/>
        <v>5.2764879696074296E-2</v>
      </c>
    </row>
    <row r="36" spans="1:25" ht="16.5">
      <c r="A36" s="2589" t="s">
        <v>3818</v>
      </c>
      <c r="B36" s="2590">
        <v>388</v>
      </c>
      <c r="C36" s="2591">
        <f t="shared" si="1"/>
        <v>0.2102399878624337</v>
      </c>
      <c r="D36" s="2592">
        <v>121</v>
      </c>
      <c r="E36" s="2593">
        <f t="shared" si="2"/>
        <v>0.11549658760082089</v>
      </c>
      <c r="F36" s="2596">
        <v>200</v>
      </c>
      <c r="G36" s="2595">
        <f t="shared" si="3"/>
        <v>0.25067054370440928</v>
      </c>
      <c r="H36" s="2596" t="s">
        <v>3242</v>
      </c>
      <c r="I36" s="2597" t="s">
        <v>3242</v>
      </c>
      <c r="J36" s="2596" t="s">
        <v>1</v>
      </c>
      <c r="K36" s="2597" t="s">
        <v>3242</v>
      </c>
      <c r="L36" s="2596" t="s">
        <v>1</v>
      </c>
      <c r="M36" s="2597" t="s">
        <v>3242</v>
      </c>
      <c r="N36" s="2596">
        <v>8</v>
      </c>
      <c r="O36" s="2597">
        <f t="shared" si="7"/>
        <v>0.12401178111920631</v>
      </c>
      <c r="P36" s="2592">
        <v>7</v>
      </c>
      <c r="Q36" s="2597">
        <f t="shared" si="8"/>
        <v>0.23777173913043481</v>
      </c>
      <c r="R36" s="2592">
        <v>1</v>
      </c>
      <c r="S36" s="2597">
        <f t="shared" si="9"/>
        <v>2.8514399771884805E-2</v>
      </c>
      <c r="T36" s="2592">
        <v>18</v>
      </c>
      <c r="U36" s="2597">
        <f t="shared" si="10"/>
        <v>7.7686663789382826E-2</v>
      </c>
      <c r="V36" s="2592">
        <v>13</v>
      </c>
      <c r="W36" s="2597">
        <f t="shared" si="11"/>
        <v>9.4932087045421346E-2</v>
      </c>
      <c r="X36" s="2592">
        <v>5</v>
      </c>
      <c r="Y36" s="2591">
        <f t="shared" si="12"/>
        <v>5.2764879696074296E-2</v>
      </c>
    </row>
    <row r="37" spans="1:25" ht="16.5">
      <c r="A37" s="2589" t="s">
        <v>3819</v>
      </c>
      <c r="B37" s="2590">
        <v>321</v>
      </c>
      <c r="C37" s="2591">
        <f t="shared" si="1"/>
        <v>0.17393566006144642</v>
      </c>
      <c r="D37" s="2592">
        <v>145</v>
      </c>
      <c r="E37" s="2593">
        <f t="shared" si="2"/>
        <v>0.1384050016704052</v>
      </c>
      <c r="F37" s="2596">
        <v>135</v>
      </c>
      <c r="G37" s="2595">
        <f t="shared" si="3"/>
        <v>0.16920261700047629</v>
      </c>
      <c r="H37" s="2596">
        <v>2</v>
      </c>
      <c r="I37" s="2597">
        <f t="shared" si="4"/>
        <v>0.1357773251866938</v>
      </c>
      <c r="J37" s="2596">
        <v>1</v>
      </c>
      <c r="K37" s="2597">
        <f t="shared" si="5"/>
        <v>0.1644736842105263</v>
      </c>
      <c r="L37" s="2596">
        <v>1</v>
      </c>
      <c r="M37" s="2597">
        <f t="shared" si="6"/>
        <v>0.11560693641618498</v>
      </c>
      <c r="N37" s="2596">
        <v>1</v>
      </c>
      <c r="O37" s="2597">
        <f t="shared" si="7"/>
        <v>1.5501472639900789E-2</v>
      </c>
      <c r="P37" s="2592" t="s">
        <v>1</v>
      </c>
      <c r="Q37" s="2597" t="s">
        <v>3242</v>
      </c>
      <c r="R37" s="2592">
        <v>1</v>
      </c>
      <c r="S37" s="2597">
        <f t="shared" si="9"/>
        <v>2.8514399771884805E-2</v>
      </c>
      <c r="T37" s="2592">
        <v>7</v>
      </c>
      <c r="U37" s="2597">
        <f t="shared" si="10"/>
        <v>3.0211480362537763E-2</v>
      </c>
      <c r="V37" s="2592">
        <v>3</v>
      </c>
      <c r="W37" s="2597">
        <f t="shared" si="11"/>
        <v>2.1907404702789544E-2</v>
      </c>
      <c r="X37" s="2592">
        <v>4</v>
      </c>
      <c r="Y37" s="2591">
        <f t="shared" si="12"/>
        <v>4.2211903756859431E-2</v>
      </c>
    </row>
    <row r="38" spans="1:25" ht="16.5">
      <c r="A38" s="2589" t="s">
        <v>3957</v>
      </c>
      <c r="B38" s="2590">
        <v>280</v>
      </c>
      <c r="C38" s="2591">
        <f t="shared" si="1"/>
        <v>0.15171957886979751</v>
      </c>
      <c r="D38" s="2592">
        <v>142</v>
      </c>
      <c r="E38" s="2593">
        <f t="shared" si="2"/>
        <v>0.13554144991170716</v>
      </c>
      <c r="F38" s="2596">
        <v>109</v>
      </c>
      <c r="G38" s="2595">
        <f t="shared" si="3"/>
        <v>0.13661544631890307</v>
      </c>
      <c r="H38" s="2596">
        <v>1</v>
      </c>
      <c r="I38" s="2597">
        <f t="shared" si="4"/>
        <v>6.7888662593346902E-2</v>
      </c>
      <c r="J38" s="2596" t="s">
        <v>1</v>
      </c>
      <c r="K38" s="2597" t="s">
        <v>3242</v>
      </c>
      <c r="L38" s="2596">
        <v>1</v>
      </c>
      <c r="M38" s="2597">
        <f t="shared" si="6"/>
        <v>0.11560693641618498</v>
      </c>
      <c r="N38" s="2596">
        <v>1</v>
      </c>
      <c r="O38" s="2597">
        <f t="shared" si="7"/>
        <v>1.5501472639900789E-2</v>
      </c>
      <c r="P38" s="2592">
        <v>1</v>
      </c>
      <c r="Q38" s="2597">
        <f t="shared" si="8"/>
        <v>3.3967391304347824E-2</v>
      </c>
      <c r="R38" s="2592" t="s">
        <v>1</v>
      </c>
      <c r="S38" s="2597" t="s">
        <v>3242</v>
      </c>
      <c r="T38" s="2592">
        <v>35</v>
      </c>
      <c r="U38" s="2597">
        <f t="shared" si="10"/>
        <v>0.15105740181268881</v>
      </c>
      <c r="V38" s="2592">
        <v>18</v>
      </c>
      <c r="W38" s="2597">
        <f t="shared" si="11"/>
        <v>0.13144442821673724</v>
      </c>
      <c r="X38" s="2592">
        <v>17</v>
      </c>
      <c r="Y38" s="2591">
        <f t="shared" si="12"/>
        <v>0.17940059096665259</v>
      </c>
    </row>
    <row r="39" spans="1:25" ht="16.5">
      <c r="A39" s="2589" t="s">
        <v>3820</v>
      </c>
      <c r="B39" s="2590">
        <v>251</v>
      </c>
      <c r="C39" s="2591">
        <f t="shared" si="1"/>
        <v>0.13600576534399705</v>
      </c>
      <c r="D39" s="2592">
        <v>36</v>
      </c>
      <c r="E39" s="2593">
        <f t="shared" si="2"/>
        <v>3.4362621104376462E-2</v>
      </c>
      <c r="F39" s="2596">
        <v>178</v>
      </c>
      <c r="G39" s="2595">
        <f t="shared" si="3"/>
        <v>0.22309678389692425</v>
      </c>
      <c r="H39" s="2596" t="s">
        <v>1</v>
      </c>
      <c r="I39" s="2597" t="s">
        <v>3242</v>
      </c>
      <c r="J39" s="2596" t="s">
        <v>1</v>
      </c>
      <c r="K39" s="2597" t="s">
        <v>3242</v>
      </c>
      <c r="L39" s="2596" t="s">
        <v>1</v>
      </c>
      <c r="M39" s="2597" t="s">
        <v>3242</v>
      </c>
      <c r="N39" s="2596">
        <v>1</v>
      </c>
      <c r="O39" s="2597">
        <f t="shared" si="7"/>
        <v>1.5501472639900789E-2</v>
      </c>
      <c r="P39" s="2592">
        <v>1</v>
      </c>
      <c r="Q39" s="2597">
        <f t="shared" si="8"/>
        <v>3.3967391304347824E-2</v>
      </c>
      <c r="R39" s="2592" t="s">
        <v>1</v>
      </c>
      <c r="S39" s="2597" t="s">
        <v>3242</v>
      </c>
      <c r="T39" s="2592">
        <v>37</v>
      </c>
      <c r="U39" s="2597">
        <f t="shared" si="10"/>
        <v>0.15968925334484246</v>
      </c>
      <c r="V39" s="2592">
        <v>21</v>
      </c>
      <c r="W39" s="2597">
        <f t="shared" si="11"/>
        <v>0.15335183291952681</v>
      </c>
      <c r="X39" s="2592">
        <v>16</v>
      </c>
      <c r="Y39" s="2591">
        <f t="shared" si="12"/>
        <v>0.16884761502743773</v>
      </c>
    </row>
    <row r="40" spans="1:25" ht="16.5">
      <c r="A40" s="2589" t="s">
        <v>3821</v>
      </c>
      <c r="B40" s="2590">
        <v>214</v>
      </c>
      <c r="C40" s="2591">
        <f t="shared" si="1"/>
        <v>0.11595710670763094</v>
      </c>
      <c r="D40" s="2592">
        <v>10</v>
      </c>
      <c r="E40" s="2593">
        <f t="shared" si="2"/>
        <v>9.5451725289934612E-3</v>
      </c>
      <c r="F40" s="2596">
        <v>186</v>
      </c>
      <c r="G40" s="2595">
        <f t="shared" si="3"/>
        <v>0.23312360564510065</v>
      </c>
      <c r="H40" s="2596">
        <v>10</v>
      </c>
      <c r="I40" s="2597">
        <f t="shared" si="4"/>
        <v>0.67888662593346916</v>
      </c>
      <c r="J40" s="2596">
        <v>6</v>
      </c>
      <c r="K40" s="2597">
        <f t="shared" si="5"/>
        <v>0.98684210526315785</v>
      </c>
      <c r="L40" s="2596">
        <v>4</v>
      </c>
      <c r="M40" s="2597">
        <f t="shared" si="6"/>
        <v>0.46242774566473993</v>
      </c>
      <c r="N40" s="2596">
        <v>23</v>
      </c>
      <c r="O40" s="2597">
        <f t="shared" si="7"/>
        <v>0.35653387071771819</v>
      </c>
      <c r="P40" s="2592">
        <v>1</v>
      </c>
      <c r="Q40" s="2597">
        <f t="shared" si="8"/>
        <v>3.3967391304347824E-2</v>
      </c>
      <c r="R40" s="2592">
        <v>22</v>
      </c>
      <c r="S40" s="2597">
        <f t="shared" si="9"/>
        <v>0.62731679498146564</v>
      </c>
      <c r="T40" s="2592">
        <v>50</v>
      </c>
      <c r="U40" s="2597">
        <f t="shared" si="10"/>
        <v>0.21579628830384118</v>
      </c>
      <c r="V40" s="2592">
        <v>3</v>
      </c>
      <c r="W40" s="2597">
        <f t="shared" si="11"/>
        <v>2.1907404702789544E-2</v>
      </c>
      <c r="X40" s="2592">
        <v>47</v>
      </c>
      <c r="Y40" s="2591">
        <f t="shared" si="12"/>
        <v>0.49598986914309834</v>
      </c>
    </row>
    <row r="41" spans="1:25" ht="16.5">
      <c r="A41" s="2589" t="s">
        <v>3822</v>
      </c>
      <c r="B41" s="2590">
        <v>196</v>
      </c>
      <c r="C41" s="2591">
        <f t="shared" si="1"/>
        <v>0.10620370520885826</v>
      </c>
      <c r="D41" s="2592">
        <v>18</v>
      </c>
      <c r="E41" s="2593">
        <f t="shared" si="2"/>
        <v>1.7181310552188231E-2</v>
      </c>
      <c r="F41" s="2596">
        <v>147</v>
      </c>
      <c r="G41" s="2595">
        <f t="shared" si="3"/>
        <v>0.18424284962274082</v>
      </c>
      <c r="H41" s="2596">
        <v>14</v>
      </c>
      <c r="I41" s="2597">
        <f t="shared" si="4"/>
        <v>0.95044127630685671</v>
      </c>
      <c r="J41" s="2596">
        <v>1</v>
      </c>
      <c r="K41" s="2597">
        <f t="shared" si="5"/>
        <v>0.1644736842105263</v>
      </c>
      <c r="L41" s="2596">
        <v>13</v>
      </c>
      <c r="M41" s="2597">
        <f t="shared" si="6"/>
        <v>1.5028901734104045</v>
      </c>
      <c r="N41" s="2596">
        <v>81</v>
      </c>
      <c r="O41" s="2597">
        <f t="shared" si="7"/>
        <v>1.255619283831964</v>
      </c>
      <c r="P41" s="2592">
        <v>6</v>
      </c>
      <c r="Q41" s="2597">
        <f t="shared" si="8"/>
        <v>0.20380434782608695</v>
      </c>
      <c r="R41" s="2592">
        <v>75</v>
      </c>
      <c r="S41" s="2597">
        <f t="shared" si="9"/>
        <v>2.1385799828913603</v>
      </c>
      <c r="T41" s="2592">
        <v>27</v>
      </c>
      <c r="U41" s="2597">
        <f t="shared" si="10"/>
        <v>0.11652999568407424</v>
      </c>
      <c r="V41" s="2592">
        <v>2</v>
      </c>
      <c r="W41" s="2597">
        <f t="shared" si="11"/>
        <v>1.4604936468526361E-2</v>
      </c>
      <c r="X41" s="2592">
        <v>25</v>
      </c>
      <c r="Y41" s="2591">
        <f t="shared" si="12"/>
        <v>0.26382439848037142</v>
      </c>
    </row>
    <row r="42" spans="1:25" ht="16.5">
      <c r="A42" s="2589" t="s">
        <v>3823</v>
      </c>
      <c r="B42" s="2590">
        <v>165</v>
      </c>
      <c r="C42" s="2591">
        <f t="shared" si="1"/>
        <v>8.9406180405416383E-2</v>
      </c>
      <c r="D42" s="2592">
        <v>54</v>
      </c>
      <c r="E42" s="2593">
        <f t="shared" si="2"/>
        <v>5.1543931656564686E-2</v>
      </c>
      <c r="F42" s="2596">
        <v>104</v>
      </c>
      <c r="G42" s="2595">
        <f t="shared" si="3"/>
        <v>0.13034868272629282</v>
      </c>
      <c r="H42" s="2596">
        <v>80</v>
      </c>
      <c r="I42" s="2597">
        <f t="shared" si="4"/>
        <v>5.4310930074677533</v>
      </c>
      <c r="J42" s="2596">
        <v>11</v>
      </c>
      <c r="K42" s="2597">
        <f t="shared" si="5"/>
        <v>1.8092105263157896</v>
      </c>
      <c r="L42" s="2596">
        <v>69</v>
      </c>
      <c r="M42" s="2597">
        <f t="shared" si="6"/>
        <v>7.9768786127167628</v>
      </c>
      <c r="N42" s="2596">
        <v>85</v>
      </c>
      <c r="O42" s="2597">
        <f t="shared" si="7"/>
        <v>1.3176251743915672</v>
      </c>
      <c r="P42" s="2592">
        <v>7</v>
      </c>
      <c r="Q42" s="2597">
        <f t="shared" si="8"/>
        <v>0.23777173913043481</v>
      </c>
      <c r="R42" s="2592">
        <v>78</v>
      </c>
      <c r="S42" s="2597">
        <f t="shared" si="9"/>
        <v>2.2241231822070144</v>
      </c>
      <c r="T42" s="2592" t="s">
        <v>1</v>
      </c>
      <c r="U42" s="2597" t="s">
        <v>3242</v>
      </c>
      <c r="V42" s="2592" t="s">
        <v>1</v>
      </c>
      <c r="W42" s="2597" t="s">
        <v>3242</v>
      </c>
      <c r="X42" s="2592" t="s">
        <v>1</v>
      </c>
      <c r="Y42" s="2591" t="s">
        <v>3242</v>
      </c>
    </row>
    <row r="43" spans="1:25" ht="16.5">
      <c r="A43" s="2589" t="s">
        <v>3824</v>
      </c>
      <c r="B43" s="2590">
        <v>158</v>
      </c>
      <c r="C43" s="2591">
        <f t="shared" si="1"/>
        <v>8.5613190933671451E-2</v>
      </c>
      <c r="D43" s="2592">
        <v>118</v>
      </c>
      <c r="E43" s="2593">
        <f t="shared" si="2"/>
        <v>0.11263303584212285</v>
      </c>
      <c r="F43" s="2596">
        <v>19</v>
      </c>
      <c r="G43" s="2595">
        <f t="shared" si="3"/>
        <v>2.3813701651918883E-2</v>
      </c>
      <c r="H43" s="2596" t="s">
        <v>3242</v>
      </c>
      <c r="I43" s="2597" t="s">
        <v>3242</v>
      </c>
      <c r="J43" s="2596" t="s">
        <v>1</v>
      </c>
      <c r="K43" s="2597" t="s">
        <v>3242</v>
      </c>
      <c r="L43" s="2596" t="s">
        <v>1</v>
      </c>
      <c r="M43" s="2597" t="s">
        <v>3242</v>
      </c>
      <c r="N43" s="2596">
        <v>3</v>
      </c>
      <c r="O43" s="2597">
        <f t="shared" si="7"/>
        <v>4.6504417919702369E-2</v>
      </c>
      <c r="P43" s="2592" t="s">
        <v>1</v>
      </c>
      <c r="Q43" s="2597" t="s">
        <v>3242</v>
      </c>
      <c r="R43" s="2592">
        <v>3</v>
      </c>
      <c r="S43" s="2597">
        <f t="shared" si="9"/>
        <v>8.5543199315654406E-2</v>
      </c>
      <c r="T43" s="2592">
        <v>15</v>
      </c>
      <c r="U43" s="2597">
        <f t="shared" si="10"/>
        <v>6.473888649115235E-2</v>
      </c>
      <c r="V43" s="2592">
        <v>6</v>
      </c>
      <c r="W43" s="2597">
        <f t="shared" si="11"/>
        <v>4.3814809405579087E-2</v>
      </c>
      <c r="X43" s="2592">
        <v>9</v>
      </c>
      <c r="Y43" s="2591">
        <f t="shared" si="12"/>
        <v>9.4976783452933727E-2</v>
      </c>
    </row>
    <row r="44" spans="1:25" ht="16.5">
      <c r="A44" s="2589" t="s">
        <v>3825</v>
      </c>
      <c r="B44" s="2590">
        <v>137</v>
      </c>
      <c r="C44" s="2591">
        <f t="shared" si="1"/>
        <v>7.4234222518436643E-2</v>
      </c>
      <c r="D44" s="2592">
        <v>92</v>
      </c>
      <c r="E44" s="2593">
        <f t="shared" si="2"/>
        <v>8.7815587266739839E-2</v>
      </c>
      <c r="F44" s="2596">
        <v>42</v>
      </c>
      <c r="G44" s="2595">
        <f t="shared" si="3"/>
        <v>5.2640814177925946E-2</v>
      </c>
      <c r="H44" s="2596" t="s">
        <v>3242</v>
      </c>
      <c r="I44" s="2597" t="s">
        <v>3242</v>
      </c>
      <c r="J44" s="2596" t="s">
        <v>1</v>
      </c>
      <c r="K44" s="2597" t="s">
        <v>3242</v>
      </c>
      <c r="L44" s="2596" t="s">
        <v>1</v>
      </c>
      <c r="M44" s="2597" t="s">
        <v>3242</v>
      </c>
      <c r="N44" s="2596">
        <v>23</v>
      </c>
      <c r="O44" s="2597">
        <f t="shared" si="7"/>
        <v>0.35653387071771819</v>
      </c>
      <c r="P44" s="2592">
        <v>21</v>
      </c>
      <c r="Q44" s="2597">
        <f t="shared" si="8"/>
        <v>0.71331521739130432</v>
      </c>
      <c r="R44" s="2592">
        <v>2</v>
      </c>
      <c r="S44" s="2597">
        <f t="shared" si="9"/>
        <v>5.7028799543769611E-2</v>
      </c>
      <c r="T44" s="2592">
        <v>33</v>
      </c>
      <c r="U44" s="2597">
        <f t="shared" si="10"/>
        <v>0.14242555028053516</v>
      </c>
      <c r="V44" s="2592">
        <v>29</v>
      </c>
      <c r="W44" s="2597">
        <f t="shared" si="11"/>
        <v>0.21177157879363226</v>
      </c>
      <c r="X44" s="2592">
        <v>4</v>
      </c>
      <c r="Y44" s="2591">
        <f t="shared" si="12"/>
        <v>4.2211903756859431E-2</v>
      </c>
    </row>
    <row r="45" spans="1:25" ht="16.5">
      <c r="A45" s="2589" t="s">
        <v>3826</v>
      </c>
      <c r="B45" s="2590">
        <v>134</v>
      </c>
      <c r="C45" s="2591">
        <f t="shared" si="1"/>
        <v>7.260865560197452E-2</v>
      </c>
      <c r="D45" s="2592">
        <v>46</v>
      </c>
      <c r="E45" s="2593">
        <f t="shared" si="2"/>
        <v>4.390779363336992E-2</v>
      </c>
      <c r="F45" s="2596">
        <v>67</v>
      </c>
      <c r="G45" s="2595">
        <f t="shared" si="3"/>
        <v>8.3974632140977112E-2</v>
      </c>
      <c r="H45" s="2596">
        <v>3</v>
      </c>
      <c r="I45" s="2597">
        <f t="shared" si="4"/>
        <v>0.20366598778004072</v>
      </c>
      <c r="J45" s="2596">
        <v>1</v>
      </c>
      <c r="K45" s="2597">
        <f t="shared" si="5"/>
        <v>0.1644736842105263</v>
      </c>
      <c r="L45" s="2596">
        <v>2</v>
      </c>
      <c r="M45" s="2597">
        <f t="shared" si="6"/>
        <v>0.23121387283236997</v>
      </c>
      <c r="N45" s="2596">
        <v>27</v>
      </c>
      <c r="O45" s="2597">
        <f t="shared" si="7"/>
        <v>0.41853976127732134</v>
      </c>
      <c r="P45" s="2592">
        <v>21</v>
      </c>
      <c r="Q45" s="2597">
        <f t="shared" si="8"/>
        <v>0.71331521739130432</v>
      </c>
      <c r="R45" s="2592">
        <v>6</v>
      </c>
      <c r="S45" s="2597">
        <f t="shared" si="9"/>
        <v>0.17108639863130881</v>
      </c>
      <c r="T45" s="2592">
        <v>29</v>
      </c>
      <c r="U45" s="2597">
        <f t="shared" si="10"/>
        <v>0.12516184721622789</v>
      </c>
      <c r="V45" s="2592">
        <v>26</v>
      </c>
      <c r="W45" s="2597">
        <f t="shared" si="11"/>
        <v>0.18986417409084269</v>
      </c>
      <c r="X45" s="2592">
        <v>3</v>
      </c>
      <c r="Y45" s="2591">
        <f t="shared" si="12"/>
        <v>3.1658927817644573E-2</v>
      </c>
    </row>
    <row r="46" spans="1:25" ht="16.5">
      <c r="A46" s="2589" t="s">
        <v>3827</v>
      </c>
      <c r="B46" s="2590">
        <v>113</v>
      </c>
      <c r="C46" s="2591">
        <f t="shared" si="1"/>
        <v>6.1229687186739712E-2</v>
      </c>
      <c r="D46" s="2592">
        <v>72</v>
      </c>
      <c r="E46" s="2593">
        <f t="shared" si="2"/>
        <v>6.8725242208752924E-2</v>
      </c>
      <c r="F46" s="2596">
        <v>37</v>
      </c>
      <c r="G46" s="2595">
        <f t="shared" si="3"/>
        <v>4.6374050585315719E-2</v>
      </c>
      <c r="H46" s="2596">
        <v>23</v>
      </c>
      <c r="I46" s="2597">
        <f t="shared" si="4"/>
        <v>1.5614392396469789</v>
      </c>
      <c r="J46" s="2596">
        <v>10</v>
      </c>
      <c r="K46" s="2597">
        <f t="shared" si="5"/>
        <v>1.6447368421052631</v>
      </c>
      <c r="L46" s="2596">
        <v>13</v>
      </c>
      <c r="M46" s="2597">
        <f t="shared" si="6"/>
        <v>1.5028901734104045</v>
      </c>
      <c r="N46" s="2596">
        <v>9</v>
      </c>
      <c r="O46" s="2597">
        <f t="shared" si="7"/>
        <v>0.13951325375910711</v>
      </c>
      <c r="P46" s="2592">
        <v>4</v>
      </c>
      <c r="Q46" s="2597">
        <f t="shared" si="8"/>
        <v>0.1358695652173913</v>
      </c>
      <c r="R46" s="2592">
        <v>5</v>
      </c>
      <c r="S46" s="2597">
        <f t="shared" si="9"/>
        <v>0.14257199885942401</v>
      </c>
      <c r="T46" s="2592" t="s">
        <v>1</v>
      </c>
      <c r="U46" s="2597" t="s">
        <v>3242</v>
      </c>
      <c r="V46" s="2592" t="s">
        <v>1</v>
      </c>
      <c r="W46" s="2597" t="s">
        <v>3242</v>
      </c>
      <c r="X46" s="2592" t="s">
        <v>1</v>
      </c>
      <c r="Y46" s="2591" t="s">
        <v>3242</v>
      </c>
    </row>
    <row r="47" spans="1:25" ht="16.5">
      <c r="A47" s="2589" t="s">
        <v>3828</v>
      </c>
      <c r="B47" s="2590">
        <v>109</v>
      </c>
      <c r="C47" s="2591">
        <f t="shared" si="1"/>
        <v>5.906226463145689E-2</v>
      </c>
      <c r="D47" s="2592">
        <v>87</v>
      </c>
      <c r="E47" s="2593">
        <f t="shared" si="2"/>
        <v>8.3043001002243114E-2</v>
      </c>
      <c r="F47" s="2596">
        <v>6</v>
      </c>
      <c r="G47" s="2595">
        <f t="shared" si="3"/>
        <v>7.5201163111322791E-3</v>
      </c>
      <c r="H47" s="2596" t="s">
        <v>3242</v>
      </c>
      <c r="I47" s="2597" t="s">
        <v>3877</v>
      </c>
      <c r="J47" s="2596" t="s">
        <v>1</v>
      </c>
      <c r="K47" s="2597" t="s">
        <v>3242</v>
      </c>
      <c r="L47" s="2596" t="s">
        <v>3242</v>
      </c>
      <c r="M47" s="2597" t="s">
        <v>3242</v>
      </c>
      <c r="N47" s="2596">
        <v>4</v>
      </c>
      <c r="O47" s="2597">
        <f t="shared" si="7"/>
        <v>6.2005890559603156E-2</v>
      </c>
      <c r="P47" s="2592">
        <v>3</v>
      </c>
      <c r="Q47" s="2597">
        <f t="shared" si="8"/>
        <v>0.10190217391304347</v>
      </c>
      <c r="R47" s="2592">
        <v>1</v>
      </c>
      <c r="S47" s="2597">
        <f t="shared" si="9"/>
        <v>2.8514399771884805E-2</v>
      </c>
      <c r="T47" s="2592">
        <v>14</v>
      </c>
      <c r="U47" s="2597">
        <f t="shared" si="10"/>
        <v>6.0422960725075525E-2</v>
      </c>
      <c r="V47" s="2592">
        <v>10</v>
      </c>
      <c r="W47" s="2597">
        <f t="shared" si="11"/>
        <v>7.3024682342631805E-2</v>
      </c>
      <c r="X47" s="2592">
        <v>4</v>
      </c>
      <c r="Y47" s="2591">
        <f t="shared" si="12"/>
        <v>4.2211903756859431E-2</v>
      </c>
    </row>
    <row r="48" spans="1:25" ht="16.5">
      <c r="A48" s="2589" t="s">
        <v>2722</v>
      </c>
      <c r="B48" s="2590">
        <v>93</v>
      </c>
      <c r="C48" s="2591">
        <f t="shared" si="1"/>
        <v>5.0392574410325602E-2</v>
      </c>
      <c r="D48" s="2592">
        <v>67</v>
      </c>
      <c r="E48" s="2593">
        <f t="shared" si="2"/>
        <v>6.3952655944256184E-2</v>
      </c>
      <c r="F48" s="2596">
        <v>24</v>
      </c>
      <c r="G48" s="2595">
        <f t="shared" si="3"/>
        <v>3.0080465244529116E-2</v>
      </c>
      <c r="H48" s="2596" t="s">
        <v>3242</v>
      </c>
      <c r="I48" s="2597" t="s">
        <v>3242</v>
      </c>
      <c r="J48" s="2596" t="s">
        <v>1</v>
      </c>
      <c r="K48" s="2597" t="s">
        <v>3242</v>
      </c>
      <c r="L48" s="2596" t="s">
        <v>1</v>
      </c>
      <c r="M48" s="2597" t="s">
        <v>3877</v>
      </c>
      <c r="N48" s="2596" t="s">
        <v>1</v>
      </c>
      <c r="O48" s="2597" t="s">
        <v>3242</v>
      </c>
      <c r="P48" s="2592" t="s">
        <v>1</v>
      </c>
      <c r="Q48" s="2597" t="s">
        <v>3242</v>
      </c>
      <c r="R48" s="2592" t="s">
        <v>1</v>
      </c>
      <c r="S48" s="2597" t="s">
        <v>3242</v>
      </c>
      <c r="T48" s="2592" t="s">
        <v>1</v>
      </c>
      <c r="U48" s="2597" t="s">
        <v>3242</v>
      </c>
      <c r="V48" s="2592" t="s">
        <v>1</v>
      </c>
      <c r="W48" s="2597" t="s">
        <v>3242</v>
      </c>
      <c r="X48" s="2592" t="s">
        <v>1</v>
      </c>
      <c r="Y48" s="2591" t="s">
        <v>3242</v>
      </c>
    </row>
    <row r="49" spans="1:25" ht="16.5">
      <c r="A49" s="2589" t="s">
        <v>3958</v>
      </c>
      <c r="B49" s="2590">
        <v>91</v>
      </c>
      <c r="C49" s="2591">
        <f t="shared" si="1"/>
        <v>4.9308863132684184E-2</v>
      </c>
      <c r="D49" s="2592">
        <v>65</v>
      </c>
      <c r="E49" s="2593">
        <f t="shared" si="2"/>
        <v>6.20436214384575E-2</v>
      </c>
      <c r="F49" s="2596">
        <v>20</v>
      </c>
      <c r="G49" s="2595">
        <f t="shared" si="3"/>
        <v>2.5067054370440926E-2</v>
      </c>
      <c r="H49" s="2596" t="s">
        <v>3242</v>
      </c>
      <c r="I49" s="2597" t="s">
        <v>3242</v>
      </c>
      <c r="J49" s="2596" t="s">
        <v>1</v>
      </c>
      <c r="K49" s="2597" t="s">
        <v>3242</v>
      </c>
      <c r="L49" s="2596" t="s">
        <v>1</v>
      </c>
      <c r="M49" s="2597" t="s">
        <v>3242</v>
      </c>
      <c r="N49" s="2596">
        <v>1</v>
      </c>
      <c r="O49" s="2597">
        <f t="shared" si="7"/>
        <v>1.5501472639900789E-2</v>
      </c>
      <c r="P49" s="2592">
        <v>1</v>
      </c>
      <c r="Q49" s="2597">
        <f t="shared" si="8"/>
        <v>3.3967391304347824E-2</v>
      </c>
      <c r="R49" s="2592" t="s">
        <v>1</v>
      </c>
      <c r="S49" s="2597" t="s">
        <v>3242</v>
      </c>
      <c r="T49" s="2592">
        <v>12</v>
      </c>
      <c r="U49" s="2597">
        <f t="shared" si="10"/>
        <v>5.1791109192921882E-2</v>
      </c>
      <c r="V49" s="2592">
        <v>11</v>
      </c>
      <c r="W49" s="2597">
        <f t="shared" si="11"/>
        <v>8.032715057689499E-2</v>
      </c>
      <c r="X49" s="2592">
        <v>1</v>
      </c>
      <c r="Y49" s="2591">
        <f t="shared" si="12"/>
        <v>1.0552975939214858E-2</v>
      </c>
    </row>
    <row r="50" spans="1:25" ht="16.5">
      <c r="A50" s="2589" t="s">
        <v>3830</v>
      </c>
      <c r="B50" s="2590">
        <v>85</v>
      </c>
      <c r="C50" s="2591">
        <f t="shared" si="1"/>
        <v>4.6057729299759959E-2</v>
      </c>
      <c r="D50" s="2592">
        <v>55</v>
      </c>
      <c r="E50" s="2593">
        <f t="shared" si="2"/>
        <v>5.2498448909464035E-2</v>
      </c>
      <c r="F50" s="2596">
        <v>28</v>
      </c>
      <c r="G50" s="2595">
        <f t="shared" si="3"/>
        <v>3.5093876118617306E-2</v>
      </c>
      <c r="H50" s="2596" t="s">
        <v>3242</v>
      </c>
      <c r="I50" s="2597" t="s">
        <v>3242</v>
      </c>
      <c r="J50" s="2596" t="s">
        <v>1</v>
      </c>
      <c r="K50" s="2597" t="s">
        <v>3242</v>
      </c>
      <c r="L50" s="2596" t="s">
        <v>1</v>
      </c>
      <c r="M50" s="2597" t="s">
        <v>3242</v>
      </c>
      <c r="N50" s="2596" t="s">
        <v>1</v>
      </c>
      <c r="O50" s="2597" t="s">
        <v>3242</v>
      </c>
      <c r="P50" s="2592" t="s">
        <v>1</v>
      </c>
      <c r="Q50" s="2597" t="s">
        <v>3242</v>
      </c>
      <c r="R50" s="2592" t="s">
        <v>1</v>
      </c>
      <c r="S50" s="2597" t="s">
        <v>3242</v>
      </c>
      <c r="T50" s="2592">
        <v>2</v>
      </c>
      <c r="U50" s="2597">
        <f t="shared" si="10"/>
        <v>8.6318515321536469E-3</v>
      </c>
      <c r="V50" s="2592">
        <v>1</v>
      </c>
      <c r="W50" s="2597">
        <f t="shared" si="11"/>
        <v>7.3024682342631804E-3</v>
      </c>
      <c r="X50" s="2592">
        <v>1</v>
      </c>
      <c r="Y50" s="2591">
        <f t="shared" si="12"/>
        <v>1.0552975939214858E-2</v>
      </c>
    </row>
    <row r="51" spans="1:25" ht="16.5">
      <c r="A51" s="2589" t="s">
        <v>3831</v>
      </c>
      <c r="B51" s="2590">
        <v>83</v>
      </c>
      <c r="C51" s="2591">
        <f t="shared" si="1"/>
        <v>4.4974018022118548E-2</v>
      </c>
      <c r="D51" s="2592">
        <v>64</v>
      </c>
      <c r="E51" s="2593">
        <f t="shared" si="2"/>
        <v>6.108910418555815E-2</v>
      </c>
      <c r="F51" s="2596">
        <v>12</v>
      </c>
      <c r="G51" s="2595">
        <f t="shared" si="3"/>
        <v>1.5040232622264558E-2</v>
      </c>
      <c r="H51" s="2596">
        <v>2</v>
      </c>
      <c r="I51" s="2597">
        <f t="shared" si="4"/>
        <v>0.1357773251866938</v>
      </c>
      <c r="J51" s="2596">
        <v>2</v>
      </c>
      <c r="K51" s="2597">
        <f t="shared" si="5"/>
        <v>0.3289473684210526</v>
      </c>
      <c r="L51" s="2596" t="s">
        <v>1</v>
      </c>
      <c r="M51" s="2597" t="s">
        <v>3242</v>
      </c>
      <c r="N51" s="2596">
        <v>1</v>
      </c>
      <c r="O51" s="2597">
        <f t="shared" si="7"/>
        <v>1.5501472639900789E-2</v>
      </c>
      <c r="P51" s="2592" t="s">
        <v>1</v>
      </c>
      <c r="Q51" s="2597" t="s">
        <v>3242</v>
      </c>
      <c r="R51" s="2592">
        <v>1</v>
      </c>
      <c r="S51" s="2597">
        <f t="shared" si="9"/>
        <v>2.8514399771884805E-2</v>
      </c>
      <c r="T51" s="2592">
        <v>6</v>
      </c>
      <c r="U51" s="2597">
        <f t="shared" si="10"/>
        <v>2.5895554596460941E-2</v>
      </c>
      <c r="V51" s="2592">
        <v>4</v>
      </c>
      <c r="W51" s="2597">
        <f t="shared" si="11"/>
        <v>2.9209872937052721E-2</v>
      </c>
      <c r="X51" s="2592">
        <v>2</v>
      </c>
      <c r="Y51" s="2591">
        <f t="shared" si="12"/>
        <v>2.1105951878429716E-2</v>
      </c>
    </row>
    <row r="52" spans="1:25" ht="16.5">
      <c r="A52" s="2589" t="s">
        <v>3832</v>
      </c>
      <c r="B52" s="2590">
        <v>76</v>
      </c>
      <c r="C52" s="2591">
        <f t="shared" si="1"/>
        <v>4.1181028550373609E-2</v>
      </c>
      <c r="D52" s="2592">
        <v>31</v>
      </c>
      <c r="E52" s="2593">
        <f t="shared" si="2"/>
        <v>2.9590034839879733E-2</v>
      </c>
      <c r="F52" s="2596">
        <v>32</v>
      </c>
      <c r="G52" s="2595">
        <f t="shared" si="3"/>
        <v>4.0107286992705486E-2</v>
      </c>
      <c r="H52" s="2596" t="s">
        <v>3242</v>
      </c>
      <c r="I52" s="2597" t="s">
        <v>3242</v>
      </c>
      <c r="J52" s="2596" t="s">
        <v>1</v>
      </c>
      <c r="K52" s="2597" t="s">
        <v>3242</v>
      </c>
      <c r="L52" s="2596" t="s">
        <v>1</v>
      </c>
      <c r="M52" s="2597" t="s">
        <v>3242</v>
      </c>
      <c r="N52" s="2596" t="s">
        <v>1</v>
      </c>
      <c r="O52" s="2597" t="s">
        <v>3242</v>
      </c>
      <c r="P52" s="2592" t="s">
        <v>1</v>
      </c>
      <c r="Q52" s="2597" t="s">
        <v>3242</v>
      </c>
      <c r="R52" s="2592" t="s">
        <v>1</v>
      </c>
      <c r="S52" s="2597" t="s">
        <v>3242</v>
      </c>
      <c r="T52" s="2592" t="s">
        <v>1</v>
      </c>
      <c r="U52" s="2597" t="s">
        <v>3242</v>
      </c>
      <c r="V52" s="2592" t="s">
        <v>1</v>
      </c>
      <c r="W52" s="2597" t="s">
        <v>3242</v>
      </c>
      <c r="X52" s="2592" t="s">
        <v>1</v>
      </c>
      <c r="Y52" s="2591" t="s">
        <v>3242</v>
      </c>
    </row>
    <row r="53" spans="1:25" ht="16.5">
      <c r="A53" s="2589" t="s">
        <v>3833</v>
      </c>
      <c r="B53" s="2590">
        <v>63</v>
      </c>
      <c r="C53" s="2591">
        <f t="shared" si="1"/>
        <v>3.4136905245704438E-2</v>
      </c>
      <c r="D53" s="2592">
        <v>33</v>
      </c>
      <c r="E53" s="2593">
        <f t="shared" si="2"/>
        <v>3.1499069345678428E-2</v>
      </c>
      <c r="F53" s="2596">
        <v>3</v>
      </c>
      <c r="G53" s="2595">
        <f t="shared" si="3"/>
        <v>3.7600581555661395E-3</v>
      </c>
      <c r="H53" s="2596" t="s">
        <v>3242</v>
      </c>
      <c r="I53" s="2597" t="s">
        <v>3877</v>
      </c>
      <c r="J53" s="2596" t="s">
        <v>1</v>
      </c>
      <c r="K53" s="2597" t="s">
        <v>3242</v>
      </c>
      <c r="L53" s="2596" t="s">
        <v>1</v>
      </c>
      <c r="M53" s="2597" t="s">
        <v>3242</v>
      </c>
      <c r="N53" s="2596" t="s">
        <v>1</v>
      </c>
      <c r="O53" s="2597" t="s">
        <v>3242</v>
      </c>
      <c r="P53" s="2592" t="s">
        <v>1</v>
      </c>
      <c r="Q53" s="2597" t="s">
        <v>3242</v>
      </c>
      <c r="R53" s="2592" t="s">
        <v>1</v>
      </c>
      <c r="S53" s="2597" t="s">
        <v>3242</v>
      </c>
      <c r="T53" s="2592">
        <v>1</v>
      </c>
      <c r="U53" s="2597">
        <f t="shared" si="10"/>
        <v>4.3159257660768235E-3</v>
      </c>
      <c r="V53" s="2592" t="s">
        <v>1</v>
      </c>
      <c r="W53" s="2597" t="s">
        <v>3242</v>
      </c>
      <c r="X53" s="2592">
        <v>1</v>
      </c>
      <c r="Y53" s="2591">
        <f t="shared" si="12"/>
        <v>1.0552975939214858E-2</v>
      </c>
    </row>
    <row r="54" spans="1:25" ht="16.5">
      <c r="A54" s="2589" t="s">
        <v>3834</v>
      </c>
      <c r="B54" s="2590">
        <v>36</v>
      </c>
      <c r="C54" s="2591">
        <f t="shared" si="1"/>
        <v>1.9506802997545394E-2</v>
      </c>
      <c r="D54" s="2592">
        <v>28</v>
      </c>
      <c r="E54" s="2593">
        <f t="shared" si="2"/>
        <v>2.6726483081181692E-2</v>
      </c>
      <c r="F54" s="2596">
        <v>7</v>
      </c>
      <c r="G54" s="2595">
        <f t="shared" si="3"/>
        <v>8.7734690296543266E-3</v>
      </c>
      <c r="H54" s="2596" t="s">
        <v>3242</v>
      </c>
      <c r="I54" s="2597" t="s">
        <v>3242</v>
      </c>
      <c r="J54" s="2596" t="s">
        <v>1</v>
      </c>
      <c r="K54" s="2597" t="s">
        <v>3242</v>
      </c>
      <c r="L54" s="2596" t="s">
        <v>1</v>
      </c>
      <c r="M54" s="2597" t="s">
        <v>3242</v>
      </c>
      <c r="N54" s="2596" t="s">
        <v>1</v>
      </c>
      <c r="O54" s="2597" t="s">
        <v>3242</v>
      </c>
      <c r="P54" s="2592" t="s">
        <v>1</v>
      </c>
      <c r="Q54" s="2597" t="s">
        <v>3242</v>
      </c>
      <c r="R54" s="2592" t="s">
        <v>1</v>
      </c>
      <c r="S54" s="2597" t="s">
        <v>3242</v>
      </c>
      <c r="T54" s="2592">
        <v>1</v>
      </c>
      <c r="U54" s="2597">
        <f t="shared" si="10"/>
        <v>4.3159257660768235E-3</v>
      </c>
      <c r="V54" s="2592" t="s">
        <v>1</v>
      </c>
      <c r="W54" s="2597" t="s">
        <v>3242</v>
      </c>
      <c r="X54" s="2592">
        <v>1</v>
      </c>
      <c r="Y54" s="2591">
        <f t="shared" si="12"/>
        <v>1.0552975939214858E-2</v>
      </c>
    </row>
    <row r="55" spans="1:25" ht="16.5">
      <c r="A55" s="2589" t="s">
        <v>3835</v>
      </c>
      <c r="B55" s="2590">
        <v>35</v>
      </c>
      <c r="C55" s="2591">
        <f t="shared" si="1"/>
        <v>1.8964947358724688E-2</v>
      </c>
      <c r="D55" s="2592">
        <v>17</v>
      </c>
      <c r="E55" s="2593">
        <f t="shared" si="2"/>
        <v>1.6226793299288885E-2</v>
      </c>
      <c r="F55" s="2596">
        <v>14</v>
      </c>
      <c r="G55" s="2595">
        <f t="shared" si="3"/>
        <v>1.7546938059308653E-2</v>
      </c>
      <c r="H55" s="2596" t="s">
        <v>3242</v>
      </c>
      <c r="I55" s="2597" t="s">
        <v>3242</v>
      </c>
      <c r="J55" s="2596" t="s">
        <v>1</v>
      </c>
      <c r="K55" s="2597" t="s">
        <v>3242</v>
      </c>
      <c r="L55" s="2596" t="s">
        <v>1</v>
      </c>
      <c r="M55" s="2597" t="s">
        <v>3242</v>
      </c>
      <c r="N55" s="2596" t="s">
        <v>1</v>
      </c>
      <c r="O55" s="2597" t="s">
        <v>3242</v>
      </c>
      <c r="P55" s="2592" t="s">
        <v>1</v>
      </c>
      <c r="Q55" s="2597" t="s">
        <v>3242</v>
      </c>
      <c r="R55" s="2592" t="s">
        <v>1</v>
      </c>
      <c r="S55" s="2597" t="s">
        <v>3877</v>
      </c>
      <c r="T55" s="2592" t="s">
        <v>1</v>
      </c>
      <c r="U55" s="2597" t="s">
        <v>3242</v>
      </c>
      <c r="V55" s="2592" t="s">
        <v>1</v>
      </c>
      <c r="W55" s="2597" t="s">
        <v>3242</v>
      </c>
      <c r="X55" s="2592" t="s">
        <v>1</v>
      </c>
      <c r="Y55" s="2591" t="s">
        <v>3242</v>
      </c>
    </row>
    <row r="56" spans="1:25" ht="16.5">
      <c r="A56" s="2589" t="s">
        <v>3836</v>
      </c>
      <c r="B56" s="2590">
        <v>31</v>
      </c>
      <c r="C56" s="2591">
        <f t="shared" si="1"/>
        <v>1.6797524803441866E-2</v>
      </c>
      <c r="D56" s="2592">
        <v>22</v>
      </c>
      <c r="E56" s="2593">
        <f t="shared" si="2"/>
        <v>2.0999379563785614E-2</v>
      </c>
      <c r="F56" s="2596">
        <v>6</v>
      </c>
      <c r="G56" s="2595">
        <f t="shared" si="3"/>
        <v>7.5201163111322791E-3</v>
      </c>
      <c r="H56" s="2596" t="s">
        <v>3242</v>
      </c>
      <c r="I56" s="2597" t="s">
        <v>3877</v>
      </c>
      <c r="J56" s="2596" t="s">
        <v>1</v>
      </c>
      <c r="K56" s="2597" t="s">
        <v>3242</v>
      </c>
      <c r="L56" s="2596" t="s">
        <v>1</v>
      </c>
      <c r="M56" s="2597" t="s">
        <v>3242</v>
      </c>
      <c r="N56" s="2596">
        <v>1</v>
      </c>
      <c r="O56" s="2597">
        <f t="shared" si="7"/>
        <v>1.5501472639900789E-2</v>
      </c>
      <c r="P56" s="2592" t="s">
        <v>1</v>
      </c>
      <c r="Q56" s="2597" t="s">
        <v>3242</v>
      </c>
      <c r="R56" s="2592">
        <v>1</v>
      </c>
      <c r="S56" s="2597">
        <f t="shared" si="9"/>
        <v>2.8514399771884805E-2</v>
      </c>
      <c r="T56" s="2592">
        <v>9</v>
      </c>
      <c r="U56" s="2597">
        <f t="shared" si="10"/>
        <v>3.8843331894691413E-2</v>
      </c>
      <c r="V56" s="2592">
        <v>5</v>
      </c>
      <c r="W56" s="2597">
        <f t="shared" si="11"/>
        <v>3.6512341171315903E-2</v>
      </c>
      <c r="X56" s="2592">
        <v>4</v>
      </c>
      <c r="Y56" s="2591">
        <f t="shared" si="12"/>
        <v>4.2211903756859431E-2</v>
      </c>
    </row>
    <row r="57" spans="1:25" ht="16.5">
      <c r="A57" s="2589" t="s">
        <v>3837</v>
      </c>
      <c r="B57" s="2590">
        <v>28</v>
      </c>
      <c r="C57" s="2591">
        <f t="shared" si="1"/>
        <v>1.517195788697975E-2</v>
      </c>
      <c r="D57" s="2592">
        <v>10</v>
      </c>
      <c r="E57" s="2593">
        <f t="shared" si="2"/>
        <v>9.5451725289934612E-3</v>
      </c>
      <c r="F57" s="2596">
        <v>18</v>
      </c>
      <c r="G57" s="2595">
        <f t="shared" si="3"/>
        <v>2.2560348933396836E-2</v>
      </c>
      <c r="H57" s="2596" t="s">
        <v>1</v>
      </c>
      <c r="I57" s="2597" t="s">
        <v>3242</v>
      </c>
      <c r="J57" s="2596" t="s">
        <v>1</v>
      </c>
      <c r="K57" s="2597" t="s">
        <v>3242</v>
      </c>
      <c r="L57" s="2596" t="s">
        <v>1</v>
      </c>
      <c r="M57" s="2597" t="s">
        <v>3242</v>
      </c>
      <c r="N57" s="2596" t="s">
        <v>1</v>
      </c>
      <c r="O57" s="2597" t="s">
        <v>3877</v>
      </c>
      <c r="P57" s="2592" t="s">
        <v>1</v>
      </c>
      <c r="Q57" s="2597" t="s">
        <v>3242</v>
      </c>
      <c r="R57" s="2592" t="s">
        <v>1</v>
      </c>
      <c r="S57" s="2597" t="s">
        <v>3242</v>
      </c>
      <c r="T57" s="2592" t="s">
        <v>1</v>
      </c>
      <c r="U57" s="2597" t="s">
        <v>3242</v>
      </c>
      <c r="V57" s="2592" t="s">
        <v>1</v>
      </c>
      <c r="W57" s="2597" t="s">
        <v>3242</v>
      </c>
      <c r="X57" s="2592" t="s">
        <v>1</v>
      </c>
      <c r="Y57" s="2591" t="s">
        <v>3242</v>
      </c>
    </row>
    <row r="58" spans="1:25" ht="16.5">
      <c r="A58" s="2589" t="s">
        <v>3838</v>
      </c>
      <c r="B58" s="2590">
        <v>28</v>
      </c>
      <c r="C58" s="2591">
        <f t="shared" si="1"/>
        <v>1.517195788697975E-2</v>
      </c>
      <c r="D58" s="2592">
        <v>6</v>
      </c>
      <c r="E58" s="2593">
        <f t="shared" si="2"/>
        <v>5.7271035173960773E-3</v>
      </c>
      <c r="F58" s="2596">
        <v>19</v>
      </c>
      <c r="G58" s="2595">
        <f t="shared" si="3"/>
        <v>2.3813701651918883E-2</v>
      </c>
      <c r="H58" s="2596" t="s">
        <v>1</v>
      </c>
      <c r="I58" s="2597" t="s">
        <v>3242</v>
      </c>
      <c r="J58" s="2596" t="s">
        <v>1</v>
      </c>
      <c r="K58" s="2597" t="s">
        <v>3242</v>
      </c>
      <c r="L58" s="2596" t="s">
        <v>1</v>
      </c>
      <c r="M58" s="2597" t="s">
        <v>3242</v>
      </c>
      <c r="N58" s="2596" t="s">
        <v>1</v>
      </c>
      <c r="O58" s="2597" t="s">
        <v>3242</v>
      </c>
      <c r="P58" s="2592" t="s">
        <v>1</v>
      </c>
      <c r="Q58" s="2597" t="s">
        <v>3242</v>
      </c>
      <c r="R58" s="2592" t="s">
        <v>1</v>
      </c>
      <c r="S58" s="2597" t="s">
        <v>3242</v>
      </c>
      <c r="T58" s="2592" t="s">
        <v>1</v>
      </c>
      <c r="U58" s="2597" t="s">
        <v>3242</v>
      </c>
      <c r="V58" s="2592" t="s">
        <v>1</v>
      </c>
      <c r="W58" s="2597" t="s">
        <v>3242</v>
      </c>
      <c r="X58" s="2592" t="s">
        <v>1</v>
      </c>
      <c r="Y58" s="2591" t="s">
        <v>3242</v>
      </c>
    </row>
    <row r="59" spans="1:25" ht="16.5">
      <c r="A59" s="2589" t="s">
        <v>3839</v>
      </c>
      <c r="B59" s="2590">
        <v>25</v>
      </c>
      <c r="C59" s="2591">
        <f t="shared" si="1"/>
        <v>1.3546390970517633E-2</v>
      </c>
      <c r="D59" s="2592">
        <v>11</v>
      </c>
      <c r="E59" s="2593">
        <f t="shared" si="2"/>
        <v>1.0499689781892807E-2</v>
      </c>
      <c r="F59" s="2596">
        <v>11</v>
      </c>
      <c r="G59" s="2595">
        <f t="shared" si="3"/>
        <v>1.3786879903742512E-2</v>
      </c>
      <c r="H59" s="2596" t="s">
        <v>1</v>
      </c>
      <c r="I59" s="2597" t="s">
        <v>3242</v>
      </c>
      <c r="J59" s="2596" t="s">
        <v>1</v>
      </c>
      <c r="K59" s="2597" t="s">
        <v>3242</v>
      </c>
      <c r="L59" s="2596" t="s">
        <v>1</v>
      </c>
      <c r="M59" s="2597" t="s">
        <v>3242</v>
      </c>
      <c r="N59" s="2596">
        <v>1</v>
      </c>
      <c r="O59" s="2597">
        <f t="shared" si="7"/>
        <v>1.5501472639900789E-2</v>
      </c>
      <c r="P59" s="2592" t="s">
        <v>1</v>
      </c>
      <c r="Q59" s="2597" t="s">
        <v>3242</v>
      </c>
      <c r="R59" s="2592">
        <v>1</v>
      </c>
      <c r="S59" s="2597">
        <f t="shared" si="9"/>
        <v>2.8514399771884805E-2</v>
      </c>
      <c r="T59" s="2592">
        <v>2</v>
      </c>
      <c r="U59" s="2597">
        <f t="shared" si="10"/>
        <v>8.6318515321536469E-3</v>
      </c>
      <c r="V59" s="2592">
        <v>1</v>
      </c>
      <c r="W59" s="2597">
        <f t="shared" si="11"/>
        <v>7.3024682342631804E-3</v>
      </c>
      <c r="X59" s="2592">
        <v>1</v>
      </c>
      <c r="Y59" s="2591">
        <f t="shared" si="12"/>
        <v>1.0552975939214858E-2</v>
      </c>
    </row>
    <row r="60" spans="1:25" ht="16.5">
      <c r="A60" s="2589" t="s">
        <v>3840</v>
      </c>
      <c r="B60" s="2590">
        <v>22</v>
      </c>
      <c r="C60" s="2591">
        <f t="shared" si="1"/>
        <v>1.1920824054055519E-2</v>
      </c>
      <c r="D60" s="2592">
        <v>13</v>
      </c>
      <c r="E60" s="2593">
        <f t="shared" si="2"/>
        <v>1.24087242876915E-2</v>
      </c>
      <c r="F60" s="2596">
        <v>4</v>
      </c>
      <c r="G60" s="2595">
        <f t="shared" si="3"/>
        <v>5.0134108740881858E-3</v>
      </c>
      <c r="H60" s="2596" t="s">
        <v>1</v>
      </c>
      <c r="I60" s="2597" t="s">
        <v>3242</v>
      </c>
      <c r="J60" s="2596" t="s">
        <v>1</v>
      </c>
      <c r="K60" s="2597" t="s">
        <v>3242</v>
      </c>
      <c r="L60" s="2596" t="s">
        <v>1</v>
      </c>
      <c r="M60" s="2597" t="s">
        <v>3242</v>
      </c>
      <c r="N60" s="2596" t="s">
        <v>1</v>
      </c>
      <c r="O60" s="2597" t="s">
        <v>3242</v>
      </c>
      <c r="P60" s="2592" t="s">
        <v>1</v>
      </c>
      <c r="Q60" s="2597" t="s">
        <v>3877</v>
      </c>
      <c r="R60" s="2592" t="s">
        <v>1</v>
      </c>
      <c r="S60" s="2597" t="s">
        <v>3242</v>
      </c>
      <c r="T60" s="2592">
        <v>3</v>
      </c>
      <c r="U60" s="2597">
        <f t="shared" si="10"/>
        <v>1.294777729823047E-2</v>
      </c>
      <c r="V60" s="2592">
        <v>2</v>
      </c>
      <c r="W60" s="2597">
        <f t="shared" si="11"/>
        <v>1.4604936468526361E-2</v>
      </c>
      <c r="X60" s="2592">
        <v>1</v>
      </c>
      <c r="Y60" s="2591">
        <f t="shared" si="12"/>
        <v>1.0552975939214858E-2</v>
      </c>
    </row>
    <row r="61" spans="1:25" ht="16.5">
      <c r="A61" s="2589" t="s">
        <v>2703</v>
      </c>
      <c r="B61" s="2590">
        <v>17</v>
      </c>
      <c r="C61" s="2591">
        <f t="shared" si="1"/>
        <v>9.2115458599519914E-3</v>
      </c>
      <c r="D61" s="2592">
        <v>9</v>
      </c>
      <c r="E61" s="2593">
        <f t="shared" si="2"/>
        <v>8.5906552760941154E-3</v>
      </c>
      <c r="F61" s="2596">
        <v>1</v>
      </c>
      <c r="G61" s="2595">
        <f t="shared" si="3"/>
        <v>1.2533527185220464E-3</v>
      </c>
      <c r="H61" s="2596" t="s">
        <v>1</v>
      </c>
      <c r="I61" s="2597" t="s">
        <v>3242</v>
      </c>
      <c r="J61" s="2596" t="s">
        <v>1</v>
      </c>
      <c r="K61" s="2597" t="s">
        <v>3242</v>
      </c>
      <c r="L61" s="2596" t="s">
        <v>1</v>
      </c>
      <c r="M61" s="2597" t="s">
        <v>3242</v>
      </c>
      <c r="N61" s="2596" t="s">
        <v>1</v>
      </c>
      <c r="O61" s="2597" t="s">
        <v>3242</v>
      </c>
      <c r="P61" s="2592" t="s">
        <v>1</v>
      </c>
      <c r="Q61" s="2597" t="s">
        <v>3242</v>
      </c>
      <c r="R61" s="2592" t="s">
        <v>1</v>
      </c>
      <c r="S61" s="2597" t="s">
        <v>3242</v>
      </c>
      <c r="T61" s="2592" t="s">
        <v>1</v>
      </c>
      <c r="U61" s="2597" t="s">
        <v>3242</v>
      </c>
      <c r="V61" s="2592" t="s">
        <v>1</v>
      </c>
      <c r="W61" s="2597" t="s">
        <v>3242</v>
      </c>
      <c r="X61" s="2592" t="s">
        <v>1</v>
      </c>
      <c r="Y61" s="2591" t="s">
        <v>3242</v>
      </c>
    </row>
    <row r="62" spans="1:25" ht="16.5">
      <c r="A62" s="2589" t="s">
        <v>3841</v>
      </c>
      <c r="B62" s="2590">
        <v>10</v>
      </c>
      <c r="C62" s="2591">
        <f t="shared" si="1"/>
        <v>5.4185563882070539E-3</v>
      </c>
      <c r="D62" s="2592">
        <v>3</v>
      </c>
      <c r="E62" s="2593">
        <f t="shared" si="2"/>
        <v>2.8635517586980386E-3</v>
      </c>
      <c r="F62" s="2596">
        <v>5</v>
      </c>
      <c r="G62" s="2595">
        <f t="shared" si="3"/>
        <v>6.2667635926102316E-3</v>
      </c>
      <c r="H62" s="2596" t="s">
        <v>1</v>
      </c>
      <c r="I62" s="2597" t="s">
        <v>3242</v>
      </c>
      <c r="J62" s="2596" t="s">
        <v>1</v>
      </c>
      <c r="K62" s="2597" t="s">
        <v>3242</v>
      </c>
      <c r="L62" s="2596" t="s">
        <v>1</v>
      </c>
      <c r="M62" s="2597" t="s">
        <v>3242</v>
      </c>
      <c r="N62" s="2596" t="s">
        <v>1</v>
      </c>
      <c r="O62" s="2597" t="s">
        <v>3242</v>
      </c>
      <c r="P62" s="2592" t="s">
        <v>1</v>
      </c>
      <c r="Q62" s="2597" t="s">
        <v>3242</v>
      </c>
      <c r="R62" s="2592" t="s">
        <v>1</v>
      </c>
      <c r="S62" s="2597" t="s">
        <v>3242</v>
      </c>
      <c r="T62" s="2592" t="s">
        <v>1</v>
      </c>
      <c r="U62" s="2597" t="s">
        <v>3242</v>
      </c>
      <c r="V62" s="2592" t="s">
        <v>1</v>
      </c>
      <c r="W62" s="2597" t="s">
        <v>3242</v>
      </c>
      <c r="X62" s="2592" t="s">
        <v>1</v>
      </c>
      <c r="Y62" s="2591" t="s">
        <v>3242</v>
      </c>
    </row>
    <row r="63" spans="1:25" ht="16.5">
      <c r="A63" s="2589" t="s">
        <v>3842</v>
      </c>
      <c r="B63" s="2590">
        <v>8</v>
      </c>
      <c r="C63" s="2591">
        <f t="shared" si="1"/>
        <v>4.3348451105656429E-3</v>
      </c>
      <c r="D63" s="2592">
        <v>5</v>
      </c>
      <c r="E63" s="2593">
        <f t="shared" si="2"/>
        <v>4.7725862644967306E-3</v>
      </c>
      <c r="F63" s="2596">
        <v>2</v>
      </c>
      <c r="G63" s="2595">
        <f t="shared" si="3"/>
        <v>2.5067054370440929E-3</v>
      </c>
      <c r="H63" s="2596" t="s">
        <v>1</v>
      </c>
      <c r="I63" s="2597" t="s">
        <v>3242</v>
      </c>
      <c r="J63" s="2596" t="s">
        <v>1</v>
      </c>
      <c r="K63" s="2597" t="s">
        <v>3242</v>
      </c>
      <c r="L63" s="2596" t="s">
        <v>1</v>
      </c>
      <c r="M63" s="2597" t="s">
        <v>3242</v>
      </c>
      <c r="N63" s="2596" t="s">
        <v>1</v>
      </c>
      <c r="O63" s="2597" t="s">
        <v>3242</v>
      </c>
      <c r="P63" s="2592" t="s">
        <v>1</v>
      </c>
      <c r="Q63" s="2597" t="s">
        <v>3242</v>
      </c>
      <c r="R63" s="2592" t="s">
        <v>1</v>
      </c>
      <c r="S63" s="2597" t="s">
        <v>3242</v>
      </c>
      <c r="T63" s="2592">
        <v>1</v>
      </c>
      <c r="U63" s="2597">
        <f t="shared" si="10"/>
        <v>4.3159257660768235E-3</v>
      </c>
      <c r="V63" s="2592">
        <v>1</v>
      </c>
      <c r="W63" s="2597">
        <f t="shared" si="11"/>
        <v>7.3024682342631804E-3</v>
      </c>
      <c r="X63" s="2592" t="s">
        <v>1</v>
      </c>
      <c r="Y63" s="2591" t="s">
        <v>3242</v>
      </c>
    </row>
    <row r="64" spans="1:25" ht="16.5">
      <c r="A64" s="2589" t="s">
        <v>3843</v>
      </c>
      <c r="B64" s="2590">
        <v>8</v>
      </c>
      <c r="C64" s="2591">
        <f t="shared" si="1"/>
        <v>4.3348451105656429E-3</v>
      </c>
      <c r="D64" s="2592">
        <v>5</v>
      </c>
      <c r="E64" s="2593">
        <f t="shared" si="2"/>
        <v>4.7725862644967306E-3</v>
      </c>
      <c r="F64" s="2596">
        <v>3</v>
      </c>
      <c r="G64" s="2595">
        <f t="shared" si="3"/>
        <v>3.7600581555661395E-3</v>
      </c>
      <c r="H64" s="2596" t="s">
        <v>1</v>
      </c>
      <c r="I64" s="2597" t="s">
        <v>3242</v>
      </c>
      <c r="J64" s="2596" t="s">
        <v>1</v>
      </c>
      <c r="K64" s="2597" t="s">
        <v>3242</v>
      </c>
      <c r="L64" s="2596" t="s">
        <v>1</v>
      </c>
      <c r="M64" s="2597" t="s">
        <v>3242</v>
      </c>
      <c r="N64" s="2596" t="s">
        <v>1</v>
      </c>
      <c r="O64" s="2597" t="s">
        <v>3242</v>
      </c>
      <c r="P64" s="2592" t="s">
        <v>1</v>
      </c>
      <c r="Q64" s="2597" t="s">
        <v>3242</v>
      </c>
      <c r="R64" s="2592" t="s">
        <v>1</v>
      </c>
      <c r="S64" s="2597" t="s">
        <v>3242</v>
      </c>
      <c r="T64" s="2592" t="s">
        <v>1</v>
      </c>
      <c r="U64" s="2597" t="s">
        <v>3242</v>
      </c>
      <c r="V64" s="2592" t="s">
        <v>1</v>
      </c>
      <c r="W64" s="2597" t="s">
        <v>3242</v>
      </c>
      <c r="X64" s="2592" t="s">
        <v>1</v>
      </c>
      <c r="Y64" s="2591" t="s">
        <v>3242</v>
      </c>
    </row>
    <row r="65" spans="1:25" ht="16.5">
      <c r="A65" s="2589" t="s">
        <v>3844</v>
      </c>
      <c r="B65" s="2590">
        <v>8</v>
      </c>
      <c r="C65" s="2591">
        <f t="shared" si="1"/>
        <v>4.3348451105656429E-3</v>
      </c>
      <c r="D65" s="2592">
        <v>6</v>
      </c>
      <c r="E65" s="2593">
        <f t="shared" si="2"/>
        <v>5.7271035173960773E-3</v>
      </c>
      <c r="F65" s="2596">
        <v>2</v>
      </c>
      <c r="G65" s="2595">
        <f t="shared" si="3"/>
        <v>2.5067054370440929E-3</v>
      </c>
      <c r="H65" s="2596">
        <v>3</v>
      </c>
      <c r="I65" s="2597">
        <f t="shared" si="4"/>
        <v>0.20366598778004072</v>
      </c>
      <c r="J65" s="2596" t="s">
        <v>1</v>
      </c>
      <c r="K65" s="2597" t="s">
        <v>3242</v>
      </c>
      <c r="L65" s="2596">
        <v>3</v>
      </c>
      <c r="M65" s="2597">
        <f t="shared" si="6"/>
        <v>0.34682080924855491</v>
      </c>
      <c r="N65" s="2596">
        <v>3</v>
      </c>
      <c r="O65" s="2597">
        <f t="shared" si="7"/>
        <v>4.6504417919702369E-2</v>
      </c>
      <c r="P65" s="2592">
        <v>3</v>
      </c>
      <c r="Q65" s="2597">
        <f t="shared" si="8"/>
        <v>0.10190217391304347</v>
      </c>
      <c r="R65" s="2592" t="s">
        <v>1</v>
      </c>
      <c r="S65" s="2597" t="s">
        <v>3242</v>
      </c>
      <c r="T65" s="2592">
        <v>2</v>
      </c>
      <c r="U65" s="2597">
        <f t="shared" si="10"/>
        <v>8.6318515321536469E-3</v>
      </c>
      <c r="V65" s="2592" t="s">
        <v>1</v>
      </c>
      <c r="W65" s="2597" t="s">
        <v>3242</v>
      </c>
      <c r="X65" s="2592">
        <v>2</v>
      </c>
      <c r="Y65" s="2591">
        <f t="shared" si="12"/>
        <v>2.1105951878429716E-2</v>
      </c>
    </row>
    <row r="66" spans="1:25" ht="16.5">
      <c r="A66" s="2589" t="s">
        <v>3846</v>
      </c>
      <c r="B66" s="2590">
        <v>7</v>
      </c>
      <c r="C66" s="2591">
        <f t="shared" si="1"/>
        <v>3.7929894717449375E-3</v>
      </c>
      <c r="D66" s="2592">
        <v>6</v>
      </c>
      <c r="E66" s="2593">
        <f t="shared" si="2"/>
        <v>5.7271035173960773E-3</v>
      </c>
      <c r="F66" s="2596" t="s">
        <v>3242</v>
      </c>
      <c r="G66" s="2595" t="s">
        <v>1</v>
      </c>
      <c r="H66" s="2596" t="s">
        <v>1</v>
      </c>
      <c r="I66" s="2597" t="s">
        <v>3242</v>
      </c>
      <c r="J66" s="2596" t="s">
        <v>1</v>
      </c>
      <c r="K66" s="2597" t="s">
        <v>3242</v>
      </c>
      <c r="L66" s="2596" t="s">
        <v>1</v>
      </c>
      <c r="M66" s="2597" t="s">
        <v>3242</v>
      </c>
      <c r="N66" s="2596" t="s">
        <v>1</v>
      </c>
      <c r="O66" s="2597" t="s">
        <v>3242</v>
      </c>
      <c r="P66" s="2592" t="s">
        <v>1</v>
      </c>
      <c r="Q66" s="2597" t="s">
        <v>3242</v>
      </c>
      <c r="R66" s="2592" t="s">
        <v>1</v>
      </c>
      <c r="S66" s="2597" t="s">
        <v>3877</v>
      </c>
      <c r="T66" s="2592">
        <v>2</v>
      </c>
      <c r="U66" s="2597">
        <f t="shared" si="10"/>
        <v>8.6318515321536469E-3</v>
      </c>
      <c r="V66" s="2592">
        <v>2</v>
      </c>
      <c r="W66" s="2597">
        <f t="shared" si="11"/>
        <v>1.4604936468526361E-2</v>
      </c>
      <c r="X66" s="2592" t="s">
        <v>1</v>
      </c>
      <c r="Y66" s="2591" t="s">
        <v>3242</v>
      </c>
    </row>
    <row r="67" spans="1:25" ht="16.5">
      <c r="A67" s="2589" t="s">
        <v>3847</v>
      </c>
      <c r="B67" s="2590">
        <v>6</v>
      </c>
      <c r="C67" s="2591">
        <f t="shared" si="1"/>
        <v>3.251133832924232E-3</v>
      </c>
      <c r="D67" s="2592">
        <v>5</v>
      </c>
      <c r="E67" s="2593">
        <f t="shared" si="2"/>
        <v>4.7725862644967306E-3</v>
      </c>
      <c r="F67" s="2596" t="s">
        <v>3242</v>
      </c>
      <c r="G67" s="2595" t="s">
        <v>1</v>
      </c>
      <c r="H67" s="2596" t="s">
        <v>1</v>
      </c>
      <c r="I67" s="2597" t="s">
        <v>3242</v>
      </c>
      <c r="J67" s="2596" t="s">
        <v>1</v>
      </c>
      <c r="K67" s="2597" t="s">
        <v>3242</v>
      </c>
      <c r="L67" s="2596" t="s">
        <v>1</v>
      </c>
      <c r="M67" s="2597" t="s">
        <v>3242</v>
      </c>
      <c r="N67" s="2596">
        <v>1</v>
      </c>
      <c r="O67" s="2597">
        <f t="shared" si="7"/>
        <v>1.5501472639900789E-2</v>
      </c>
      <c r="P67" s="2592">
        <v>1</v>
      </c>
      <c r="Q67" s="2597">
        <f t="shared" si="8"/>
        <v>3.3967391304347824E-2</v>
      </c>
      <c r="R67" s="2592" t="s">
        <v>1</v>
      </c>
      <c r="S67" s="2597" t="s">
        <v>3242</v>
      </c>
      <c r="T67" s="2592" t="s">
        <v>1</v>
      </c>
      <c r="U67" s="2597" t="s">
        <v>3242</v>
      </c>
      <c r="V67" s="2592" t="s">
        <v>1</v>
      </c>
      <c r="W67" s="2597" t="s">
        <v>3242</v>
      </c>
      <c r="X67" s="2592" t="s">
        <v>1</v>
      </c>
      <c r="Y67" s="2591" t="s">
        <v>3242</v>
      </c>
    </row>
    <row r="68" spans="1:25" ht="16.5">
      <c r="A68" s="2589" t="s">
        <v>2723</v>
      </c>
      <c r="B68" s="2590">
        <v>6</v>
      </c>
      <c r="C68" s="2591">
        <f t="shared" si="1"/>
        <v>3.251133832924232E-3</v>
      </c>
      <c r="D68" s="2592">
        <v>5</v>
      </c>
      <c r="E68" s="2593">
        <f t="shared" si="2"/>
        <v>4.7725862644967306E-3</v>
      </c>
      <c r="F68" s="2596">
        <v>1</v>
      </c>
      <c r="G68" s="2595">
        <f t="shared" ref="G68:G75" si="13">F68/F$5*100</f>
        <v>1.2533527185220464E-3</v>
      </c>
      <c r="H68" s="2596" t="s">
        <v>1</v>
      </c>
      <c r="I68" s="2597" t="s">
        <v>3877</v>
      </c>
      <c r="J68" s="2596" t="s">
        <v>1</v>
      </c>
      <c r="K68" s="2597" t="s">
        <v>3242</v>
      </c>
      <c r="L68" s="2596" t="s">
        <v>1</v>
      </c>
      <c r="M68" s="2597" t="s">
        <v>3242</v>
      </c>
      <c r="N68" s="2596" t="s">
        <v>1</v>
      </c>
      <c r="O68" s="2597" t="s">
        <v>3242</v>
      </c>
      <c r="P68" s="2592" t="s">
        <v>1</v>
      </c>
      <c r="Q68" s="2597" t="s">
        <v>3242</v>
      </c>
      <c r="R68" s="2592" t="s">
        <v>1</v>
      </c>
      <c r="S68" s="2597" t="s">
        <v>3242</v>
      </c>
      <c r="T68" s="2592" t="s">
        <v>1</v>
      </c>
      <c r="U68" s="2597" t="s">
        <v>3242</v>
      </c>
      <c r="V68" s="2592" t="s">
        <v>1</v>
      </c>
      <c r="W68" s="2597" t="s">
        <v>3242</v>
      </c>
      <c r="X68" s="2592" t="s">
        <v>1</v>
      </c>
      <c r="Y68" s="2591" t="s">
        <v>3242</v>
      </c>
    </row>
    <row r="69" spans="1:25" ht="16.5">
      <c r="A69" s="2589" t="s">
        <v>3848</v>
      </c>
      <c r="B69" s="2590">
        <v>6</v>
      </c>
      <c r="C69" s="2591">
        <f t="shared" si="1"/>
        <v>3.251133832924232E-3</v>
      </c>
      <c r="D69" s="2592">
        <v>5</v>
      </c>
      <c r="E69" s="2593">
        <f t="shared" si="2"/>
        <v>4.7725862644967306E-3</v>
      </c>
      <c r="F69" s="2596">
        <v>1</v>
      </c>
      <c r="G69" s="2595">
        <f t="shared" si="13"/>
        <v>1.2533527185220464E-3</v>
      </c>
      <c r="H69" s="2596" t="s">
        <v>1</v>
      </c>
      <c r="I69" s="2597" t="s">
        <v>3242</v>
      </c>
      <c r="J69" s="2596" t="s">
        <v>1</v>
      </c>
      <c r="K69" s="2597" t="s">
        <v>3242</v>
      </c>
      <c r="L69" s="2596" t="s">
        <v>1</v>
      </c>
      <c r="M69" s="2597" t="s">
        <v>3242</v>
      </c>
      <c r="N69" s="2596" t="s">
        <v>1</v>
      </c>
      <c r="O69" s="2597" t="s">
        <v>3242</v>
      </c>
      <c r="P69" s="2592" t="s">
        <v>1</v>
      </c>
      <c r="Q69" s="2597" t="s">
        <v>3242</v>
      </c>
      <c r="R69" s="2592" t="s">
        <v>1</v>
      </c>
      <c r="S69" s="2597" t="s">
        <v>3242</v>
      </c>
      <c r="T69" s="2592" t="s">
        <v>1</v>
      </c>
      <c r="U69" s="2597" t="s">
        <v>3242</v>
      </c>
      <c r="V69" s="2592" t="s">
        <v>1</v>
      </c>
      <c r="W69" s="2597" t="s">
        <v>3242</v>
      </c>
      <c r="X69" s="2592" t="s">
        <v>1</v>
      </c>
      <c r="Y69" s="2591" t="s">
        <v>3242</v>
      </c>
    </row>
    <row r="70" spans="1:25" ht="16.5">
      <c r="A70" s="2589" t="s">
        <v>3849</v>
      </c>
      <c r="B70" s="2590">
        <v>5</v>
      </c>
      <c r="C70" s="2591">
        <f t="shared" ref="C70:C108" si="14">B70/B$5*100</f>
        <v>2.7092781941035269E-3</v>
      </c>
      <c r="D70" s="2592">
        <v>4</v>
      </c>
      <c r="E70" s="2593">
        <f t="shared" ref="E70:E82" si="15">D70/D$5*100</f>
        <v>3.8180690115973844E-3</v>
      </c>
      <c r="F70" s="2596">
        <v>1</v>
      </c>
      <c r="G70" s="2595">
        <f t="shared" si="13"/>
        <v>1.2533527185220464E-3</v>
      </c>
      <c r="H70" s="2596" t="s">
        <v>1</v>
      </c>
      <c r="I70" s="2597" t="s">
        <v>3242</v>
      </c>
      <c r="J70" s="2596" t="s">
        <v>1</v>
      </c>
      <c r="K70" s="2597" t="s">
        <v>3242</v>
      </c>
      <c r="L70" s="2596" t="s">
        <v>1</v>
      </c>
      <c r="M70" s="2597" t="s">
        <v>3242</v>
      </c>
      <c r="N70" s="2596" t="s">
        <v>1</v>
      </c>
      <c r="O70" s="2597" t="s">
        <v>3242</v>
      </c>
      <c r="P70" s="2592" t="s">
        <v>1</v>
      </c>
      <c r="Q70" s="2597" t="s">
        <v>3242</v>
      </c>
      <c r="R70" s="2592" t="s">
        <v>1</v>
      </c>
      <c r="S70" s="2597" t="s">
        <v>3242</v>
      </c>
      <c r="T70" s="2592">
        <v>1</v>
      </c>
      <c r="U70" s="2597">
        <f t="shared" ref="U70:U73" si="16">T70/T$5*100</f>
        <v>4.3159257660768235E-3</v>
      </c>
      <c r="V70" s="2592">
        <v>1</v>
      </c>
      <c r="W70" s="2597">
        <f t="shared" ref="W70:W73" si="17">V70/V$5*100</f>
        <v>7.3024682342631804E-3</v>
      </c>
      <c r="X70" s="2592" t="s">
        <v>1</v>
      </c>
      <c r="Y70" s="2591" t="s">
        <v>3955</v>
      </c>
    </row>
    <row r="71" spans="1:25" ht="16.5">
      <c r="A71" s="2589" t="s">
        <v>3851</v>
      </c>
      <c r="B71" s="2590">
        <v>5</v>
      </c>
      <c r="C71" s="2591">
        <f t="shared" si="14"/>
        <v>2.7092781941035269E-3</v>
      </c>
      <c r="D71" s="2592">
        <v>3</v>
      </c>
      <c r="E71" s="2593">
        <f t="shared" si="15"/>
        <v>2.8635517586980386E-3</v>
      </c>
      <c r="F71" s="2596">
        <v>2</v>
      </c>
      <c r="G71" s="2595">
        <f t="shared" si="13"/>
        <v>2.5067054370440929E-3</v>
      </c>
      <c r="H71" s="2596" t="s">
        <v>1</v>
      </c>
      <c r="I71" s="2597" t="s">
        <v>3955</v>
      </c>
      <c r="J71" s="2596" t="s">
        <v>1</v>
      </c>
      <c r="K71" s="2597" t="s">
        <v>3955</v>
      </c>
      <c r="L71" s="2596" t="s">
        <v>1</v>
      </c>
      <c r="M71" s="2597" t="s">
        <v>3877</v>
      </c>
      <c r="N71" s="2596" t="s">
        <v>1</v>
      </c>
      <c r="O71" s="2597" t="s">
        <v>3877</v>
      </c>
      <c r="P71" s="2592" t="s">
        <v>1</v>
      </c>
      <c r="Q71" s="2597" t="s">
        <v>3955</v>
      </c>
      <c r="R71" s="2592" t="s">
        <v>1</v>
      </c>
      <c r="S71" s="2597" t="s">
        <v>3955</v>
      </c>
      <c r="T71" s="2592" t="s">
        <v>1</v>
      </c>
      <c r="U71" s="2597" t="s">
        <v>3955</v>
      </c>
      <c r="V71" s="2592" t="s">
        <v>1</v>
      </c>
      <c r="W71" s="2597" t="s">
        <v>3877</v>
      </c>
      <c r="X71" s="2592" t="s">
        <v>1</v>
      </c>
      <c r="Y71" s="2591" t="s">
        <v>3877</v>
      </c>
    </row>
    <row r="72" spans="1:25" ht="16.5">
      <c r="A72" s="2589" t="s">
        <v>3853</v>
      </c>
      <c r="B72" s="2590">
        <v>5</v>
      </c>
      <c r="C72" s="2591">
        <f t="shared" si="14"/>
        <v>2.7092781941035269E-3</v>
      </c>
      <c r="D72" s="2592">
        <v>4</v>
      </c>
      <c r="E72" s="2593">
        <f t="shared" si="15"/>
        <v>3.8180690115973844E-3</v>
      </c>
      <c r="F72" s="2596">
        <v>1</v>
      </c>
      <c r="G72" s="2595">
        <f t="shared" si="13"/>
        <v>1.2533527185220464E-3</v>
      </c>
      <c r="H72" s="2596">
        <v>1</v>
      </c>
      <c r="I72" s="2597">
        <f t="shared" ref="I72" si="18">H72/H$5*100</f>
        <v>6.7888662593346902E-2</v>
      </c>
      <c r="J72" s="2596">
        <v>1</v>
      </c>
      <c r="K72" s="2597">
        <f t="shared" ref="K72" si="19">J72/J$5*100</f>
        <v>0.1644736842105263</v>
      </c>
      <c r="L72" s="2596" t="s">
        <v>1</v>
      </c>
      <c r="M72" s="2597" t="s">
        <v>3955</v>
      </c>
      <c r="N72" s="2596" t="s">
        <v>1</v>
      </c>
      <c r="O72" s="2597" t="s">
        <v>3242</v>
      </c>
      <c r="P72" s="2592" t="s">
        <v>1</v>
      </c>
      <c r="Q72" s="2597" t="s">
        <v>3242</v>
      </c>
      <c r="R72" s="2592" t="s">
        <v>1</v>
      </c>
      <c r="S72" s="2597" t="s">
        <v>3955</v>
      </c>
      <c r="T72" s="2592">
        <v>1</v>
      </c>
      <c r="U72" s="2597">
        <f t="shared" si="16"/>
        <v>4.3159257660768235E-3</v>
      </c>
      <c r="V72" s="2592">
        <v>1</v>
      </c>
      <c r="W72" s="2597">
        <f t="shared" si="17"/>
        <v>7.3024682342631804E-3</v>
      </c>
      <c r="X72" s="2592" t="s">
        <v>1</v>
      </c>
      <c r="Y72" s="2591" t="s">
        <v>3955</v>
      </c>
    </row>
    <row r="73" spans="1:25" ht="16.5">
      <c r="A73" s="2589" t="s">
        <v>3855</v>
      </c>
      <c r="B73" s="2590">
        <v>5</v>
      </c>
      <c r="C73" s="2591">
        <f t="shared" si="14"/>
        <v>2.7092781941035269E-3</v>
      </c>
      <c r="D73" s="2592">
        <v>2</v>
      </c>
      <c r="E73" s="2593">
        <f t="shared" si="15"/>
        <v>1.9090345057986922E-3</v>
      </c>
      <c r="F73" s="2596">
        <v>3</v>
      </c>
      <c r="G73" s="2595">
        <f t="shared" si="13"/>
        <v>3.7600581555661395E-3</v>
      </c>
      <c r="H73" s="2596" t="s">
        <v>1</v>
      </c>
      <c r="I73" s="2597" t="s">
        <v>3955</v>
      </c>
      <c r="J73" s="2596" t="s">
        <v>1</v>
      </c>
      <c r="K73" s="2597" t="s">
        <v>3242</v>
      </c>
      <c r="L73" s="2596" t="s">
        <v>1</v>
      </c>
      <c r="M73" s="2597" t="s">
        <v>3877</v>
      </c>
      <c r="N73" s="2596" t="s">
        <v>1</v>
      </c>
      <c r="O73" s="2597" t="s">
        <v>3242</v>
      </c>
      <c r="P73" s="2592" t="s">
        <v>1</v>
      </c>
      <c r="Q73" s="2597" t="s">
        <v>3242</v>
      </c>
      <c r="R73" s="2592" t="s">
        <v>1</v>
      </c>
      <c r="S73" s="2597" t="s">
        <v>3955</v>
      </c>
      <c r="T73" s="2592">
        <v>1</v>
      </c>
      <c r="U73" s="2597">
        <f t="shared" si="16"/>
        <v>4.3159257660768235E-3</v>
      </c>
      <c r="V73" s="2592">
        <v>1</v>
      </c>
      <c r="W73" s="2597">
        <f t="shared" si="17"/>
        <v>7.3024682342631804E-3</v>
      </c>
      <c r="X73" s="2592" t="s">
        <v>1</v>
      </c>
      <c r="Y73" s="2591" t="s">
        <v>3955</v>
      </c>
    </row>
    <row r="74" spans="1:25" ht="16.5">
      <c r="A74" s="2589" t="s">
        <v>3959</v>
      </c>
      <c r="B74" s="2590">
        <v>5</v>
      </c>
      <c r="C74" s="2591">
        <f t="shared" si="14"/>
        <v>2.7092781941035269E-3</v>
      </c>
      <c r="D74" s="2592">
        <v>3</v>
      </c>
      <c r="E74" s="2593">
        <f t="shared" si="15"/>
        <v>2.8635517586980386E-3</v>
      </c>
      <c r="F74" s="2596">
        <v>1</v>
      </c>
      <c r="G74" s="2595">
        <f t="shared" si="13"/>
        <v>1.2533527185220464E-3</v>
      </c>
      <c r="H74" s="2596" t="s">
        <v>1</v>
      </c>
      <c r="I74" s="2597" t="s">
        <v>3242</v>
      </c>
      <c r="J74" s="2596" t="s">
        <v>1</v>
      </c>
      <c r="K74" s="2597" t="s">
        <v>3242</v>
      </c>
      <c r="L74" s="2596" t="s">
        <v>1</v>
      </c>
      <c r="M74" s="2597" t="s">
        <v>3242</v>
      </c>
      <c r="N74" s="2596" t="s">
        <v>1</v>
      </c>
      <c r="O74" s="2597" t="s">
        <v>3955</v>
      </c>
      <c r="P74" s="2592" t="s">
        <v>1</v>
      </c>
      <c r="Q74" s="2597" t="s">
        <v>3242</v>
      </c>
      <c r="R74" s="2592" t="s">
        <v>1</v>
      </c>
      <c r="S74" s="2597" t="s">
        <v>3242</v>
      </c>
      <c r="T74" s="2592" t="s">
        <v>1</v>
      </c>
      <c r="U74" s="2597" t="s">
        <v>3242</v>
      </c>
      <c r="V74" s="2592" t="s">
        <v>1</v>
      </c>
      <c r="W74" s="2597" t="s">
        <v>3242</v>
      </c>
      <c r="X74" s="2592" t="s">
        <v>1</v>
      </c>
      <c r="Y74" s="2591" t="s">
        <v>3242</v>
      </c>
    </row>
    <row r="75" spans="1:25" ht="16.5">
      <c r="A75" s="2589" t="s">
        <v>3857</v>
      </c>
      <c r="B75" s="2590">
        <v>4</v>
      </c>
      <c r="C75" s="2591">
        <f t="shared" si="14"/>
        <v>2.1674225552828215E-3</v>
      </c>
      <c r="D75" s="2592">
        <v>3</v>
      </c>
      <c r="E75" s="2593">
        <f t="shared" si="15"/>
        <v>2.8635517586980386E-3</v>
      </c>
      <c r="F75" s="2596">
        <v>1</v>
      </c>
      <c r="G75" s="2595">
        <f t="shared" si="13"/>
        <v>1.2533527185220464E-3</v>
      </c>
      <c r="H75" s="2596" t="s">
        <v>1</v>
      </c>
      <c r="I75" s="2597" t="s">
        <v>3955</v>
      </c>
      <c r="J75" s="2596" t="s">
        <v>1</v>
      </c>
      <c r="K75" s="2597" t="s">
        <v>3242</v>
      </c>
      <c r="L75" s="2596" t="s">
        <v>1</v>
      </c>
      <c r="M75" s="2597" t="s">
        <v>3242</v>
      </c>
      <c r="N75" s="2596" t="s">
        <v>1</v>
      </c>
      <c r="O75" s="2597" t="s">
        <v>3242</v>
      </c>
      <c r="P75" s="2592" t="s">
        <v>1</v>
      </c>
      <c r="Q75" s="2597" t="s">
        <v>3242</v>
      </c>
      <c r="R75" s="2592" t="s">
        <v>1</v>
      </c>
      <c r="S75" s="2597" t="s">
        <v>3242</v>
      </c>
      <c r="T75" s="2592" t="s">
        <v>1</v>
      </c>
      <c r="U75" s="2597" t="s">
        <v>3242</v>
      </c>
      <c r="V75" s="2592" t="s">
        <v>1</v>
      </c>
      <c r="W75" s="2597" t="s">
        <v>3242</v>
      </c>
      <c r="X75" s="2592" t="s">
        <v>1</v>
      </c>
      <c r="Y75" s="2591" t="s">
        <v>3242</v>
      </c>
    </row>
    <row r="76" spans="1:25" ht="16.5">
      <c r="A76" s="2589" t="s">
        <v>3858</v>
      </c>
      <c r="B76" s="2590">
        <v>4</v>
      </c>
      <c r="C76" s="2591">
        <f t="shared" si="14"/>
        <v>2.1674225552828215E-3</v>
      </c>
      <c r="D76" s="2592">
        <v>4</v>
      </c>
      <c r="E76" s="2593">
        <f t="shared" si="15"/>
        <v>3.8180690115973844E-3</v>
      </c>
      <c r="F76" s="2596" t="s">
        <v>3955</v>
      </c>
      <c r="G76" s="2595" t="s">
        <v>1</v>
      </c>
      <c r="H76" s="2596" t="s">
        <v>1</v>
      </c>
      <c r="I76" s="2597" t="s">
        <v>3242</v>
      </c>
      <c r="J76" s="2596" t="s">
        <v>1</v>
      </c>
      <c r="K76" s="2597" t="s">
        <v>3242</v>
      </c>
      <c r="L76" s="2596" t="s">
        <v>1</v>
      </c>
      <c r="M76" s="2597" t="s">
        <v>3242</v>
      </c>
      <c r="N76" s="2596" t="s">
        <v>1</v>
      </c>
      <c r="O76" s="2597" t="s">
        <v>3955</v>
      </c>
      <c r="P76" s="2592" t="s">
        <v>1</v>
      </c>
      <c r="Q76" s="2597" t="s">
        <v>3242</v>
      </c>
      <c r="R76" s="2592" t="s">
        <v>1</v>
      </c>
      <c r="S76" s="2597" t="s">
        <v>3242</v>
      </c>
      <c r="T76" s="2592" t="s">
        <v>1</v>
      </c>
      <c r="U76" s="2597" t="s">
        <v>3242</v>
      </c>
      <c r="V76" s="2592" t="s">
        <v>1</v>
      </c>
      <c r="W76" s="2597" t="s">
        <v>3242</v>
      </c>
      <c r="X76" s="2592" t="s">
        <v>1</v>
      </c>
      <c r="Y76" s="2591" t="s">
        <v>3242</v>
      </c>
    </row>
    <row r="77" spans="1:25" ht="16.5">
      <c r="A77" s="2589" t="s">
        <v>3859</v>
      </c>
      <c r="B77" s="2590">
        <v>4</v>
      </c>
      <c r="C77" s="2591">
        <f t="shared" si="14"/>
        <v>2.1674225552828215E-3</v>
      </c>
      <c r="D77" s="2592">
        <v>3</v>
      </c>
      <c r="E77" s="2593">
        <f t="shared" si="15"/>
        <v>2.8635517586980386E-3</v>
      </c>
      <c r="F77" s="2596">
        <v>1</v>
      </c>
      <c r="G77" s="2595">
        <f>F77/F$5*100</f>
        <v>1.2533527185220464E-3</v>
      </c>
      <c r="H77" s="2596" t="s">
        <v>1</v>
      </c>
      <c r="I77" s="2597" t="s">
        <v>3242</v>
      </c>
      <c r="J77" s="2596" t="s">
        <v>1</v>
      </c>
      <c r="K77" s="2597" t="s">
        <v>3242</v>
      </c>
      <c r="L77" s="2596" t="s">
        <v>1</v>
      </c>
      <c r="M77" s="2597" t="s">
        <v>3242</v>
      </c>
      <c r="N77" s="2596" t="s">
        <v>1</v>
      </c>
      <c r="O77" s="2597" t="s">
        <v>3242</v>
      </c>
      <c r="P77" s="2592" t="s">
        <v>1</v>
      </c>
      <c r="Q77" s="2597" t="s">
        <v>3242</v>
      </c>
      <c r="R77" s="2592" t="s">
        <v>1</v>
      </c>
      <c r="S77" s="2597" t="s">
        <v>3242</v>
      </c>
      <c r="T77" s="2592" t="s">
        <v>1</v>
      </c>
      <c r="U77" s="2597" t="s">
        <v>3242</v>
      </c>
      <c r="V77" s="2592" t="s">
        <v>1</v>
      </c>
      <c r="W77" s="2597" t="s">
        <v>3242</v>
      </c>
      <c r="X77" s="2592" t="s">
        <v>1</v>
      </c>
      <c r="Y77" s="2591" t="s">
        <v>3242</v>
      </c>
    </row>
    <row r="78" spans="1:25" ht="16.5">
      <c r="A78" s="2589" t="s">
        <v>3861</v>
      </c>
      <c r="B78" s="2590">
        <v>4</v>
      </c>
      <c r="C78" s="2591">
        <f t="shared" si="14"/>
        <v>2.1674225552828215E-3</v>
      </c>
      <c r="D78" s="2592">
        <v>4</v>
      </c>
      <c r="E78" s="2593">
        <f t="shared" si="15"/>
        <v>3.8180690115973844E-3</v>
      </c>
      <c r="F78" s="2596" t="s">
        <v>3242</v>
      </c>
      <c r="G78" s="2595" t="s">
        <v>1</v>
      </c>
      <c r="H78" s="2596" t="s">
        <v>1</v>
      </c>
      <c r="I78" s="2597" t="s">
        <v>3242</v>
      </c>
      <c r="J78" s="2596" t="s">
        <v>1</v>
      </c>
      <c r="K78" s="2597" t="s">
        <v>3242</v>
      </c>
      <c r="L78" s="2596" t="s">
        <v>1</v>
      </c>
      <c r="M78" s="2597" t="s">
        <v>3242</v>
      </c>
      <c r="N78" s="2596" t="s">
        <v>1</v>
      </c>
      <c r="O78" s="2597" t="s">
        <v>3242</v>
      </c>
      <c r="P78" s="2592" t="s">
        <v>1</v>
      </c>
      <c r="Q78" s="2597" t="s">
        <v>3242</v>
      </c>
      <c r="R78" s="2592" t="s">
        <v>1</v>
      </c>
      <c r="S78" s="2597" t="s">
        <v>3242</v>
      </c>
      <c r="T78" s="2592" t="s">
        <v>1</v>
      </c>
      <c r="U78" s="2597" t="s">
        <v>3242</v>
      </c>
      <c r="V78" s="2592" t="s">
        <v>1</v>
      </c>
      <c r="W78" s="2597" t="s">
        <v>3242</v>
      </c>
      <c r="X78" s="2592" t="s">
        <v>1</v>
      </c>
      <c r="Y78" s="2591" t="s">
        <v>3242</v>
      </c>
    </row>
    <row r="79" spans="1:25" ht="16.5">
      <c r="A79" s="2589" t="s">
        <v>3862</v>
      </c>
      <c r="B79" s="2590">
        <v>4</v>
      </c>
      <c r="C79" s="2591">
        <f t="shared" si="14"/>
        <v>2.1674225552828215E-3</v>
      </c>
      <c r="D79" s="2592">
        <v>4</v>
      </c>
      <c r="E79" s="2593">
        <f t="shared" si="15"/>
        <v>3.8180690115973844E-3</v>
      </c>
      <c r="F79" s="2596" t="s">
        <v>3242</v>
      </c>
      <c r="G79" s="2595" t="s">
        <v>1</v>
      </c>
      <c r="H79" s="2596" t="s">
        <v>1</v>
      </c>
      <c r="I79" s="2597" t="s">
        <v>3242</v>
      </c>
      <c r="J79" s="2596" t="s">
        <v>1</v>
      </c>
      <c r="K79" s="2597" t="s">
        <v>3242</v>
      </c>
      <c r="L79" s="2596" t="s">
        <v>1</v>
      </c>
      <c r="M79" s="2597" t="s">
        <v>3242</v>
      </c>
      <c r="N79" s="2596" t="s">
        <v>1</v>
      </c>
      <c r="O79" s="2597" t="s">
        <v>3242</v>
      </c>
      <c r="P79" s="2592" t="s">
        <v>1</v>
      </c>
      <c r="Q79" s="2597" t="s">
        <v>3242</v>
      </c>
      <c r="R79" s="2592" t="s">
        <v>1</v>
      </c>
      <c r="S79" s="2597" t="s">
        <v>3242</v>
      </c>
      <c r="T79" s="2592" t="s">
        <v>1</v>
      </c>
      <c r="U79" s="2597" t="s">
        <v>3242</v>
      </c>
      <c r="V79" s="2592" t="s">
        <v>1</v>
      </c>
      <c r="W79" s="2597" t="s">
        <v>3242</v>
      </c>
      <c r="X79" s="2592" t="s">
        <v>1</v>
      </c>
      <c r="Y79" s="2591" t="s">
        <v>3242</v>
      </c>
    </row>
    <row r="80" spans="1:25" ht="16.5">
      <c r="A80" s="2589" t="s">
        <v>3863</v>
      </c>
      <c r="B80" s="2590">
        <v>4</v>
      </c>
      <c r="C80" s="2591">
        <f t="shared" si="14"/>
        <v>2.1674225552828215E-3</v>
      </c>
      <c r="D80" s="2592">
        <v>2</v>
      </c>
      <c r="E80" s="2593">
        <f t="shared" si="15"/>
        <v>1.9090345057986922E-3</v>
      </c>
      <c r="F80" s="2596">
        <v>1</v>
      </c>
      <c r="G80" s="2595">
        <f>F80/F$5*100</f>
        <v>1.2533527185220464E-3</v>
      </c>
      <c r="H80" s="2596" t="s">
        <v>1</v>
      </c>
      <c r="I80" s="2597" t="s">
        <v>3242</v>
      </c>
      <c r="J80" s="2596" t="s">
        <v>1</v>
      </c>
      <c r="K80" s="2597" t="s">
        <v>3242</v>
      </c>
      <c r="L80" s="2596" t="s">
        <v>1</v>
      </c>
      <c r="M80" s="2597" t="s">
        <v>3242</v>
      </c>
      <c r="N80" s="2596" t="s">
        <v>1</v>
      </c>
      <c r="O80" s="2597" t="s">
        <v>3242</v>
      </c>
      <c r="P80" s="2592" t="s">
        <v>1</v>
      </c>
      <c r="Q80" s="2597" t="s">
        <v>3242</v>
      </c>
      <c r="R80" s="2592" t="s">
        <v>1</v>
      </c>
      <c r="S80" s="2597" t="s">
        <v>3242</v>
      </c>
      <c r="T80" s="2592" t="s">
        <v>1</v>
      </c>
      <c r="U80" s="2597" t="s">
        <v>3242</v>
      </c>
      <c r="V80" s="2592" t="s">
        <v>1</v>
      </c>
      <c r="W80" s="2597" t="s">
        <v>3242</v>
      </c>
      <c r="X80" s="2592" t="s">
        <v>1</v>
      </c>
      <c r="Y80" s="2591" t="s">
        <v>3242</v>
      </c>
    </row>
    <row r="81" spans="1:25" ht="16.5">
      <c r="A81" s="2589" t="s">
        <v>3864</v>
      </c>
      <c r="B81" s="2590">
        <v>3</v>
      </c>
      <c r="C81" s="2591">
        <f t="shared" si="14"/>
        <v>1.625566916462116E-3</v>
      </c>
      <c r="D81" s="2592">
        <v>1</v>
      </c>
      <c r="E81" s="2593">
        <f t="shared" si="15"/>
        <v>9.545172528993461E-4</v>
      </c>
      <c r="F81" s="2596">
        <v>2</v>
      </c>
      <c r="G81" s="2595">
        <f>F81/F$5*100</f>
        <v>2.5067054370440929E-3</v>
      </c>
      <c r="H81" s="2596" t="s">
        <v>1</v>
      </c>
      <c r="I81" s="2597" t="s">
        <v>3242</v>
      </c>
      <c r="J81" s="2596" t="s">
        <v>1</v>
      </c>
      <c r="K81" s="2597" t="s">
        <v>3242</v>
      </c>
      <c r="L81" s="2596" t="s">
        <v>1</v>
      </c>
      <c r="M81" s="2597" t="s">
        <v>3242</v>
      </c>
      <c r="N81" s="2596" t="s">
        <v>1</v>
      </c>
      <c r="O81" s="2597" t="s">
        <v>3242</v>
      </c>
      <c r="P81" s="2592" t="s">
        <v>1</v>
      </c>
      <c r="Q81" s="2597" t="s">
        <v>3242</v>
      </c>
      <c r="R81" s="2592" t="s">
        <v>1</v>
      </c>
      <c r="S81" s="2597" t="s">
        <v>3242</v>
      </c>
      <c r="T81" s="2592" t="s">
        <v>1</v>
      </c>
      <c r="U81" s="2597" t="s">
        <v>3242</v>
      </c>
      <c r="V81" s="2592" t="s">
        <v>1</v>
      </c>
      <c r="W81" s="2597" t="s">
        <v>3242</v>
      </c>
      <c r="X81" s="2592" t="s">
        <v>1</v>
      </c>
      <c r="Y81" s="2591" t="s">
        <v>3242</v>
      </c>
    </row>
    <row r="82" spans="1:25" ht="16.5">
      <c r="A82" s="2589" t="s">
        <v>3865</v>
      </c>
      <c r="B82" s="2590">
        <v>3</v>
      </c>
      <c r="C82" s="2591">
        <f t="shared" si="14"/>
        <v>1.625566916462116E-3</v>
      </c>
      <c r="D82" s="2592">
        <v>2</v>
      </c>
      <c r="E82" s="2593">
        <f t="shared" si="15"/>
        <v>1.9090345057986922E-3</v>
      </c>
      <c r="F82" s="2596">
        <v>1</v>
      </c>
      <c r="G82" s="2595">
        <f>F82/F$5*100</f>
        <v>1.2533527185220464E-3</v>
      </c>
      <c r="H82" s="2596" t="s">
        <v>1</v>
      </c>
      <c r="I82" s="2597" t="s">
        <v>3955</v>
      </c>
      <c r="J82" s="2596" t="s">
        <v>1</v>
      </c>
      <c r="K82" s="2597" t="s">
        <v>3955</v>
      </c>
      <c r="L82" s="2596" t="s">
        <v>1</v>
      </c>
      <c r="M82" s="2597" t="s">
        <v>3877</v>
      </c>
      <c r="N82" s="2596" t="s">
        <v>1</v>
      </c>
      <c r="O82" s="2597" t="s">
        <v>3955</v>
      </c>
      <c r="P82" s="2592" t="s">
        <v>1</v>
      </c>
      <c r="Q82" s="2597" t="s">
        <v>3877</v>
      </c>
      <c r="R82" s="2592" t="s">
        <v>1</v>
      </c>
      <c r="S82" s="2597" t="s">
        <v>3955</v>
      </c>
      <c r="T82" s="2592" t="s">
        <v>1</v>
      </c>
      <c r="U82" s="2597" t="s">
        <v>3955</v>
      </c>
      <c r="V82" s="2592" t="s">
        <v>1</v>
      </c>
      <c r="W82" s="2597" t="s">
        <v>3877</v>
      </c>
      <c r="X82" s="2592" t="s">
        <v>1</v>
      </c>
      <c r="Y82" s="2591" t="s">
        <v>3877</v>
      </c>
    </row>
    <row r="83" spans="1:25" ht="16.5">
      <c r="A83" s="2589" t="s">
        <v>3866</v>
      </c>
      <c r="B83" s="2590">
        <v>3</v>
      </c>
      <c r="C83" s="2591">
        <f t="shared" si="14"/>
        <v>1.625566916462116E-3</v>
      </c>
      <c r="D83" s="2592" t="s">
        <v>3877</v>
      </c>
      <c r="E83" s="2593" t="s">
        <v>3877</v>
      </c>
      <c r="F83" s="2596">
        <v>3</v>
      </c>
      <c r="G83" s="2595">
        <f>F83/F$5*100</f>
        <v>3.7600581555661395E-3</v>
      </c>
      <c r="H83" s="2596" t="s">
        <v>1</v>
      </c>
      <c r="I83" s="2597" t="s">
        <v>3955</v>
      </c>
      <c r="J83" s="2596" t="s">
        <v>1</v>
      </c>
      <c r="K83" s="2597" t="s">
        <v>3242</v>
      </c>
      <c r="L83" s="2596" t="s">
        <v>1</v>
      </c>
      <c r="M83" s="2597" t="s">
        <v>3955</v>
      </c>
      <c r="N83" s="2596" t="s">
        <v>1</v>
      </c>
      <c r="O83" s="2597" t="s">
        <v>3955</v>
      </c>
      <c r="P83" s="2592" t="s">
        <v>1</v>
      </c>
      <c r="Q83" s="2597" t="s">
        <v>3242</v>
      </c>
      <c r="R83" s="2592" t="s">
        <v>1</v>
      </c>
      <c r="S83" s="2597" t="s">
        <v>3955</v>
      </c>
      <c r="T83" s="2592" t="s">
        <v>1</v>
      </c>
      <c r="U83" s="2597" t="s">
        <v>3877</v>
      </c>
      <c r="V83" s="2592" t="s">
        <v>1</v>
      </c>
      <c r="W83" s="2597" t="s">
        <v>3955</v>
      </c>
      <c r="X83" s="2592" t="s">
        <v>1</v>
      </c>
      <c r="Y83" s="2591" t="s">
        <v>3955</v>
      </c>
    </row>
    <row r="84" spans="1:25" ht="16.5">
      <c r="A84" s="2589" t="s">
        <v>3867</v>
      </c>
      <c r="B84" s="2590">
        <v>3</v>
      </c>
      <c r="C84" s="2591">
        <f t="shared" si="14"/>
        <v>1.625566916462116E-3</v>
      </c>
      <c r="D84" s="2592">
        <v>2</v>
      </c>
      <c r="E84" s="2593">
        <f t="shared" ref="E84:E90" si="20">D84/D$5*100</f>
        <v>1.9090345057986922E-3</v>
      </c>
      <c r="F84" s="2596" t="s">
        <v>3877</v>
      </c>
      <c r="G84" s="2595" t="s">
        <v>1</v>
      </c>
      <c r="H84" s="2596" t="s">
        <v>1</v>
      </c>
      <c r="I84" s="2597" t="s">
        <v>3242</v>
      </c>
      <c r="J84" s="2596" t="s">
        <v>1</v>
      </c>
      <c r="K84" s="2597" t="s">
        <v>3242</v>
      </c>
      <c r="L84" s="2596" t="s">
        <v>1</v>
      </c>
      <c r="M84" s="2597" t="s">
        <v>3955</v>
      </c>
      <c r="N84" s="2596" t="s">
        <v>1</v>
      </c>
      <c r="O84" s="2597" t="s">
        <v>3955</v>
      </c>
      <c r="P84" s="2592" t="s">
        <v>1</v>
      </c>
      <c r="Q84" s="2597" t="s">
        <v>3242</v>
      </c>
      <c r="R84" s="2592" t="s">
        <v>1</v>
      </c>
      <c r="S84" s="2597" t="s">
        <v>3242</v>
      </c>
      <c r="T84" s="2592" t="s">
        <v>1</v>
      </c>
      <c r="U84" s="2597" t="s">
        <v>3242</v>
      </c>
      <c r="V84" s="2592" t="s">
        <v>1</v>
      </c>
      <c r="W84" s="2597" t="s">
        <v>3955</v>
      </c>
      <c r="X84" s="2592" t="s">
        <v>1</v>
      </c>
      <c r="Y84" s="2591" t="s">
        <v>3242</v>
      </c>
    </row>
    <row r="85" spans="1:25" ht="16.5">
      <c r="A85" s="2589" t="s">
        <v>3868</v>
      </c>
      <c r="B85" s="2590">
        <v>3</v>
      </c>
      <c r="C85" s="2591">
        <f t="shared" si="14"/>
        <v>1.625566916462116E-3</v>
      </c>
      <c r="D85" s="2592">
        <v>2</v>
      </c>
      <c r="E85" s="2593">
        <f t="shared" si="20"/>
        <v>1.9090345057986922E-3</v>
      </c>
      <c r="F85" s="2596">
        <v>1</v>
      </c>
      <c r="G85" s="2595">
        <f>F85/F$5*100</f>
        <v>1.2533527185220464E-3</v>
      </c>
      <c r="H85" s="2596" t="s">
        <v>1</v>
      </c>
      <c r="I85" s="2597" t="s">
        <v>3242</v>
      </c>
      <c r="J85" s="2596" t="s">
        <v>1</v>
      </c>
      <c r="K85" s="2597" t="s">
        <v>3955</v>
      </c>
      <c r="L85" s="2596" t="s">
        <v>1</v>
      </c>
      <c r="M85" s="2597" t="s">
        <v>3242</v>
      </c>
      <c r="N85" s="2596" t="s">
        <v>1</v>
      </c>
      <c r="O85" s="2597" t="s">
        <v>3242</v>
      </c>
      <c r="P85" s="2592" t="s">
        <v>1</v>
      </c>
      <c r="Q85" s="2597" t="s">
        <v>3242</v>
      </c>
      <c r="R85" s="2592" t="s">
        <v>1</v>
      </c>
      <c r="S85" s="2597" t="s">
        <v>3242</v>
      </c>
      <c r="T85" s="2592" t="s">
        <v>1</v>
      </c>
      <c r="U85" s="2597" t="s">
        <v>3242</v>
      </c>
      <c r="V85" s="2592" t="s">
        <v>1</v>
      </c>
      <c r="W85" s="2597" t="s">
        <v>3242</v>
      </c>
      <c r="X85" s="2592" t="s">
        <v>1</v>
      </c>
      <c r="Y85" s="2591" t="s">
        <v>3242</v>
      </c>
    </row>
    <row r="86" spans="1:25" ht="16.5">
      <c r="A86" s="2589" t="s">
        <v>3869</v>
      </c>
      <c r="B86" s="2590">
        <v>2</v>
      </c>
      <c r="C86" s="2591">
        <f t="shared" si="14"/>
        <v>1.0837112776414107E-3</v>
      </c>
      <c r="D86" s="2592">
        <v>1</v>
      </c>
      <c r="E86" s="2593">
        <f t="shared" si="20"/>
        <v>9.545172528993461E-4</v>
      </c>
      <c r="F86" s="2596" t="s">
        <v>3242</v>
      </c>
      <c r="G86" s="2595" t="s">
        <v>1</v>
      </c>
      <c r="H86" s="2596" t="s">
        <v>1</v>
      </c>
      <c r="I86" s="2597" t="s">
        <v>3242</v>
      </c>
      <c r="J86" s="2596" t="s">
        <v>1</v>
      </c>
      <c r="K86" s="2597" t="s">
        <v>3242</v>
      </c>
      <c r="L86" s="2596" t="s">
        <v>1</v>
      </c>
      <c r="M86" s="2597" t="s">
        <v>3242</v>
      </c>
      <c r="N86" s="2596" t="s">
        <v>1</v>
      </c>
      <c r="O86" s="2597" t="s">
        <v>3242</v>
      </c>
      <c r="P86" s="2592" t="s">
        <v>1</v>
      </c>
      <c r="Q86" s="2597" t="s">
        <v>3242</v>
      </c>
      <c r="R86" s="2592" t="s">
        <v>1</v>
      </c>
      <c r="S86" s="2597" t="s">
        <v>3242</v>
      </c>
      <c r="T86" s="2592" t="s">
        <v>1</v>
      </c>
      <c r="U86" s="2597" t="s">
        <v>3242</v>
      </c>
      <c r="V86" s="2592" t="s">
        <v>1</v>
      </c>
      <c r="W86" s="2597" t="s">
        <v>3242</v>
      </c>
      <c r="X86" s="2592" t="s">
        <v>1</v>
      </c>
      <c r="Y86" s="2591" t="s">
        <v>3242</v>
      </c>
    </row>
    <row r="87" spans="1:25" ht="16.5">
      <c r="A87" s="2589" t="s">
        <v>3870</v>
      </c>
      <c r="B87" s="2590">
        <v>2</v>
      </c>
      <c r="C87" s="2591">
        <f t="shared" si="14"/>
        <v>1.0837112776414107E-3</v>
      </c>
      <c r="D87" s="2592">
        <v>2</v>
      </c>
      <c r="E87" s="2593">
        <f t="shared" si="20"/>
        <v>1.9090345057986922E-3</v>
      </c>
      <c r="F87" s="2596" t="s">
        <v>3242</v>
      </c>
      <c r="G87" s="2595" t="s">
        <v>1</v>
      </c>
      <c r="H87" s="2596" t="s">
        <v>1</v>
      </c>
      <c r="I87" s="2597" t="s">
        <v>3242</v>
      </c>
      <c r="J87" s="2596" t="s">
        <v>1</v>
      </c>
      <c r="K87" s="2597" t="s">
        <v>3242</v>
      </c>
      <c r="L87" s="2596" t="s">
        <v>1</v>
      </c>
      <c r="M87" s="2597" t="s">
        <v>3242</v>
      </c>
      <c r="N87" s="2596" t="s">
        <v>1</v>
      </c>
      <c r="O87" s="2597" t="s">
        <v>3242</v>
      </c>
      <c r="P87" s="2592" t="s">
        <v>1</v>
      </c>
      <c r="Q87" s="2597" t="s">
        <v>3242</v>
      </c>
      <c r="R87" s="2592" t="s">
        <v>1</v>
      </c>
      <c r="S87" s="2597" t="s">
        <v>3242</v>
      </c>
      <c r="T87" s="2592" t="s">
        <v>1</v>
      </c>
      <c r="U87" s="2597" t="s">
        <v>3242</v>
      </c>
      <c r="V87" s="2592" t="s">
        <v>1</v>
      </c>
      <c r="W87" s="2597" t="s">
        <v>3242</v>
      </c>
      <c r="X87" s="2592" t="s">
        <v>1</v>
      </c>
      <c r="Y87" s="2591" t="s">
        <v>3242</v>
      </c>
    </row>
    <row r="88" spans="1:25" ht="16.5">
      <c r="A88" s="2589" t="s">
        <v>3871</v>
      </c>
      <c r="B88" s="2590">
        <v>2</v>
      </c>
      <c r="C88" s="2591">
        <f t="shared" si="14"/>
        <v>1.0837112776414107E-3</v>
      </c>
      <c r="D88" s="2592">
        <v>2</v>
      </c>
      <c r="E88" s="2593">
        <f t="shared" si="20"/>
        <v>1.9090345057986922E-3</v>
      </c>
      <c r="F88" s="2596" t="s">
        <v>3242</v>
      </c>
      <c r="G88" s="2595" t="s">
        <v>1</v>
      </c>
      <c r="H88" s="2596" t="s">
        <v>1</v>
      </c>
      <c r="I88" s="2597" t="s">
        <v>3242</v>
      </c>
      <c r="J88" s="2596" t="s">
        <v>1</v>
      </c>
      <c r="K88" s="2597" t="s">
        <v>3242</v>
      </c>
      <c r="L88" s="2596" t="s">
        <v>1</v>
      </c>
      <c r="M88" s="2597" t="s">
        <v>3242</v>
      </c>
      <c r="N88" s="2596" t="s">
        <v>1</v>
      </c>
      <c r="O88" s="2597" t="s">
        <v>3242</v>
      </c>
      <c r="P88" s="2592" t="s">
        <v>1</v>
      </c>
      <c r="Q88" s="2597" t="s">
        <v>3242</v>
      </c>
      <c r="R88" s="2592" t="s">
        <v>1</v>
      </c>
      <c r="S88" s="2597" t="s">
        <v>3242</v>
      </c>
      <c r="T88" s="2592" t="s">
        <v>1</v>
      </c>
      <c r="U88" s="2597" t="s">
        <v>3242</v>
      </c>
      <c r="V88" s="2592" t="s">
        <v>1</v>
      </c>
      <c r="W88" s="2597" t="s">
        <v>3242</v>
      </c>
      <c r="X88" s="2592" t="s">
        <v>1</v>
      </c>
      <c r="Y88" s="2591" t="s">
        <v>3242</v>
      </c>
    </row>
    <row r="89" spans="1:25" ht="16.5">
      <c r="A89" s="2589" t="s">
        <v>3872</v>
      </c>
      <c r="B89" s="2590">
        <v>2</v>
      </c>
      <c r="C89" s="2591">
        <f t="shared" si="14"/>
        <v>1.0837112776414107E-3</v>
      </c>
      <c r="D89" s="2592">
        <v>2</v>
      </c>
      <c r="E89" s="2593">
        <f t="shared" si="20"/>
        <v>1.9090345057986922E-3</v>
      </c>
      <c r="F89" s="2596" t="s">
        <v>3242</v>
      </c>
      <c r="G89" s="2595" t="s">
        <v>1</v>
      </c>
      <c r="H89" s="2596" t="s">
        <v>1</v>
      </c>
      <c r="I89" s="2597" t="s">
        <v>3242</v>
      </c>
      <c r="J89" s="2596" t="s">
        <v>1</v>
      </c>
      <c r="K89" s="2597" t="s">
        <v>3242</v>
      </c>
      <c r="L89" s="2596" t="s">
        <v>1</v>
      </c>
      <c r="M89" s="2597" t="s">
        <v>3242</v>
      </c>
      <c r="N89" s="2596" t="s">
        <v>1</v>
      </c>
      <c r="O89" s="2597" t="s">
        <v>3242</v>
      </c>
      <c r="P89" s="2592" t="s">
        <v>1</v>
      </c>
      <c r="Q89" s="2597" t="s">
        <v>3242</v>
      </c>
      <c r="R89" s="2592" t="s">
        <v>1</v>
      </c>
      <c r="S89" s="2597" t="s">
        <v>3242</v>
      </c>
      <c r="T89" s="2592" t="s">
        <v>1</v>
      </c>
      <c r="U89" s="2597" t="s">
        <v>3242</v>
      </c>
      <c r="V89" s="2592" t="s">
        <v>1</v>
      </c>
      <c r="W89" s="2597" t="s">
        <v>3242</v>
      </c>
      <c r="X89" s="2592" t="s">
        <v>1</v>
      </c>
      <c r="Y89" s="2591" t="s">
        <v>3242</v>
      </c>
    </row>
    <row r="90" spans="1:25" ht="16.5">
      <c r="A90" s="2589" t="s">
        <v>3873</v>
      </c>
      <c r="B90" s="2590">
        <v>2</v>
      </c>
      <c r="C90" s="2591">
        <f t="shared" si="14"/>
        <v>1.0837112776414107E-3</v>
      </c>
      <c r="D90" s="2592">
        <v>2</v>
      </c>
      <c r="E90" s="2593">
        <f t="shared" si="20"/>
        <v>1.9090345057986922E-3</v>
      </c>
      <c r="F90" s="2596" t="s">
        <v>3242</v>
      </c>
      <c r="G90" s="2595" t="s">
        <v>1</v>
      </c>
      <c r="H90" s="2596" t="s">
        <v>1</v>
      </c>
      <c r="I90" s="2597" t="s">
        <v>3242</v>
      </c>
      <c r="J90" s="2596" t="s">
        <v>1</v>
      </c>
      <c r="K90" s="2597" t="s">
        <v>3242</v>
      </c>
      <c r="L90" s="2596" t="s">
        <v>1</v>
      </c>
      <c r="M90" s="2597" t="s">
        <v>3242</v>
      </c>
      <c r="N90" s="2596" t="s">
        <v>1</v>
      </c>
      <c r="O90" s="2597" t="s">
        <v>3242</v>
      </c>
      <c r="P90" s="2592" t="s">
        <v>1</v>
      </c>
      <c r="Q90" s="2597" t="s">
        <v>3242</v>
      </c>
      <c r="R90" s="2592" t="s">
        <v>1</v>
      </c>
      <c r="S90" s="2597" t="s">
        <v>3242</v>
      </c>
      <c r="T90" s="2592" t="s">
        <v>1</v>
      </c>
      <c r="U90" s="2597" t="s">
        <v>3242</v>
      </c>
      <c r="V90" s="2592" t="s">
        <v>1</v>
      </c>
      <c r="W90" s="2597" t="s">
        <v>3242</v>
      </c>
      <c r="X90" s="2592" t="s">
        <v>1</v>
      </c>
      <c r="Y90" s="2591" t="s">
        <v>3242</v>
      </c>
    </row>
    <row r="91" spans="1:25" ht="16.5">
      <c r="A91" s="2589" t="s">
        <v>3874</v>
      </c>
      <c r="B91" s="2590">
        <v>1</v>
      </c>
      <c r="C91" s="2591">
        <f t="shared" si="14"/>
        <v>5.4185563882070537E-4</v>
      </c>
      <c r="D91" s="2592" t="s">
        <v>3242</v>
      </c>
      <c r="E91" s="2593" t="s">
        <v>3242</v>
      </c>
      <c r="F91" s="2596">
        <v>1</v>
      </c>
      <c r="G91" s="2595">
        <f>F91/F$5*100</f>
        <v>1.2533527185220464E-3</v>
      </c>
      <c r="H91" s="2596" t="s">
        <v>1</v>
      </c>
      <c r="I91" s="2597" t="s">
        <v>3242</v>
      </c>
      <c r="J91" s="2596" t="s">
        <v>1</v>
      </c>
      <c r="K91" s="2597" t="s">
        <v>3242</v>
      </c>
      <c r="L91" s="2596" t="s">
        <v>1</v>
      </c>
      <c r="M91" s="2597" t="s">
        <v>3242</v>
      </c>
      <c r="N91" s="2596" t="s">
        <v>1</v>
      </c>
      <c r="O91" s="2597" t="s">
        <v>3242</v>
      </c>
      <c r="P91" s="2592" t="s">
        <v>1</v>
      </c>
      <c r="Q91" s="2597" t="s">
        <v>3242</v>
      </c>
      <c r="R91" s="2592" t="s">
        <v>1</v>
      </c>
      <c r="S91" s="2597" t="s">
        <v>3242</v>
      </c>
      <c r="T91" s="2592" t="s">
        <v>1</v>
      </c>
      <c r="U91" s="2597" t="s">
        <v>3242</v>
      </c>
      <c r="V91" s="2592" t="s">
        <v>1</v>
      </c>
      <c r="W91" s="2597" t="s">
        <v>3242</v>
      </c>
      <c r="X91" s="2592" t="s">
        <v>1</v>
      </c>
      <c r="Y91" s="2591" t="s">
        <v>3242</v>
      </c>
    </row>
    <row r="92" spans="1:25" ht="16.5">
      <c r="A92" s="2589" t="s">
        <v>3875</v>
      </c>
      <c r="B92" s="2590">
        <v>1</v>
      </c>
      <c r="C92" s="2591">
        <f t="shared" si="14"/>
        <v>5.4185563882070537E-4</v>
      </c>
      <c r="D92" s="2592" t="s">
        <v>3242</v>
      </c>
      <c r="E92" s="2593" t="s">
        <v>3242</v>
      </c>
      <c r="F92" s="2596">
        <v>1</v>
      </c>
      <c r="G92" s="2595">
        <f>F92/F$5*100</f>
        <v>1.2533527185220464E-3</v>
      </c>
      <c r="H92" s="2596" t="s">
        <v>1</v>
      </c>
      <c r="I92" s="2597" t="s">
        <v>3955</v>
      </c>
      <c r="J92" s="2596" t="s">
        <v>1</v>
      </c>
      <c r="K92" s="2597" t="s">
        <v>3955</v>
      </c>
      <c r="L92" s="2596" t="s">
        <v>1</v>
      </c>
      <c r="M92" s="2597" t="s">
        <v>3877</v>
      </c>
      <c r="N92" s="2596" t="s">
        <v>1</v>
      </c>
      <c r="O92" s="2597" t="s">
        <v>3955</v>
      </c>
      <c r="P92" s="2592" t="s">
        <v>1</v>
      </c>
      <c r="Q92" s="2597" t="s">
        <v>3955</v>
      </c>
      <c r="R92" s="2592" t="s">
        <v>1</v>
      </c>
      <c r="S92" s="2597" t="s">
        <v>3955</v>
      </c>
      <c r="T92" s="2592" t="s">
        <v>1</v>
      </c>
      <c r="U92" s="2597" t="s">
        <v>3955</v>
      </c>
      <c r="V92" s="2592" t="s">
        <v>1</v>
      </c>
      <c r="W92" s="2597" t="s">
        <v>3955</v>
      </c>
      <c r="X92" s="2592" t="s">
        <v>1</v>
      </c>
      <c r="Y92" s="2591" t="s">
        <v>3955</v>
      </c>
    </row>
    <row r="93" spans="1:25" ht="16.5">
      <c r="A93" s="2589" t="s">
        <v>3876</v>
      </c>
      <c r="B93" s="2590">
        <v>1</v>
      </c>
      <c r="C93" s="2591">
        <f t="shared" si="14"/>
        <v>5.4185563882070537E-4</v>
      </c>
      <c r="D93" s="2592">
        <v>1</v>
      </c>
      <c r="E93" s="2593">
        <f>D93/D$5*100</f>
        <v>9.545172528993461E-4</v>
      </c>
      <c r="F93" s="2596" t="s">
        <v>3955</v>
      </c>
      <c r="G93" s="2595" t="s">
        <v>1</v>
      </c>
      <c r="H93" s="2596" t="s">
        <v>1</v>
      </c>
      <c r="I93" s="2597" t="s">
        <v>3955</v>
      </c>
      <c r="J93" s="2596" t="s">
        <v>1</v>
      </c>
      <c r="K93" s="2597" t="s">
        <v>3877</v>
      </c>
      <c r="L93" s="2596" t="s">
        <v>1</v>
      </c>
      <c r="M93" s="2597" t="s">
        <v>3242</v>
      </c>
      <c r="N93" s="2596" t="s">
        <v>1</v>
      </c>
      <c r="O93" s="2597" t="s">
        <v>3955</v>
      </c>
      <c r="P93" s="2592" t="s">
        <v>1</v>
      </c>
      <c r="Q93" s="2597" t="s">
        <v>3955</v>
      </c>
      <c r="R93" s="2592" t="s">
        <v>1</v>
      </c>
      <c r="S93" s="2597" t="s">
        <v>3955</v>
      </c>
      <c r="T93" s="2592" t="s">
        <v>1</v>
      </c>
      <c r="U93" s="2597" t="s">
        <v>3242</v>
      </c>
      <c r="V93" s="2592" t="s">
        <v>1</v>
      </c>
      <c r="W93" s="2597" t="s">
        <v>3955</v>
      </c>
      <c r="X93" s="2592" t="s">
        <v>1</v>
      </c>
      <c r="Y93" s="2591" t="s">
        <v>3242</v>
      </c>
    </row>
    <row r="94" spans="1:25" ht="16.5">
      <c r="A94" s="2589" t="s">
        <v>3878</v>
      </c>
      <c r="B94" s="2590">
        <v>1</v>
      </c>
      <c r="C94" s="2591">
        <f t="shared" si="14"/>
        <v>5.4185563882070537E-4</v>
      </c>
      <c r="D94" s="2592">
        <v>1</v>
      </c>
      <c r="E94" s="2593">
        <f>D94/D$5*100</f>
        <v>9.545172528993461E-4</v>
      </c>
      <c r="F94" s="2596" t="s">
        <v>3877</v>
      </c>
      <c r="G94" s="2595" t="s">
        <v>1</v>
      </c>
      <c r="H94" s="2596" t="s">
        <v>1</v>
      </c>
      <c r="I94" s="2597" t="s">
        <v>3877</v>
      </c>
      <c r="J94" s="2596" t="s">
        <v>1</v>
      </c>
      <c r="K94" s="2597" t="s">
        <v>3877</v>
      </c>
      <c r="L94" s="2596" t="s">
        <v>1</v>
      </c>
      <c r="M94" s="2597" t="s">
        <v>3877</v>
      </c>
      <c r="N94" s="2596" t="s">
        <v>1</v>
      </c>
      <c r="O94" s="2597" t="s">
        <v>3877</v>
      </c>
      <c r="P94" s="2592" t="s">
        <v>1</v>
      </c>
      <c r="Q94" s="2597" t="s">
        <v>3877</v>
      </c>
      <c r="R94" s="2592" t="s">
        <v>1</v>
      </c>
      <c r="S94" s="2597" t="s">
        <v>3877</v>
      </c>
      <c r="T94" s="2592" t="s">
        <v>1</v>
      </c>
      <c r="U94" s="2597" t="s">
        <v>3877</v>
      </c>
      <c r="V94" s="2592" t="s">
        <v>1</v>
      </c>
      <c r="W94" s="2597" t="s">
        <v>3877</v>
      </c>
      <c r="X94" s="2592" t="s">
        <v>1</v>
      </c>
      <c r="Y94" s="2591" t="s">
        <v>3877</v>
      </c>
    </row>
    <row r="95" spans="1:25" ht="16.5">
      <c r="A95" s="2589" t="s">
        <v>3879</v>
      </c>
      <c r="B95" s="2590">
        <v>1</v>
      </c>
      <c r="C95" s="2591">
        <f t="shared" si="14"/>
        <v>5.4185563882070537E-4</v>
      </c>
      <c r="D95" s="2592">
        <v>1</v>
      </c>
      <c r="E95" s="2593">
        <f>D95/D$5*100</f>
        <v>9.545172528993461E-4</v>
      </c>
      <c r="F95" s="2596" t="s">
        <v>3877</v>
      </c>
      <c r="G95" s="2595" t="s">
        <v>1</v>
      </c>
      <c r="H95" s="2596" t="s">
        <v>1</v>
      </c>
      <c r="I95" s="2597" t="s">
        <v>3242</v>
      </c>
      <c r="J95" s="2596" t="s">
        <v>1</v>
      </c>
      <c r="K95" s="2597" t="s">
        <v>3877</v>
      </c>
      <c r="L95" s="2596" t="s">
        <v>1</v>
      </c>
      <c r="M95" s="2597" t="s">
        <v>3242</v>
      </c>
      <c r="N95" s="2596" t="s">
        <v>1</v>
      </c>
      <c r="O95" s="2597" t="s">
        <v>3877</v>
      </c>
      <c r="P95" s="2592" t="s">
        <v>1</v>
      </c>
      <c r="Q95" s="2597" t="s">
        <v>3877</v>
      </c>
      <c r="R95" s="2592" t="s">
        <v>1</v>
      </c>
      <c r="S95" s="2597" t="s">
        <v>3877</v>
      </c>
      <c r="T95" s="2592" t="s">
        <v>1</v>
      </c>
      <c r="U95" s="2597" t="s">
        <v>3242</v>
      </c>
      <c r="V95" s="2592" t="s">
        <v>1</v>
      </c>
      <c r="W95" s="2597" t="s">
        <v>3242</v>
      </c>
      <c r="X95" s="2592" t="s">
        <v>1</v>
      </c>
      <c r="Y95" s="2591" t="s">
        <v>3242</v>
      </c>
    </row>
    <row r="96" spans="1:25" ht="16.5">
      <c r="A96" s="2589" t="s">
        <v>3880</v>
      </c>
      <c r="B96" s="2590">
        <v>1</v>
      </c>
      <c r="C96" s="2591">
        <f t="shared" si="14"/>
        <v>5.4185563882070537E-4</v>
      </c>
      <c r="D96" s="2592" t="s">
        <v>3242</v>
      </c>
      <c r="E96" s="2593" t="s">
        <v>3242</v>
      </c>
      <c r="F96" s="2596">
        <v>1</v>
      </c>
      <c r="G96" s="2595">
        <f>F96/F$5*100</f>
        <v>1.2533527185220464E-3</v>
      </c>
      <c r="H96" s="2596" t="s">
        <v>1</v>
      </c>
      <c r="I96" s="2597" t="s">
        <v>3955</v>
      </c>
      <c r="J96" s="2596" t="s">
        <v>1</v>
      </c>
      <c r="K96" s="2597" t="s">
        <v>3955</v>
      </c>
      <c r="L96" s="2596" t="s">
        <v>1</v>
      </c>
      <c r="M96" s="2597" t="s">
        <v>3955</v>
      </c>
      <c r="N96" s="2596" t="s">
        <v>1</v>
      </c>
      <c r="O96" s="2597" t="s">
        <v>3955</v>
      </c>
      <c r="P96" s="2592" t="s">
        <v>1</v>
      </c>
      <c r="Q96" s="2597" t="s">
        <v>3877</v>
      </c>
      <c r="R96" s="2592" t="s">
        <v>1</v>
      </c>
      <c r="S96" s="2597" t="s">
        <v>3877</v>
      </c>
      <c r="T96" s="2592" t="s">
        <v>1</v>
      </c>
      <c r="U96" s="2597" t="s">
        <v>3877</v>
      </c>
      <c r="V96" s="2592" t="s">
        <v>1</v>
      </c>
      <c r="W96" s="2597" t="s">
        <v>3877</v>
      </c>
      <c r="X96" s="2592" t="s">
        <v>1</v>
      </c>
      <c r="Y96" s="2591" t="s">
        <v>3955</v>
      </c>
    </row>
    <row r="97" spans="1:25" ht="16.5">
      <c r="A97" s="2589" t="s">
        <v>3881</v>
      </c>
      <c r="B97" s="2590">
        <v>1</v>
      </c>
      <c r="C97" s="2591">
        <f t="shared" si="14"/>
        <v>5.4185563882070537E-4</v>
      </c>
      <c r="D97" s="2592">
        <v>1</v>
      </c>
      <c r="E97" s="2593">
        <f>D97/D$5*100</f>
        <v>9.545172528993461E-4</v>
      </c>
      <c r="F97" s="2596" t="s">
        <v>3877</v>
      </c>
      <c r="G97" s="2595" t="s">
        <v>1</v>
      </c>
      <c r="H97" s="2596" t="s">
        <v>1</v>
      </c>
      <c r="I97" s="2597" t="s">
        <v>3877</v>
      </c>
      <c r="J97" s="2596" t="s">
        <v>1</v>
      </c>
      <c r="K97" s="2597" t="s">
        <v>3877</v>
      </c>
      <c r="L97" s="2596" t="s">
        <v>1</v>
      </c>
      <c r="M97" s="2597" t="s">
        <v>3877</v>
      </c>
      <c r="N97" s="2596" t="s">
        <v>1</v>
      </c>
      <c r="O97" s="2597" t="s">
        <v>3877</v>
      </c>
      <c r="P97" s="2592" t="s">
        <v>1</v>
      </c>
      <c r="Q97" s="2597" t="s">
        <v>3877</v>
      </c>
      <c r="R97" s="2592" t="s">
        <v>1</v>
      </c>
      <c r="S97" s="2597" t="s">
        <v>3242</v>
      </c>
      <c r="T97" s="2592" t="s">
        <v>1</v>
      </c>
      <c r="U97" s="2597" t="s">
        <v>3242</v>
      </c>
      <c r="V97" s="2592" t="s">
        <v>1</v>
      </c>
      <c r="W97" s="2597" t="s">
        <v>3242</v>
      </c>
      <c r="X97" s="2592" t="s">
        <v>1</v>
      </c>
      <c r="Y97" s="2591" t="s">
        <v>3877</v>
      </c>
    </row>
    <row r="98" spans="1:25" ht="16.5">
      <c r="A98" s="2589" t="s">
        <v>3882</v>
      </c>
      <c r="B98" s="2590">
        <v>1</v>
      </c>
      <c r="C98" s="2591">
        <f t="shared" si="14"/>
        <v>5.4185563882070537E-4</v>
      </c>
      <c r="D98" s="2592">
        <v>1</v>
      </c>
      <c r="E98" s="2593">
        <f>D98/D$5*100</f>
        <v>9.545172528993461E-4</v>
      </c>
      <c r="F98" s="2596" t="s">
        <v>3877</v>
      </c>
      <c r="G98" s="2595" t="s">
        <v>1</v>
      </c>
      <c r="H98" s="2596" t="s">
        <v>1</v>
      </c>
      <c r="I98" s="2597" t="s">
        <v>3242</v>
      </c>
      <c r="J98" s="2596" t="s">
        <v>1</v>
      </c>
      <c r="K98" s="2597" t="s">
        <v>3242</v>
      </c>
      <c r="L98" s="2596" t="s">
        <v>1</v>
      </c>
      <c r="M98" s="2597" t="s">
        <v>3242</v>
      </c>
      <c r="N98" s="2596" t="s">
        <v>1</v>
      </c>
      <c r="O98" s="2597" t="s">
        <v>3242</v>
      </c>
      <c r="P98" s="2592" t="s">
        <v>1</v>
      </c>
      <c r="Q98" s="2597" t="s">
        <v>3242</v>
      </c>
      <c r="R98" s="2592" t="s">
        <v>1</v>
      </c>
      <c r="S98" s="2597" t="s">
        <v>3242</v>
      </c>
      <c r="T98" s="2592" t="s">
        <v>1</v>
      </c>
      <c r="U98" s="2597" t="s">
        <v>3242</v>
      </c>
      <c r="V98" s="2592" t="s">
        <v>1</v>
      </c>
      <c r="W98" s="2597" t="s">
        <v>3242</v>
      </c>
      <c r="X98" s="2592" t="s">
        <v>1</v>
      </c>
      <c r="Y98" s="2591" t="s">
        <v>3242</v>
      </c>
    </row>
    <row r="99" spans="1:25" ht="16.5">
      <c r="A99" s="2589" t="s">
        <v>3884</v>
      </c>
      <c r="B99" s="2590">
        <v>1</v>
      </c>
      <c r="C99" s="2591">
        <f t="shared" si="14"/>
        <v>5.4185563882070537E-4</v>
      </c>
      <c r="D99" s="2592">
        <v>1</v>
      </c>
      <c r="E99" s="2593">
        <f>D99/D$5*100</f>
        <v>9.545172528993461E-4</v>
      </c>
      <c r="F99" s="2596" t="s">
        <v>3242</v>
      </c>
      <c r="G99" s="2595" t="s">
        <v>1</v>
      </c>
      <c r="H99" s="2596" t="s">
        <v>1</v>
      </c>
      <c r="I99" s="2597" t="s">
        <v>3242</v>
      </c>
      <c r="J99" s="2596" t="s">
        <v>1</v>
      </c>
      <c r="K99" s="2597" t="s">
        <v>3242</v>
      </c>
      <c r="L99" s="2596" t="s">
        <v>1</v>
      </c>
      <c r="M99" s="2597" t="s">
        <v>3242</v>
      </c>
      <c r="N99" s="2596" t="s">
        <v>1</v>
      </c>
      <c r="O99" s="2597" t="s">
        <v>3242</v>
      </c>
      <c r="P99" s="2592" t="s">
        <v>1</v>
      </c>
      <c r="Q99" s="2597" t="s">
        <v>3242</v>
      </c>
      <c r="R99" s="2592" t="s">
        <v>1</v>
      </c>
      <c r="S99" s="2597" t="s">
        <v>3242</v>
      </c>
      <c r="T99" s="2592" t="s">
        <v>1</v>
      </c>
      <c r="U99" s="2597" t="s">
        <v>3242</v>
      </c>
      <c r="V99" s="2592" t="s">
        <v>1</v>
      </c>
      <c r="W99" s="2597" t="s">
        <v>3242</v>
      </c>
      <c r="X99" s="2592" t="s">
        <v>1</v>
      </c>
      <c r="Y99" s="2591" t="s">
        <v>3242</v>
      </c>
    </row>
    <row r="100" spans="1:25" ht="16.5">
      <c r="A100" s="2589" t="s">
        <v>3886</v>
      </c>
      <c r="B100" s="2590">
        <v>1</v>
      </c>
      <c r="C100" s="2591">
        <f t="shared" si="14"/>
        <v>5.4185563882070537E-4</v>
      </c>
      <c r="D100" s="2592">
        <v>1</v>
      </c>
      <c r="E100" s="2593">
        <f>D100/D$5*100</f>
        <v>9.545172528993461E-4</v>
      </c>
      <c r="F100" s="2596" t="s">
        <v>3242</v>
      </c>
      <c r="G100" s="2595" t="s">
        <v>1</v>
      </c>
      <c r="H100" s="2596" t="s">
        <v>1</v>
      </c>
      <c r="I100" s="2597" t="s">
        <v>3242</v>
      </c>
      <c r="J100" s="2596" t="s">
        <v>1</v>
      </c>
      <c r="K100" s="2597" t="s">
        <v>3242</v>
      </c>
      <c r="L100" s="2596" t="s">
        <v>1</v>
      </c>
      <c r="M100" s="2597" t="s">
        <v>3242</v>
      </c>
      <c r="N100" s="2596" t="s">
        <v>1</v>
      </c>
      <c r="O100" s="2597" t="s">
        <v>3242</v>
      </c>
      <c r="P100" s="2592" t="s">
        <v>1</v>
      </c>
      <c r="Q100" s="2597" t="s">
        <v>3242</v>
      </c>
      <c r="R100" s="2592" t="s">
        <v>1</v>
      </c>
      <c r="S100" s="2597" t="s">
        <v>3242</v>
      </c>
      <c r="T100" s="2592" t="s">
        <v>1</v>
      </c>
      <c r="U100" s="2597" t="s">
        <v>3242</v>
      </c>
      <c r="V100" s="2592" t="s">
        <v>1</v>
      </c>
      <c r="W100" s="2597" t="s">
        <v>3242</v>
      </c>
      <c r="X100" s="2592" t="s">
        <v>1</v>
      </c>
      <c r="Y100" s="2591" t="s">
        <v>3242</v>
      </c>
    </row>
    <row r="101" spans="1:25" ht="16.5">
      <c r="A101" s="2589" t="s">
        <v>3887</v>
      </c>
      <c r="B101" s="2590">
        <v>1</v>
      </c>
      <c r="C101" s="2591">
        <f t="shared" si="14"/>
        <v>5.4185563882070537E-4</v>
      </c>
      <c r="D101" s="2592" t="s">
        <v>3242</v>
      </c>
      <c r="E101" s="2593" t="s">
        <v>3242</v>
      </c>
      <c r="F101" s="2596">
        <v>1</v>
      </c>
      <c r="G101" s="2595">
        <f>F101/F$5*100</f>
        <v>1.2533527185220464E-3</v>
      </c>
      <c r="H101" s="2596" t="s">
        <v>1</v>
      </c>
      <c r="I101" s="2597" t="s">
        <v>3242</v>
      </c>
      <c r="J101" s="2596" t="s">
        <v>1</v>
      </c>
      <c r="K101" s="2597" t="s">
        <v>3242</v>
      </c>
      <c r="L101" s="2596" t="s">
        <v>1</v>
      </c>
      <c r="M101" s="2597" t="s">
        <v>3242</v>
      </c>
      <c r="N101" s="2596" t="s">
        <v>1</v>
      </c>
      <c r="O101" s="2597" t="s">
        <v>3242</v>
      </c>
      <c r="P101" s="2592" t="s">
        <v>1</v>
      </c>
      <c r="Q101" s="2597" t="s">
        <v>3242</v>
      </c>
      <c r="R101" s="2592" t="s">
        <v>1</v>
      </c>
      <c r="S101" s="2597" t="s">
        <v>3242</v>
      </c>
      <c r="T101" s="2592" t="s">
        <v>1</v>
      </c>
      <c r="U101" s="2597" t="s">
        <v>3242</v>
      </c>
      <c r="V101" s="2592" t="s">
        <v>1</v>
      </c>
      <c r="W101" s="2597" t="s">
        <v>3242</v>
      </c>
      <c r="X101" s="2592" t="s">
        <v>1</v>
      </c>
      <c r="Y101" s="2591" t="s">
        <v>3242</v>
      </c>
    </row>
    <row r="102" spans="1:25" ht="16.5">
      <c r="A102" s="2589" t="s">
        <v>3888</v>
      </c>
      <c r="B102" s="2590">
        <v>1</v>
      </c>
      <c r="C102" s="2591">
        <f t="shared" si="14"/>
        <v>5.4185563882070537E-4</v>
      </c>
      <c r="D102" s="2592" t="s">
        <v>3242</v>
      </c>
      <c r="E102" s="2593" t="s">
        <v>3242</v>
      </c>
      <c r="F102" s="2596">
        <v>1</v>
      </c>
      <c r="G102" s="2595">
        <f>F102/F$5*100</f>
        <v>1.2533527185220464E-3</v>
      </c>
      <c r="H102" s="2596" t="s">
        <v>1</v>
      </c>
      <c r="I102" s="2597" t="s">
        <v>3877</v>
      </c>
      <c r="J102" s="2596" t="s">
        <v>1</v>
      </c>
      <c r="K102" s="2597" t="s">
        <v>3877</v>
      </c>
      <c r="L102" s="2596" t="s">
        <v>1</v>
      </c>
      <c r="M102" s="2597" t="s">
        <v>3955</v>
      </c>
      <c r="N102" s="2596" t="s">
        <v>1</v>
      </c>
      <c r="O102" s="2597" t="s">
        <v>3955</v>
      </c>
      <c r="P102" s="2592" t="s">
        <v>1</v>
      </c>
      <c r="Q102" s="2597" t="s">
        <v>3955</v>
      </c>
      <c r="R102" s="2592" t="s">
        <v>1</v>
      </c>
      <c r="S102" s="2597" t="s">
        <v>3877</v>
      </c>
      <c r="T102" s="2592" t="s">
        <v>1</v>
      </c>
      <c r="U102" s="2597" t="s">
        <v>3955</v>
      </c>
      <c r="V102" s="2592" t="s">
        <v>1</v>
      </c>
      <c r="W102" s="2597" t="s">
        <v>3877</v>
      </c>
      <c r="X102" s="2592" t="s">
        <v>1</v>
      </c>
      <c r="Y102" s="2591" t="s">
        <v>3877</v>
      </c>
    </row>
    <row r="103" spans="1:25" ht="16.5">
      <c r="A103" s="2589" t="s">
        <v>3889</v>
      </c>
      <c r="B103" s="2590">
        <v>1</v>
      </c>
      <c r="C103" s="2591">
        <f t="shared" si="14"/>
        <v>5.4185563882070537E-4</v>
      </c>
      <c r="D103" s="2592">
        <v>1</v>
      </c>
      <c r="E103" s="2593">
        <f>D103/D$5*100</f>
        <v>9.545172528993461E-4</v>
      </c>
      <c r="F103" s="2596" t="s">
        <v>3877</v>
      </c>
      <c r="G103" s="2595" t="s">
        <v>1</v>
      </c>
      <c r="H103" s="2596" t="s">
        <v>1</v>
      </c>
      <c r="I103" s="2597" t="s">
        <v>3877</v>
      </c>
      <c r="J103" s="2596" t="s">
        <v>1</v>
      </c>
      <c r="K103" s="2597" t="s">
        <v>3242</v>
      </c>
      <c r="L103" s="2596" t="s">
        <v>1</v>
      </c>
      <c r="M103" s="2597" t="s">
        <v>3877</v>
      </c>
      <c r="N103" s="2596" t="s">
        <v>1</v>
      </c>
      <c r="O103" s="2597" t="s">
        <v>3242</v>
      </c>
      <c r="P103" s="2592" t="s">
        <v>1</v>
      </c>
      <c r="Q103" s="2597" t="s">
        <v>3877</v>
      </c>
      <c r="R103" s="2592" t="s">
        <v>1</v>
      </c>
      <c r="S103" s="2597" t="s">
        <v>3242</v>
      </c>
      <c r="T103" s="2592" t="s">
        <v>1</v>
      </c>
      <c r="U103" s="2597" t="s">
        <v>3242</v>
      </c>
      <c r="V103" s="2592" t="s">
        <v>1</v>
      </c>
      <c r="W103" s="2597" t="s">
        <v>3242</v>
      </c>
      <c r="X103" s="2592" t="s">
        <v>1</v>
      </c>
      <c r="Y103" s="2591" t="s">
        <v>3242</v>
      </c>
    </row>
    <row r="104" spans="1:25" ht="16.5">
      <c r="A104" s="2589" t="s">
        <v>3890</v>
      </c>
      <c r="B104" s="2590">
        <v>1</v>
      </c>
      <c r="C104" s="2591">
        <f t="shared" si="14"/>
        <v>5.4185563882070537E-4</v>
      </c>
      <c r="D104" s="2592">
        <v>1</v>
      </c>
      <c r="E104" s="2593">
        <f>D104/D$5*100</f>
        <v>9.545172528993461E-4</v>
      </c>
      <c r="F104" s="2596" t="s">
        <v>3242</v>
      </c>
      <c r="G104" s="2595" t="s">
        <v>1</v>
      </c>
      <c r="H104" s="2596" t="s">
        <v>1</v>
      </c>
      <c r="I104" s="2597" t="s">
        <v>3242</v>
      </c>
      <c r="J104" s="2596" t="s">
        <v>1</v>
      </c>
      <c r="K104" s="2597" t="s">
        <v>3242</v>
      </c>
      <c r="L104" s="2596" t="s">
        <v>1</v>
      </c>
      <c r="M104" s="2597" t="s">
        <v>3242</v>
      </c>
      <c r="N104" s="2596" t="s">
        <v>1</v>
      </c>
      <c r="O104" s="2597" t="s">
        <v>3242</v>
      </c>
      <c r="P104" s="2592" t="s">
        <v>1</v>
      </c>
      <c r="Q104" s="2597" t="s">
        <v>3242</v>
      </c>
      <c r="R104" s="2592" t="s">
        <v>1</v>
      </c>
      <c r="S104" s="2597" t="s">
        <v>3242</v>
      </c>
      <c r="T104" s="2592" t="s">
        <v>1</v>
      </c>
      <c r="U104" s="2597" t="s">
        <v>3242</v>
      </c>
      <c r="V104" s="2592" t="s">
        <v>1</v>
      </c>
      <c r="W104" s="2597" t="s">
        <v>3242</v>
      </c>
      <c r="X104" s="2592" t="s">
        <v>1</v>
      </c>
      <c r="Y104" s="2591" t="s">
        <v>3242</v>
      </c>
    </row>
    <row r="105" spans="1:25" ht="16.5">
      <c r="A105" s="2589" t="s">
        <v>3891</v>
      </c>
      <c r="B105" s="2590">
        <v>1</v>
      </c>
      <c r="C105" s="2591">
        <f t="shared" si="14"/>
        <v>5.4185563882070537E-4</v>
      </c>
      <c r="D105" s="2592">
        <v>1</v>
      </c>
      <c r="E105" s="2593">
        <f>D105/D$5*100</f>
        <v>9.545172528993461E-4</v>
      </c>
      <c r="F105" s="2596" t="s">
        <v>3877</v>
      </c>
      <c r="G105" s="2595" t="s">
        <v>1</v>
      </c>
      <c r="H105" s="2596" t="s">
        <v>1</v>
      </c>
      <c r="I105" s="2597" t="s">
        <v>3877</v>
      </c>
      <c r="J105" s="2596" t="s">
        <v>1</v>
      </c>
      <c r="K105" s="2597" t="s">
        <v>3877</v>
      </c>
      <c r="L105" s="2596" t="s">
        <v>1</v>
      </c>
      <c r="M105" s="2597" t="s">
        <v>3955</v>
      </c>
      <c r="N105" s="2596" t="s">
        <v>1</v>
      </c>
      <c r="O105" s="2597" t="s">
        <v>3955</v>
      </c>
      <c r="P105" s="2592" t="s">
        <v>1</v>
      </c>
      <c r="Q105" s="2597" t="s">
        <v>3955</v>
      </c>
      <c r="R105" s="2592" t="s">
        <v>1</v>
      </c>
      <c r="S105" s="2597" t="s">
        <v>3877</v>
      </c>
      <c r="T105" s="2592" t="s">
        <v>1</v>
      </c>
      <c r="U105" s="2597" t="s">
        <v>3955</v>
      </c>
      <c r="V105" s="2592" t="s">
        <v>1</v>
      </c>
      <c r="W105" s="2597" t="s">
        <v>3877</v>
      </c>
      <c r="X105" s="2592" t="s">
        <v>1</v>
      </c>
      <c r="Y105" s="2591" t="s">
        <v>3877</v>
      </c>
    </row>
    <row r="106" spans="1:25" ht="16.5">
      <c r="A106" s="2589" t="s">
        <v>3892</v>
      </c>
      <c r="B106" s="2590">
        <v>1</v>
      </c>
      <c r="C106" s="2591">
        <f t="shared" si="14"/>
        <v>5.4185563882070537E-4</v>
      </c>
      <c r="D106" s="2592">
        <v>1</v>
      </c>
      <c r="E106" s="2593">
        <f>D106/D$5*100</f>
        <v>9.545172528993461E-4</v>
      </c>
      <c r="F106" s="2596" t="s">
        <v>3955</v>
      </c>
      <c r="G106" s="2595" t="s">
        <v>1</v>
      </c>
      <c r="H106" s="2596" t="s">
        <v>1</v>
      </c>
      <c r="I106" s="2597" t="s">
        <v>3242</v>
      </c>
      <c r="J106" s="2596" t="s">
        <v>1</v>
      </c>
      <c r="K106" s="2597" t="s">
        <v>3242</v>
      </c>
      <c r="L106" s="2596" t="s">
        <v>1</v>
      </c>
      <c r="M106" s="2597" t="s">
        <v>3242</v>
      </c>
      <c r="N106" s="2596" t="s">
        <v>1</v>
      </c>
      <c r="O106" s="2597" t="s">
        <v>3242</v>
      </c>
      <c r="P106" s="2592" t="s">
        <v>1</v>
      </c>
      <c r="Q106" s="2597" t="s">
        <v>3242</v>
      </c>
      <c r="R106" s="2592" t="s">
        <v>1</v>
      </c>
      <c r="S106" s="2597" t="s">
        <v>3242</v>
      </c>
      <c r="T106" s="2592" t="s">
        <v>1</v>
      </c>
      <c r="U106" s="2597" t="s">
        <v>3242</v>
      </c>
      <c r="V106" s="2592" t="s">
        <v>1</v>
      </c>
      <c r="W106" s="2597" t="s">
        <v>3242</v>
      </c>
      <c r="X106" s="2592" t="s">
        <v>1</v>
      </c>
      <c r="Y106" s="2591" t="s">
        <v>3242</v>
      </c>
    </row>
    <row r="107" spans="1:25" ht="16.5">
      <c r="A107" s="2589" t="s">
        <v>3893</v>
      </c>
      <c r="B107" s="2590">
        <v>1</v>
      </c>
      <c r="C107" s="2591">
        <f t="shared" si="14"/>
        <v>5.4185563882070537E-4</v>
      </c>
      <c r="D107" s="2592">
        <v>1</v>
      </c>
      <c r="E107" s="2593">
        <f>D107/D$5*100</f>
        <v>9.545172528993461E-4</v>
      </c>
      <c r="F107" s="2596" t="s">
        <v>3242</v>
      </c>
      <c r="G107" s="2595" t="s">
        <v>1</v>
      </c>
      <c r="H107" s="2596" t="s">
        <v>1</v>
      </c>
      <c r="I107" s="2597" t="s">
        <v>3955</v>
      </c>
      <c r="J107" s="2596" t="s">
        <v>1</v>
      </c>
      <c r="K107" s="2597" t="s">
        <v>3242</v>
      </c>
      <c r="L107" s="2596" t="s">
        <v>1</v>
      </c>
      <c r="M107" s="2597" t="s">
        <v>3242</v>
      </c>
      <c r="N107" s="2596" t="s">
        <v>1</v>
      </c>
      <c r="O107" s="2597" t="s">
        <v>3242</v>
      </c>
      <c r="P107" s="2592" t="s">
        <v>1</v>
      </c>
      <c r="Q107" s="2597" t="s">
        <v>3242</v>
      </c>
      <c r="R107" s="2592" t="s">
        <v>1</v>
      </c>
      <c r="S107" s="2597" t="s">
        <v>3242</v>
      </c>
      <c r="T107" s="2592" t="s">
        <v>1</v>
      </c>
      <c r="U107" s="2597" t="s">
        <v>3242</v>
      </c>
      <c r="V107" s="2592" t="s">
        <v>1</v>
      </c>
      <c r="W107" s="2597" t="s">
        <v>3242</v>
      </c>
      <c r="X107" s="2592" t="s">
        <v>1</v>
      </c>
      <c r="Y107" s="2591" t="s">
        <v>3242</v>
      </c>
    </row>
    <row r="108" spans="1:25" ht="16.5">
      <c r="A108" s="2603" t="s">
        <v>3894</v>
      </c>
      <c r="B108" s="2604">
        <v>1</v>
      </c>
      <c r="C108" s="2605">
        <f t="shared" si="14"/>
        <v>5.4185563882070537E-4</v>
      </c>
      <c r="D108" s="2606" t="s">
        <v>3242</v>
      </c>
      <c r="E108" s="2607" t="s">
        <v>3242</v>
      </c>
      <c r="F108" s="2608" t="s">
        <v>3242</v>
      </c>
      <c r="G108" s="2609" t="s">
        <v>1</v>
      </c>
      <c r="H108" s="2608" t="s">
        <v>1</v>
      </c>
      <c r="I108" s="2610" t="s">
        <v>3242</v>
      </c>
      <c r="J108" s="2608" t="s">
        <v>1</v>
      </c>
      <c r="K108" s="2610" t="s">
        <v>3242</v>
      </c>
      <c r="L108" s="2608" t="s">
        <v>1</v>
      </c>
      <c r="M108" s="2610" t="s">
        <v>3242</v>
      </c>
      <c r="N108" s="2608" t="s">
        <v>1</v>
      </c>
      <c r="O108" s="2610" t="s">
        <v>3242</v>
      </c>
      <c r="P108" s="2606" t="s">
        <v>1</v>
      </c>
      <c r="Q108" s="2610" t="s">
        <v>3242</v>
      </c>
      <c r="R108" s="2606" t="s">
        <v>1</v>
      </c>
      <c r="S108" s="2610" t="s">
        <v>3242</v>
      </c>
      <c r="T108" s="2606" t="s">
        <v>1</v>
      </c>
      <c r="U108" s="2610" t="s">
        <v>3242</v>
      </c>
      <c r="V108" s="2606" t="s">
        <v>1</v>
      </c>
      <c r="W108" s="2610" t="s">
        <v>3242</v>
      </c>
      <c r="X108" s="2606" t="s">
        <v>1</v>
      </c>
      <c r="Y108" s="2605" t="s">
        <v>3242</v>
      </c>
    </row>
    <row r="109" spans="1:25">
      <c r="A109" s="4094" t="s">
        <v>3960</v>
      </c>
      <c r="B109" s="4094"/>
      <c r="C109" s="4094"/>
      <c r="D109" s="4094"/>
      <c r="E109" s="4094"/>
      <c r="F109" s="4094"/>
      <c r="G109" s="4094"/>
      <c r="H109" s="4094"/>
      <c r="I109" s="2611"/>
      <c r="J109" s="2611"/>
      <c r="K109" s="2611"/>
      <c r="L109" s="2612"/>
      <c r="M109" s="2611"/>
      <c r="N109" s="2612"/>
      <c r="O109" s="2611"/>
      <c r="P109" s="2612"/>
      <c r="Q109" s="2611"/>
      <c r="R109" s="2612"/>
      <c r="S109" s="2611"/>
      <c r="T109" s="2612"/>
      <c r="U109" s="2611"/>
      <c r="V109" s="2612"/>
      <c r="W109" s="2611"/>
      <c r="X109" s="2612"/>
      <c r="Y109" s="2611"/>
    </row>
    <row r="110" spans="1:25" ht="16.5" customHeight="1">
      <c r="A110" s="4095" t="s">
        <v>3961</v>
      </c>
      <c r="B110" s="4095"/>
      <c r="C110" s="4095"/>
      <c r="D110" s="4095"/>
      <c r="E110" s="4095"/>
      <c r="F110" s="4095"/>
      <c r="G110" s="4095"/>
      <c r="H110" s="4095"/>
      <c r="I110" s="4095"/>
      <c r="J110" s="4095"/>
      <c r="K110" s="4095"/>
      <c r="L110" s="4095"/>
      <c r="M110" s="4095"/>
      <c r="N110" s="4095"/>
      <c r="O110" s="2611"/>
      <c r="P110" s="2612"/>
      <c r="Q110" s="2611"/>
      <c r="R110" s="2612"/>
      <c r="S110" s="2611"/>
      <c r="T110" s="2612"/>
      <c r="U110" s="2611"/>
      <c r="V110" s="2612"/>
      <c r="W110" s="2611"/>
      <c r="X110" s="2612"/>
      <c r="Y110" s="2611"/>
    </row>
    <row r="111" spans="1:25">
      <c r="A111" s="2613"/>
      <c r="B111" s="2614"/>
      <c r="C111" s="2614"/>
      <c r="D111" s="2614"/>
      <c r="E111" s="2614"/>
      <c r="F111" s="2614"/>
      <c r="G111" s="2614"/>
      <c r="H111" s="2614"/>
      <c r="J111" s="2551"/>
    </row>
    <row r="112" spans="1:25">
      <c r="A112" s="2615"/>
      <c r="B112" s="2551"/>
      <c r="D112" s="2551"/>
      <c r="F112" s="2551"/>
      <c r="H112" s="2551"/>
      <c r="J112" s="2551"/>
    </row>
    <row r="113" spans="1:10">
      <c r="A113" s="2615"/>
      <c r="B113" s="2551"/>
      <c r="D113" s="2551"/>
      <c r="F113" s="2551"/>
      <c r="H113" s="2551"/>
      <c r="J113" s="2551"/>
    </row>
  </sheetData>
  <mergeCells count="21">
    <mergeCell ref="A109:H109"/>
    <mergeCell ref="A110:N110"/>
    <mergeCell ref="H4:I4"/>
    <mergeCell ref="J4:K4"/>
    <mergeCell ref="L4:M4"/>
    <mergeCell ref="N4:O4"/>
    <mergeCell ref="A1:Y1"/>
    <mergeCell ref="V2:Y2"/>
    <mergeCell ref="A3:A4"/>
    <mergeCell ref="B3:G3"/>
    <mergeCell ref="H3:M3"/>
    <mergeCell ref="N3:S3"/>
    <mergeCell ref="T3:Y3"/>
    <mergeCell ref="B4:C4"/>
    <mergeCell ref="D4:E4"/>
    <mergeCell ref="F4:G4"/>
    <mergeCell ref="T4:U4"/>
    <mergeCell ref="V4:W4"/>
    <mergeCell ref="X4:Y4"/>
    <mergeCell ref="P4:Q4"/>
    <mergeCell ref="R4:S4"/>
  </mergeCells>
  <phoneticPr fontId="61" type="noConversion"/>
  <printOptions horizontalCentered="1" verticalCentered="1"/>
  <pageMargins left="0.70866141732283472" right="0.70866141732283472" top="0.74803149606299213" bottom="0.74803149606299213" header="0.31496062992125984" footer="0.31496062992125984"/>
  <pageSetup paperSize="11" scale="42" orientation="landscape" r:id="rId1"/>
  <headerFooter differentOddEven="1" scaleWithDoc="0">
    <oddHeader>&amp;L&amp;"Times New Roman,標準"&amp;8 107&amp;"標楷體,標準"年犯罪狀況及其分析</oddHeader>
    <evenHeader>&amp;R&amp;"標楷體,標準"&amp;8第五篇　犯罪被害趨勢、保護與補償</evenHead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Y217"/>
  <sheetViews>
    <sheetView showGridLines="0" workbookViewId="0">
      <selection activeCell="A155" sqref="A155:B155"/>
    </sheetView>
  </sheetViews>
  <sheetFormatPr defaultColWidth="8.75" defaultRowHeight="15.75"/>
  <cols>
    <col min="1" max="1" width="33.875" style="2616" bestFit="1" customWidth="1"/>
    <col min="2" max="25" width="10.625" style="2567" customWidth="1"/>
    <col min="26" max="16384" width="8.75" style="2567"/>
  </cols>
  <sheetData>
    <row r="1" spans="1:25" ht="20.25">
      <c r="A1" s="4087" t="s">
        <v>3962</v>
      </c>
      <c r="B1" s="4087"/>
      <c r="C1" s="4087"/>
      <c r="D1" s="4087"/>
      <c r="E1" s="4087"/>
      <c r="F1" s="4087"/>
      <c r="G1" s="4087"/>
      <c r="H1" s="4087"/>
      <c r="I1" s="4087"/>
      <c r="J1" s="4087"/>
      <c r="K1" s="4087"/>
      <c r="L1" s="4087"/>
      <c r="M1" s="4087"/>
      <c r="N1" s="4087"/>
      <c r="O1" s="4087"/>
      <c r="P1" s="4087"/>
      <c r="Q1" s="4087"/>
      <c r="R1" s="4087"/>
      <c r="S1" s="4087"/>
      <c r="T1" s="4087"/>
      <c r="U1" s="4087"/>
      <c r="V1" s="4087"/>
      <c r="W1" s="4087"/>
      <c r="X1" s="4087"/>
      <c r="Y1" s="4087"/>
    </row>
    <row r="2" spans="1:25" s="2582" customFormat="1" ht="16.5">
      <c r="A2" s="2579"/>
      <c r="B2" s="2617"/>
      <c r="C2" s="2617"/>
      <c r="D2" s="2617"/>
      <c r="E2" s="2617"/>
      <c r="F2" s="2617"/>
      <c r="G2" s="2617"/>
      <c r="H2" s="2617"/>
      <c r="I2" s="2617"/>
      <c r="J2" s="2617"/>
      <c r="K2" s="2617"/>
      <c r="L2" s="2617"/>
      <c r="M2" s="2617"/>
      <c r="N2" s="2617"/>
      <c r="O2" s="2617"/>
      <c r="P2" s="2617"/>
      <c r="Q2" s="2617"/>
      <c r="R2" s="2617"/>
      <c r="S2" s="2617"/>
      <c r="T2" s="2617"/>
      <c r="U2" s="2617"/>
      <c r="V2" s="2581" t="s">
        <v>3963</v>
      </c>
      <c r="W2" s="2581"/>
      <c r="X2" s="2581"/>
      <c r="Y2" s="2581"/>
    </row>
    <row r="3" spans="1:25" ht="16.5">
      <c r="A3" s="4089"/>
      <c r="B3" s="4091" t="s">
        <v>3964</v>
      </c>
      <c r="C3" s="4091"/>
      <c r="D3" s="4091"/>
      <c r="E3" s="4091"/>
      <c r="F3" s="4091"/>
      <c r="G3" s="4092"/>
      <c r="H3" s="4093" t="s">
        <v>3965</v>
      </c>
      <c r="I3" s="4091"/>
      <c r="J3" s="4091"/>
      <c r="K3" s="4091"/>
      <c r="L3" s="4091"/>
      <c r="M3" s="4092"/>
      <c r="N3" s="4093" t="s">
        <v>3966</v>
      </c>
      <c r="O3" s="4091"/>
      <c r="P3" s="4091"/>
      <c r="Q3" s="4091"/>
      <c r="R3" s="4091"/>
      <c r="S3" s="4092"/>
      <c r="T3" s="4093" t="s">
        <v>3967</v>
      </c>
      <c r="U3" s="4091"/>
      <c r="V3" s="4091"/>
      <c r="W3" s="4091"/>
      <c r="X3" s="4091"/>
      <c r="Y3" s="4091"/>
    </row>
    <row r="4" spans="1:25" ht="16.5">
      <c r="A4" s="4090"/>
      <c r="B4" s="4091" t="s">
        <v>3968</v>
      </c>
      <c r="C4" s="4092"/>
      <c r="D4" s="4093" t="s">
        <v>3969</v>
      </c>
      <c r="E4" s="4092"/>
      <c r="F4" s="4093" t="s">
        <v>3970</v>
      </c>
      <c r="G4" s="4092"/>
      <c r="H4" s="4093" t="s">
        <v>3968</v>
      </c>
      <c r="I4" s="4092"/>
      <c r="J4" s="4093" t="s">
        <v>3969</v>
      </c>
      <c r="K4" s="4092"/>
      <c r="L4" s="4093" t="s">
        <v>3970</v>
      </c>
      <c r="M4" s="4092"/>
      <c r="N4" s="4093" t="s">
        <v>3968</v>
      </c>
      <c r="O4" s="4092"/>
      <c r="P4" s="4093" t="s">
        <v>3969</v>
      </c>
      <c r="Q4" s="4092"/>
      <c r="R4" s="4093" t="s">
        <v>3970</v>
      </c>
      <c r="S4" s="4092"/>
      <c r="T4" s="4093" t="s">
        <v>3968</v>
      </c>
      <c r="U4" s="4092"/>
      <c r="V4" s="4093" t="s">
        <v>3969</v>
      </c>
      <c r="W4" s="4092"/>
      <c r="X4" s="4093" t="s">
        <v>3970</v>
      </c>
      <c r="Y4" s="4091"/>
    </row>
    <row r="5" spans="1:25" s="2620" customFormat="1" ht="16.5">
      <c r="A5" s="2618" t="s">
        <v>3971</v>
      </c>
      <c r="B5" s="2619">
        <f t="shared" ref="B5:Y5" si="0">SUM(B6:B108)</f>
        <v>66285</v>
      </c>
      <c r="C5" s="2586">
        <f t="shared" si="0"/>
        <v>100.00000000000011</v>
      </c>
      <c r="D5" s="2619">
        <f t="shared" si="0"/>
        <v>38448</v>
      </c>
      <c r="E5" s="2586">
        <f t="shared" si="0"/>
        <v>100.00000000000003</v>
      </c>
      <c r="F5" s="2619">
        <f t="shared" si="0"/>
        <v>27837</v>
      </c>
      <c r="G5" s="2586">
        <f t="shared" si="0"/>
        <v>99.999999999999929</v>
      </c>
      <c r="H5" s="2619">
        <f t="shared" si="0"/>
        <v>71462</v>
      </c>
      <c r="I5" s="2586">
        <f t="shared" si="0"/>
        <v>100.00000000000006</v>
      </c>
      <c r="J5" s="2619">
        <f t="shared" si="0"/>
        <v>40283</v>
      </c>
      <c r="K5" s="2586">
        <f t="shared" si="0"/>
        <v>99.999999999999929</v>
      </c>
      <c r="L5" s="2619">
        <f t="shared" si="0"/>
        <v>31179</v>
      </c>
      <c r="M5" s="2586">
        <f t="shared" si="0"/>
        <v>100.00000000000007</v>
      </c>
      <c r="N5" s="2619">
        <f t="shared" si="0"/>
        <v>14996</v>
      </c>
      <c r="O5" s="2586">
        <f t="shared" si="0"/>
        <v>100.00000000000001</v>
      </c>
      <c r="P5" s="2619">
        <f t="shared" si="0"/>
        <v>8102</v>
      </c>
      <c r="Q5" s="2586">
        <f t="shared" si="0"/>
        <v>100.00000000000009</v>
      </c>
      <c r="R5" s="2619">
        <f t="shared" si="0"/>
        <v>6894</v>
      </c>
      <c r="S5" s="2586">
        <f t="shared" si="0"/>
        <v>99.999999999999972</v>
      </c>
      <c r="T5" s="2619">
        <f t="shared" si="0"/>
        <v>714</v>
      </c>
      <c r="U5" s="2586">
        <f t="shared" si="0"/>
        <v>100.00000000000013</v>
      </c>
      <c r="V5" s="2619">
        <f t="shared" si="0"/>
        <v>686</v>
      </c>
      <c r="W5" s="2586">
        <f t="shared" si="0"/>
        <v>100.00000000000003</v>
      </c>
      <c r="X5" s="2619">
        <f t="shared" si="0"/>
        <v>28</v>
      </c>
      <c r="Y5" s="2587">
        <f t="shared" si="0"/>
        <v>99.999999999999986</v>
      </c>
    </row>
    <row r="6" spans="1:25" s="2551" customFormat="1" ht="16.5">
      <c r="A6" s="2621" t="s">
        <v>3952</v>
      </c>
      <c r="B6" s="2622">
        <v>14445</v>
      </c>
      <c r="C6" s="2597">
        <f t="shared" ref="C6:C41" si="1">B6/B$5*100</f>
        <v>21.792260692464357</v>
      </c>
      <c r="D6" s="2622">
        <v>9082</v>
      </c>
      <c r="E6" s="2597">
        <f t="shared" ref="E6:E40" si="2">D6/D$5*100</f>
        <v>23.621514773200168</v>
      </c>
      <c r="F6" s="2622">
        <v>5363</v>
      </c>
      <c r="G6" s="2597">
        <f t="shared" ref="G6:G41" si="3">F6/F$5*100</f>
        <v>19.265725473290942</v>
      </c>
      <c r="H6" s="2622">
        <v>16038</v>
      </c>
      <c r="I6" s="2597">
        <f t="shared" ref="I6:I41" si="4">H6/H$5*100</f>
        <v>22.442696817889228</v>
      </c>
      <c r="J6" s="2622">
        <v>9767</v>
      </c>
      <c r="K6" s="2597">
        <f t="shared" ref="K6:K41" si="5">J6/J$5*100</f>
        <v>24.245959834173224</v>
      </c>
      <c r="L6" s="2622">
        <v>6271</v>
      </c>
      <c r="M6" s="2597">
        <f t="shared" ref="M6:M41" si="6">L6/L$5*100</f>
        <v>20.112896500849931</v>
      </c>
      <c r="N6" s="2622">
        <v>2527</v>
      </c>
      <c r="O6" s="2597">
        <f t="shared" ref="O6:O29" si="7">N6/N$5*100</f>
        <v>16.851160309415842</v>
      </c>
      <c r="P6" s="2622">
        <v>1621</v>
      </c>
      <c r="Q6" s="2597">
        <f t="shared" ref="Q6:Q29" si="8">P6/P$5*100</f>
        <v>20.007405578869413</v>
      </c>
      <c r="R6" s="2622">
        <v>906</v>
      </c>
      <c r="S6" s="2597">
        <f t="shared" ref="S6:S19" si="9">R6/R$5*100</f>
        <v>13.141862489120976</v>
      </c>
      <c r="T6" s="2623">
        <v>173</v>
      </c>
      <c r="U6" s="2597">
        <f t="shared" ref="U6:U18" si="10">T6/T$5*100</f>
        <v>24.229691876750699</v>
      </c>
      <c r="V6" s="2624">
        <v>172</v>
      </c>
      <c r="W6" s="2597">
        <f t="shared" ref="W6:W18" si="11">V6/V$5*100</f>
        <v>25.072886297376094</v>
      </c>
      <c r="X6" s="2624">
        <v>1</v>
      </c>
      <c r="Y6" s="2591">
        <f>X6/X$5*100</f>
        <v>3.5714285714285712</v>
      </c>
    </row>
    <row r="7" spans="1:25" s="2551" customFormat="1" ht="16.5">
      <c r="A7" s="2621" t="s">
        <v>3791</v>
      </c>
      <c r="B7" s="2622">
        <v>13639</v>
      </c>
      <c r="C7" s="2597">
        <f t="shared" si="1"/>
        <v>20.576299313570189</v>
      </c>
      <c r="D7" s="2625">
        <v>7206</v>
      </c>
      <c r="E7" s="2597">
        <f t="shared" si="2"/>
        <v>18.742197253433211</v>
      </c>
      <c r="F7" s="2625">
        <v>6433</v>
      </c>
      <c r="G7" s="2597">
        <f t="shared" si="3"/>
        <v>23.109530481014477</v>
      </c>
      <c r="H7" s="2622">
        <v>10757</v>
      </c>
      <c r="I7" s="2597">
        <f t="shared" si="4"/>
        <v>15.052755310514678</v>
      </c>
      <c r="J7" s="2622">
        <v>4962</v>
      </c>
      <c r="K7" s="2597">
        <f t="shared" si="5"/>
        <v>12.317851202740609</v>
      </c>
      <c r="L7" s="2622">
        <v>5795</v>
      </c>
      <c r="M7" s="2597">
        <f t="shared" si="6"/>
        <v>18.58622790981109</v>
      </c>
      <c r="N7" s="2622">
        <v>3385</v>
      </c>
      <c r="O7" s="2597">
        <f t="shared" si="7"/>
        <v>22.572686049613232</v>
      </c>
      <c r="P7" s="2622">
        <v>1400</v>
      </c>
      <c r="Q7" s="2597">
        <f t="shared" si="8"/>
        <v>17.279684028634907</v>
      </c>
      <c r="R7" s="2622">
        <v>1985</v>
      </c>
      <c r="S7" s="2597">
        <f t="shared" si="9"/>
        <v>28.793153466782712</v>
      </c>
      <c r="T7" s="2623">
        <v>49</v>
      </c>
      <c r="U7" s="2597">
        <f t="shared" si="10"/>
        <v>6.8627450980392162</v>
      </c>
      <c r="V7" s="2624">
        <v>48</v>
      </c>
      <c r="W7" s="2597">
        <f t="shared" si="11"/>
        <v>6.9970845481049562</v>
      </c>
      <c r="X7" s="2624">
        <v>1</v>
      </c>
      <c r="Y7" s="2591">
        <f>X7/X$5*100</f>
        <v>3.5714285714285712</v>
      </c>
    </row>
    <row r="8" spans="1:25" s="2551" customFormat="1" ht="16.5">
      <c r="A8" s="2621" t="s">
        <v>3972</v>
      </c>
      <c r="B8" s="2622">
        <v>5702</v>
      </c>
      <c r="C8" s="2597">
        <f t="shared" si="1"/>
        <v>8.6022478690503128</v>
      </c>
      <c r="D8" s="2622">
        <v>3119</v>
      </c>
      <c r="E8" s="2597">
        <f t="shared" si="2"/>
        <v>8.1122555139409069</v>
      </c>
      <c r="F8" s="2622">
        <v>2583</v>
      </c>
      <c r="G8" s="2597">
        <f t="shared" si="3"/>
        <v>9.2790171354671838</v>
      </c>
      <c r="H8" s="2622">
        <v>6842</v>
      </c>
      <c r="I8" s="2597">
        <f t="shared" si="4"/>
        <v>9.5743192186056927</v>
      </c>
      <c r="J8" s="2622">
        <v>3105</v>
      </c>
      <c r="K8" s="2597">
        <f t="shared" si="5"/>
        <v>7.7079661395625942</v>
      </c>
      <c r="L8" s="2622">
        <v>3737</v>
      </c>
      <c r="M8" s="2597">
        <f t="shared" si="6"/>
        <v>11.985631354437281</v>
      </c>
      <c r="N8" s="2622">
        <v>2664</v>
      </c>
      <c r="O8" s="2597">
        <f t="shared" si="7"/>
        <v>17.764737263270206</v>
      </c>
      <c r="P8" s="2622">
        <v>1239</v>
      </c>
      <c r="Q8" s="2597">
        <f t="shared" si="8"/>
        <v>15.292520365341892</v>
      </c>
      <c r="R8" s="2622">
        <v>1425</v>
      </c>
      <c r="S8" s="2597">
        <f t="shared" si="9"/>
        <v>20.670147954743253</v>
      </c>
      <c r="T8" s="2623">
        <v>4</v>
      </c>
      <c r="U8" s="2597">
        <f t="shared" si="10"/>
        <v>0.56022408963585435</v>
      </c>
      <c r="V8" s="2624">
        <v>3</v>
      </c>
      <c r="W8" s="2597">
        <f t="shared" si="11"/>
        <v>0.43731778425655976</v>
      </c>
      <c r="X8" s="2624">
        <v>1</v>
      </c>
      <c r="Y8" s="2591">
        <f>X8/X$5*100</f>
        <v>3.5714285714285712</v>
      </c>
    </row>
    <row r="9" spans="1:25" s="2551" customFormat="1" ht="16.5">
      <c r="A9" s="2621" t="s">
        <v>3793</v>
      </c>
      <c r="B9" s="2622">
        <v>5500</v>
      </c>
      <c r="C9" s="2597">
        <f t="shared" si="1"/>
        <v>8.297503205853511</v>
      </c>
      <c r="D9" s="2622">
        <v>3449</v>
      </c>
      <c r="E9" s="2597">
        <f t="shared" si="2"/>
        <v>8.9705576362879729</v>
      </c>
      <c r="F9" s="2622">
        <v>2051</v>
      </c>
      <c r="G9" s="2597">
        <f t="shared" si="3"/>
        <v>7.3678916549915581</v>
      </c>
      <c r="H9" s="2622">
        <v>7067</v>
      </c>
      <c r="I9" s="2597">
        <f t="shared" si="4"/>
        <v>9.8891718675659792</v>
      </c>
      <c r="J9" s="2622">
        <v>4430</v>
      </c>
      <c r="K9" s="2597">
        <f t="shared" si="5"/>
        <v>10.997194846461285</v>
      </c>
      <c r="L9" s="2622">
        <v>2637</v>
      </c>
      <c r="M9" s="2597">
        <f t="shared" si="6"/>
        <v>8.4576157028769359</v>
      </c>
      <c r="N9" s="2622">
        <v>1205</v>
      </c>
      <c r="O9" s="2597">
        <f t="shared" si="7"/>
        <v>8.0354761269671915</v>
      </c>
      <c r="P9" s="2622">
        <v>705</v>
      </c>
      <c r="Q9" s="2597">
        <f t="shared" si="8"/>
        <v>8.7015551715625783</v>
      </c>
      <c r="R9" s="2622">
        <v>500</v>
      </c>
      <c r="S9" s="2597">
        <f t="shared" si="9"/>
        <v>7.2526834928923698</v>
      </c>
      <c r="T9" s="2623">
        <v>3</v>
      </c>
      <c r="U9" s="2597">
        <f t="shared" si="10"/>
        <v>0.42016806722689076</v>
      </c>
      <c r="V9" s="2624">
        <v>1</v>
      </c>
      <c r="W9" s="2597">
        <f t="shared" si="11"/>
        <v>0.1457725947521866</v>
      </c>
      <c r="X9" s="2624">
        <v>2</v>
      </c>
      <c r="Y9" s="2591">
        <f>X9/X$5*100</f>
        <v>7.1428571428571423</v>
      </c>
    </row>
    <row r="10" spans="1:25" s="2551" customFormat="1" ht="16.5">
      <c r="A10" s="2621" t="s">
        <v>3794</v>
      </c>
      <c r="B10" s="2622">
        <v>3309</v>
      </c>
      <c r="C10" s="2597">
        <f t="shared" si="1"/>
        <v>4.9920796560307759</v>
      </c>
      <c r="D10" s="2622">
        <v>1957</v>
      </c>
      <c r="E10" s="2597">
        <f t="shared" si="2"/>
        <v>5.0899916770703291</v>
      </c>
      <c r="F10" s="2622">
        <v>1352</v>
      </c>
      <c r="G10" s="2597">
        <f t="shared" si="3"/>
        <v>4.8568452060207639</v>
      </c>
      <c r="H10" s="2622">
        <v>4882</v>
      </c>
      <c r="I10" s="2597">
        <f t="shared" si="4"/>
        <v>6.8316028098849735</v>
      </c>
      <c r="J10" s="2622">
        <v>2884</v>
      </c>
      <c r="K10" s="2597">
        <f t="shared" si="5"/>
        <v>7.1593476156194917</v>
      </c>
      <c r="L10" s="2622">
        <v>1998</v>
      </c>
      <c r="M10" s="2597">
        <f t="shared" si="6"/>
        <v>6.4081593380159729</v>
      </c>
      <c r="N10" s="2622">
        <v>672</v>
      </c>
      <c r="O10" s="2597">
        <f t="shared" si="7"/>
        <v>4.4811949853294211</v>
      </c>
      <c r="P10" s="2622">
        <v>440</v>
      </c>
      <c r="Q10" s="2597">
        <f t="shared" si="8"/>
        <v>5.4307578375709697</v>
      </c>
      <c r="R10" s="2622">
        <v>232</v>
      </c>
      <c r="S10" s="2597">
        <f t="shared" si="9"/>
        <v>3.3652451407020596</v>
      </c>
      <c r="T10" s="2623">
        <v>8</v>
      </c>
      <c r="U10" s="2597">
        <f t="shared" si="10"/>
        <v>1.1204481792717087</v>
      </c>
      <c r="V10" s="2624">
        <v>8</v>
      </c>
      <c r="W10" s="2597">
        <f t="shared" si="11"/>
        <v>1.1661807580174928</v>
      </c>
      <c r="X10" s="2624" t="s">
        <v>1</v>
      </c>
      <c r="Y10" s="2591" t="s">
        <v>1</v>
      </c>
    </row>
    <row r="11" spans="1:25" s="2551" customFormat="1" ht="16.5">
      <c r="A11" s="2621" t="s">
        <v>3795</v>
      </c>
      <c r="B11" s="2622">
        <v>3353</v>
      </c>
      <c r="C11" s="2597">
        <f t="shared" si="1"/>
        <v>5.0584596816776042</v>
      </c>
      <c r="D11" s="2622">
        <v>2085</v>
      </c>
      <c r="E11" s="2597">
        <f t="shared" si="2"/>
        <v>5.4229088639200995</v>
      </c>
      <c r="F11" s="2622">
        <v>1268</v>
      </c>
      <c r="G11" s="2597">
        <f t="shared" si="3"/>
        <v>4.5550885512088222</v>
      </c>
      <c r="H11" s="2622">
        <v>3676</v>
      </c>
      <c r="I11" s="2597">
        <f t="shared" si="4"/>
        <v>5.143992611457838</v>
      </c>
      <c r="J11" s="2622">
        <v>2158</v>
      </c>
      <c r="K11" s="2597">
        <f t="shared" si="5"/>
        <v>5.3570985279150012</v>
      </c>
      <c r="L11" s="2622">
        <v>1518</v>
      </c>
      <c r="M11" s="2597">
        <f t="shared" si="6"/>
        <v>4.8686615991532758</v>
      </c>
      <c r="N11" s="2622">
        <v>377</v>
      </c>
      <c r="O11" s="2597">
        <f t="shared" si="7"/>
        <v>2.5140037343291546</v>
      </c>
      <c r="P11" s="2622">
        <v>245</v>
      </c>
      <c r="Q11" s="2597">
        <f t="shared" si="8"/>
        <v>3.0239447050111083</v>
      </c>
      <c r="R11" s="2622">
        <v>132</v>
      </c>
      <c r="S11" s="2597">
        <f t="shared" si="9"/>
        <v>1.9147084421235856</v>
      </c>
      <c r="T11" s="2623">
        <v>5</v>
      </c>
      <c r="U11" s="2597">
        <f t="shared" si="10"/>
        <v>0.70028011204481799</v>
      </c>
      <c r="V11" s="2624">
        <v>4</v>
      </c>
      <c r="W11" s="2597">
        <f t="shared" si="11"/>
        <v>0.58309037900874638</v>
      </c>
      <c r="X11" s="2624">
        <v>1</v>
      </c>
      <c r="Y11" s="2591">
        <f>X11/X$5*100</f>
        <v>3.5714285714285712</v>
      </c>
    </row>
    <row r="12" spans="1:25" s="2551" customFormat="1" ht="16.5">
      <c r="A12" s="2621" t="s">
        <v>3796</v>
      </c>
      <c r="B12" s="2622">
        <v>3204</v>
      </c>
      <c r="C12" s="2597">
        <f t="shared" si="1"/>
        <v>4.8336727766463001</v>
      </c>
      <c r="D12" s="2622">
        <v>1826</v>
      </c>
      <c r="E12" s="2597">
        <f t="shared" si="2"/>
        <v>4.7492717436537664</v>
      </c>
      <c r="F12" s="2622">
        <v>1378</v>
      </c>
      <c r="G12" s="2597">
        <f t="shared" si="3"/>
        <v>4.9502460753673168</v>
      </c>
      <c r="H12" s="2622">
        <v>3139</v>
      </c>
      <c r="I12" s="2597">
        <f t="shared" si="4"/>
        <v>4.392544289272621</v>
      </c>
      <c r="J12" s="2622">
        <v>1895</v>
      </c>
      <c r="K12" s="2597">
        <f t="shared" si="5"/>
        <v>4.70421766005511</v>
      </c>
      <c r="L12" s="2622">
        <v>1244</v>
      </c>
      <c r="M12" s="2597">
        <f t="shared" si="6"/>
        <v>3.989864973219154</v>
      </c>
      <c r="N12" s="2622">
        <v>424</v>
      </c>
      <c r="O12" s="2597">
        <f t="shared" si="7"/>
        <v>2.8274206455054682</v>
      </c>
      <c r="P12" s="2622">
        <v>264</v>
      </c>
      <c r="Q12" s="2597">
        <f t="shared" si="8"/>
        <v>3.2584547025425818</v>
      </c>
      <c r="R12" s="2622">
        <v>160</v>
      </c>
      <c r="S12" s="2597">
        <f t="shared" si="9"/>
        <v>2.3208587177255584</v>
      </c>
      <c r="T12" s="2623">
        <v>12</v>
      </c>
      <c r="U12" s="2597">
        <f t="shared" si="10"/>
        <v>1.680672268907563</v>
      </c>
      <c r="V12" s="2624">
        <v>12</v>
      </c>
      <c r="W12" s="2597">
        <f t="shared" si="11"/>
        <v>1.749271137026239</v>
      </c>
      <c r="X12" s="2624" t="s">
        <v>1</v>
      </c>
      <c r="Y12" s="2591" t="s">
        <v>1</v>
      </c>
    </row>
    <row r="13" spans="1:25" s="2551" customFormat="1" ht="16.5">
      <c r="A13" s="2621" t="s">
        <v>3973</v>
      </c>
      <c r="B13" s="2622">
        <v>1978</v>
      </c>
      <c r="C13" s="2597">
        <f t="shared" si="1"/>
        <v>2.9840838802142264</v>
      </c>
      <c r="D13" s="2625">
        <v>1129</v>
      </c>
      <c r="E13" s="2597">
        <f t="shared" si="2"/>
        <v>2.936433624635872</v>
      </c>
      <c r="F13" s="2625">
        <v>849</v>
      </c>
      <c r="G13" s="2597">
        <f t="shared" si="3"/>
        <v>3.0498976182778317</v>
      </c>
      <c r="H13" s="2622">
        <v>1924</v>
      </c>
      <c r="I13" s="2597">
        <f t="shared" si="4"/>
        <v>2.6923399848870728</v>
      </c>
      <c r="J13" s="2622">
        <v>954</v>
      </c>
      <c r="K13" s="2597">
        <f t="shared" si="5"/>
        <v>2.368244668967058</v>
      </c>
      <c r="L13" s="2622">
        <v>970</v>
      </c>
      <c r="M13" s="2597">
        <f t="shared" si="6"/>
        <v>3.1110683472850313</v>
      </c>
      <c r="N13" s="2622">
        <v>734</v>
      </c>
      <c r="O13" s="2597">
        <f t="shared" si="7"/>
        <v>4.8946385702854096</v>
      </c>
      <c r="P13" s="2625">
        <v>383</v>
      </c>
      <c r="Q13" s="2597">
        <f t="shared" si="8"/>
        <v>4.7272278449765492</v>
      </c>
      <c r="R13" s="2625">
        <v>351</v>
      </c>
      <c r="S13" s="2597">
        <f t="shared" si="9"/>
        <v>5.0913838120104433</v>
      </c>
      <c r="T13" s="2623">
        <v>6</v>
      </c>
      <c r="U13" s="2597">
        <f t="shared" si="10"/>
        <v>0.84033613445378152</v>
      </c>
      <c r="V13" s="2626">
        <v>6</v>
      </c>
      <c r="W13" s="2597">
        <f t="shared" si="11"/>
        <v>0.87463556851311952</v>
      </c>
      <c r="X13" s="2624" t="s">
        <v>1</v>
      </c>
      <c r="Y13" s="2591" t="s">
        <v>1</v>
      </c>
    </row>
    <row r="14" spans="1:25" s="2551" customFormat="1" ht="16.5">
      <c r="A14" s="2621" t="s">
        <v>3798</v>
      </c>
      <c r="B14" s="2622">
        <v>1998</v>
      </c>
      <c r="C14" s="2597">
        <f t="shared" si="1"/>
        <v>3.0142566191446027</v>
      </c>
      <c r="D14" s="2622">
        <v>1254</v>
      </c>
      <c r="E14" s="2597">
        <f t="shared" si="2"/>
        <v>3.261548064918852</v>
      </c>
      <c r="F14" s="2622">
        <v>744</v>
      </c>
      <c r="G14" s="2597">
        <f t="shared" si="3"/>
        <v>2.6727017997629057</v>
      </c>
      <c r="H14" s="2622">
        <v>2668</v>
      </c>
      <c r="I14" s="2597">
        <f t="shared" si="4"/>
        <v>3.7334527441157541</v>
      </c>
      <c r="J14" s="2622">
        <v>1601</v>
      </c>
      <c r="K14" s="2597">
        <f t="shared" si="5"/>
        <v>3.9743812526375892</v>
      </c>
      <c r="L14" s="2622">
        <v>1067</v>
      </c>
      <c r="M14" s="2597">
        <f t="shared" si="6"/>
        <v>3.4221751820135351</v>
      </c>
      <c r="N14" s="2622">
        <v>665</v>
      </c>
      <c r="O14" s="2597">
        <f t="shared" si="7"/>
        <v>4.4345158708989061</v>
      </c>
      <c r="P14" s="2622">
        <v>452</v>
      </c>
      <c r="Q14" s="2597">
        <f t="shared" si="8"/>
        <v>5.5788694149592688</v>
      </c>
      <c r="R14" s="2622">
        <v>213</v>
      </c>
      <c r="S14" s="2597">
        <f t="shared" si="9"/>
        <v>3.0896431679721497</v>
      </c>
      <c r="T14" s="2623">
        <v>43</v>
      </c>
      <c r="U14" s="2597">
        <f t="shared" si="10"/>
        <v>6.0224089635854341</v>
      </c>
      <c r="V14" s="2624">
        <v>34</v>
      </c>
      <c r="W14" s="2597">
        <f t="shared" si="11"/>
        <v>4.9562682215743443</v>
      </c>
      <c r="X14" s="2624">
        <v>9</v>
      </c>
      <c r="Y14" s="2591">
        <f>X14/X$5*100</f>
        <v>32.142857142857146</v>
      </c>
    </row>
    <row r="15" spans="1:25" s="2551" customFormat="1" ht="16.5">
      <c r="A15" s="2621" t="s">
        <v>3799</v>
      </c>
      <c r="B15" s="2622">
        <v>1997</v>
      </c>
      <c r="C15" s="2597">
        <f t="shared" si="1"/>
        <v>3.0127479821980838</v>
      </c>
      <c r="D15" s="2622">
        <v>1302</v>
      </c>
      <c r="E15" s="2597">
        <f t="shared" si="2"/>
        <v>3.3863920099875156</v>
      </c>
      <c r="F15" s="2622">
        <v>695</v>
      </c>
      <c r="G15" s="2597">
        <f t="shared" si="3"/>
        <v>2.4966770844559401</v>
      </c>
      <c r="H15" s="2622">
        <v>2948</v>
      </c>
      <c r="I15" s="2597">
        <f t="shared" si="4"/>
        <v>4.1252693739329995</v>
      </c>
      <c r="J15" s="2622">
        <v>1913</v>
      </c>
      <c r="K15" s="2597">
        <f t="shared" si="5"/>
        <v>4.7489015217337336</v>
      </c>
      <c r="L15" s="2622">
        <v>1035</v>
      </c>
      <c r="M15" s="2597">
        <f t="shared" si="6"/>
        <v>3.3195419994226887</v>
      </c>
      <c r="N15" s="2622">
        <v>470</v>
      </c>
      <c r="O15" s="2597">
        <f t="shared" si="7"/>
        <v>3.134169111763137</v>
      </c>
      <c r="P15" s="2622">
        <v>324</v>
      </c>
      <c r="Q15" s="2597">
        <f t="shared" si="8"/>
        <v>3.999012589484078</v>
      </c>
      <c r="R15" s="2622">
        <v>146</v>
      </c>
      <c r="S15" s="2597">
        <f t="shared" si="9"/>
        <v>2.1177835799245721</v>
      </c>
      <c r="T15" s="2623">
        <v>20</v>
      </c>
      <c r="U15" s="2597">
        <f t="shared" si="10"/>
        <v>2.801120448179272</v>
      </c>
      <c r="V15" s="2624">
        <v>20</v>
      </c>
      <c r="W15" s="2597">
        <f t="shared" si="11"/>
        <v>2.9154518950437316</v>
      </c>
      <c r="X15" s="2624" t="s">
        <v>1</v>
      </c>
      <c r="Y15" s="2591" t="s">
        <v>1</v>
      </c>
    </row>
    <row r="16" spans="1:25" s="2551" customFormat="1" ht="16.5">
      <c r="A16" s="2621" t="s">
        <v>3800</v>
      </c>
      <c r="B16" s="2622">
        <v>663</v>
      </c>
      <c r="C16" s="2597">
        <f t="shared" si="1"/>
        <v>1.0002262955419778</v>
      </c>
      <c r="D16" s="2622">
        <v>26</v>
      </c>
      <c r="E16" s="2597">
        <f t="shared" si="2"/>
        <v>6.7623803578859762E-2</v>
      </c>
      <c r="F16" s="2622">
        <v>637</v>
      </c>
      <c r="G16" s="2597">
        <f t="shared" si="3"/>
        <v>2.2883212989905521</v>
      </c>
      <c r="H16" s="2622">
        <v>238</v>
      </c>
      <c r="I16" s="2597">
        <f t="shared" si="4"/>
        <v>0.33304413534465871</v>
      </c>
      <c r="J16" s="2622">
        <v>10</v>
      </c>
      <c r="K16" s="2597">
        <f t="shared" si="5"/>
        <v>2.4824367599235411E-2</v>
      </c>
      <c r="L16" s="2622">
        <v>228</v>
      </c>
      <c r="M16" s="2597">
        <f t="shared" si="6"/>
        <v>0.73126142595978061</v>
      </c>
      <c r="N16" s="2622">
        <v>21</v>
      </c>
      <c r="O16" s="2597">
        <f t="shared" si="7"/>
        <v>0.14003734329154441</v>
      </c>
      <c r="P16" s="2622">
        <v>1</v>
      </c>
      <c r="Q16" s="2597">
        <f t="shared" si="8"/>
        <v>1.2342631449024932E-2</v>
      </c>
      <c r="R16" s="2622">
        <v>20</v>
      </c>
      <c r="S16" s="2597">
        <f t="shared" si="9"/>
        <v>0.2901073397156948</v>
      </c>
      <c r="T16" s="2623">
        <v>10</v>
      </c>
      <c r="U16" s="2597">
        <f t="shared" si="10"/>
        <v>1.400560224089636</v>
      </c>
      <c r="V16" s="2624">
        <v>4</v>
      </c>
      <c r="W16" s="2597">
        <f t="shared" si="11"/>
        <v>0.58309037900874638</v>
      </c>
      <c r="X16" s="2624">
        <v>6</v>
      </c>
      <c r="Y16" s="2591">
        <f>X16/X$5*100</f>
        <v>21.428571428571427</v>
      </c>
    </row>
    <row r="17" spans="1:25" s="2551" customFormat="1" ht="16.5">
      <c r="A17" s="2621" t="s">
        <v>3801</v>
      </c>
      <c r="B17" s="2622">
        <v>983</v>
      </c>
      <c r="C17" s="2597">
        <f t="shared" si="1"/>
        <v>1.4829901184280003</v>
      </c>
      <c r="D17" s="2625">
        <v>603</v>
      </c>
      <c r="E17" s="2597">
        <f t="shared" si="2"/>
        <v>1.5683520599250937</v>
      </c>
      <c r="F17" s="2625">
        <v>380</v>
      </c>
      <c r="G17" s="2597">
        <f t="shared" si="3"/>
        <v>1.3650896289111614</v>
      </c>
      <c r="H17" s="2622">
        <v>1285</v>
      </c>
      <c r="I17" s="2597">
        <f t="shared" si="4"/>
        <v>1.7981584618398592</v>
      </c>
      <c r="J17" s="2622">
        <v>725</v>
      </c>
      <c r="K17" s="2597">
        <f t="shared" si="5"/>
        <v>1.7997666509445671</v>
      </c>
      <c r="L17" s="2622">
        <v>560</v>
      </c>
      <c r="M17" s="2597">
        <f t="shared" si="6"/>
        <v>1.7960806953398121</v>
      </c>
      <c r="N17" s="2622">
        <v>221</v>
      </c>
      <c r="O17" s="2597">
        <f t="shared" si="7"/>
        <v>1.4737263270205387</v>
      </c>
      <c r="P17" s="2622">
        <v>127</v>
      </c>
      <c r="Q17" s="2597">
        <f t="shared" si="8"/>
        <v>1.5675141940261663</v>
      </c>
      <c r="R17" s="2622">
        <v>94</v>
      </c>
      <c r="S17" s="2597">
        <f t="shared" si="9"/>
        <v>1.3635044966637655</v>
      </c>
      <c r="T17" s="2623">
        <v>22</v>
      </c>
      <c r="U17" s="2597">
        <f t="shared" si="10"/>
        <v>3.081232492997199</v>
      </c>
      <c r="V17" s="2624">
        <v>22</v>
      </c>
      <c r="W17" s="2597">
        <f t="shared" si="11"/>
        <v>3.2069970845481048</v>
      </c>
      <c r="X17" s="2624" t="s">
        <v>1</v>
      </c>
      <c r="Y17" s="2591" t="s">
        <v>1</v>
      </c>
    </row>
    <row r="18" spans="1:25" s="2551" customFormat="1" ht="16.5">
      <c r="A18" s="2621" t="s">
        <v>3802</v>
      </c>
      <c r="B18" s="2622">
        <v>809</v>
      </c>
      <c r="C18" s="2597">
        <f t="shared" si="1"/>
        <v>1.2204872897337256</v>
      </c>
      <c r="D18" s="2622">
        <v>94</v>
      </c>
      <c r="E18" s="2597">
        <f t="shared" si="2"/>
        <v>0.24448605909280066</v>
      </c>
      <c r="F18" s="2622">
        <v>715</v>
      </c>
      <c r="G18" s="2597">
        <f t="shared" si="3"/>
        <v>2.5685239070302117</v>
      </c>
      <c r="H18" s="2622">
        <v>1200</v>
      </c>
      <c r="I18" s="2597">
        <f t="shared" si="4"/>
        <v>1.6792141277881951</v>
      </c>
      <c r="J18" s="2622">
        <v>252</v>
      </c>
      <c r="K18" s="2597">
        <f t="shared" si="5"/>
        <v>0.6255740635007323</v>
      </c>
      <c r="L18" s="2622">
        <v>948</v>
      </c>
      <c r="M18" s="2597">
        <f t="shared" si="6"/>
        <v>3.0405080342538247</v>
      </c>
      <c r="N18" s="2622">
        <v>518</v>
      </c>
      <c r="O18" s="2597">
        <f t="shared" si="7"/>
        <v>3.4542544678580955</v>
      </c>
      <c r="P18" s="2622">
        <v>204</v>
      </c>
      <c r="Q18" s="2597">
        <f t="shared" si="8"/>
        <v>2.5178968156010861</v>
      </c>
      <c r="R18" s="2622">
        <v>314</v>
      </c>
      <c r="S18" s="2597">
        <f t="shared" si="9"/>
        <v>4.5546852335364081</v>
      </c>
      <c r="T18" s="2623">
        <v>20</v>
      </c>
      <c r="U18" s="2597">
        <f t="shared" si="10"/>
        <v>2.801120448179272</v>
      </c>
      <c r="V18" s="2624">
        <v>20</v>
      </c>
      <c r="W18" s="2597">
        <f t="shared" si="11"/>
        <v>2.9154518950437316</v>
      </c>
      <c r="X18" s="2624" t="s">
        <v>1</v>
      </c>
      <c r="Y18" s="2591" t="s">
        <v>1</v>
      </c>
    </row>
    <row r="19" spans="1:25" s="2551" customFormat="1" ht="16.5">
      <c r="A19" s="2621" t="s">
        <v>3974</v>
      </c>
      <c r="B19" s="2622">
        <v>784</v>
      </c>
      <c r="C19" s="2597">
        <f t="shared" si="1"/>
        <v>1.1827713660707551</v>
      </c>
      <c r="D19" s="2622">
        <v>493</v>
      </c>
      <c r="E19" s="2597">
        <f t="shared" si="2"/>
        <v>1.2822513524760717</v>
      </c>
      <c r="F19" s="2622">
        <v>291</v>
      </c>
      <c r="G19" s="2597">
        <f t="shared" si="3"/>
        <v>1.0453712684556524</v>
      </c>
      <c r="H19" s="2622">
        <v>895</v>
      </c>
      <c r="I19" s="2597">
        <f t="shared" si="4"/>
        <v>1.2524138703086956</v>
      </c>
      <c r="J19" s="2622">
        <v>554</v>
      </c>
      <c r="K19" s="2597">
        <f t="shared" si="5"/>
        <v>1.3752699649976416</v>
      </c>
      <c r="L19" s="2622">
        <v>341</v>
      </c>
      <c r="M19" s="2597">
        <f t="shared" si="6"/>
        <v>1.093684851983707</v>
      </c>
      <c r="N19" s="2622">
        <v>193</v>
      </c>
      <c r="O19" s="2597">
        <f t="shared" si="7"/>
        <v>1.2870098692984797</v>
      </c>
      <c r="P19" s="2622">
        <v>112</v>
      </c>
      <c r="Q19" s="2597">
        <f t="shared" si="8"/>
        <v>1.3823747222907923</v>
      </c>
      <c r="R19" s="2622">
        <v>81</v>
      </c>
      <c r="S19" s="2597">
        <f t="shared" si="9"/>
        <v>1.1749347258485638</v>
      </c>
      <c r="T19" s="2627" t="s">
        <v>1</v>
      </c>
      <c r="U19" s="2597" t="s">
        <v>1</v>
      </c>
      <c r="V19" s="2624" t="s">
        <v>1</v>
      </c>
      <c r="W19" s="2597" t="s">
        <v>1</v>
      </c>
      <c r="X19" s="2624" t="s">
        <v>1</v>
      </c>
      <c r="Y19" s="2591" t="s">
        <v>1</v>
      </c>
    </row>
    <row r="20" spans="1:25" s="2551" customFormat="1" ht="16.5">
      <c r="A20" s="2621" t="s">
        <v>2718</v>
      </c>
      <c r="B20" s="2622">
        <v>940</v>
      </c>
      <c r="C20" s="2597">
        <f t="shared" si="1"/>
        <v>1.4181187297276912</v>
      </c>
      <c r="D20" s="2625">
        <v>556</v>
      </c>
      <c r="E20" s="2597">
        <f t="shared" si="2"/>
        <v>1.4461090303786932</v>
      </c>
      <c r="F20" s="2625">
        <v>384</v>
      </c>
      <c r="G20" s="2597">
        <f t="shared" si="3"/>
        <v>1.3794589934260157</v>
      </c>
      <c r="H20" s="2622">
        <v>1025</v>
      </c>
      <c r="I20" s="2597">
        <f t="shared" si="4"/>
        <v>1.4343287341524167</v>
      </c>
      <c r="J20" s="2622">
        <v>606</v>
      </c>
      <c r="K20" s="2597">
        <f t="shared" si="5"/>
        <v>1.5043566765136658</v>
      </c>
      <c r="L20" s="2622">
        <v>419</v>
      </c>
      <c r="M20" s="2597">
        <f t="shared" si="6"/>
        <v>1.3438532345488952</v>
      </c>
      <c r="N20" s="2622">
        <v>16</v>
      </c>
      <c r="O20" s="2597">
        <f t="shared" si="7"/>
        <v>0.10669511869831955</v>
      </c>
      <c r="P20" s="2622">
        <v>16</v>
      </c>
      <c r="Q20" s="2597">
        <f t="shared" si="8"/>
        <v>0.1974821031843989</v>
      </c>
      <c r="R20" s="2622" t="s">
        <v>1</v>
      </c>
      <c r="S20" s="2597" t="s">
        <v>1</v>
      </c>
      <c r="T20" s="2623">
        <v>48</v>
      </c>
      <c r="U20" s="2597">
        <f t="shared" ref="U20:U26" si="12">T20/T$5*100</f>
        <v>6.7226890756302522</v>
      </c>
      <c r="V20" s="2624">
        <v>48</v>
      </c>
      <c r="W20" s="2597">
        <f t="shared" ref="W20:W25" si="13">V20/V$5*100</f>
        <v>6.9970845481049562</v>
      </c>
      <c r="X20" s="2624" t="s">
        <v>1</v>
      </c>
      <c r="Y20" s="2591" t="s">
        <v>1</v>
      </c>
    </row>
    <row r="21" spans="1:25" s="2551" customFormat="1" ht="16.5">
      <c r="A21" s="2621" t="s">
        <v>3804</v>
      </c>
      <c r="B21" s="2622">
        <v>915</v>
      </c>
      <c r="C21" s="2597">
        <f t="shared" si="1"/>
        <v>1.3804028060647204</v>
      </c>
      <c r="D21" s="2622">
        <v>534</v>
      </c>
      <c r="E21" s="2597">
        <f t="shared" si="2"/>
        <v>1.3888888888888888</v>
      </c>
      <c r="F21" s="2622">
        <v>381</v>
      </c>
      <c r="G21" s="2597">
        <f t="shared" si="3"/>
        <v>1.3686819700398751</v>
      </c>
      <c r="H21" s="2622">
        <v>578</v>
      </c>
      <c r="I21" s="2597">
        <f t="shared" si="4"/>
        <v>0.80882147155131401</v>
      </c>
      <c r="J21" s="2622">
        <v>295</v>
      </c>
      <c r="K21" s="2597">
        <f t="shared" si="5"/>
        <v>0.73231884417744453</v>
      </c>
      <c r="L21" s="2622">
        <v>283</v>
      </c>
      <c r="M21" s="2597">
        <f t="shared" si="6"/>
        <v>0.90766220853779789</v>
      </c>
      <c r="N21" s="2622">
        <v>32</v>
      </c>
      <c r="O21" s="2597">
        <f t="shared" si="7"/>
        <v>0.21339023739663909</v>
      </c>
      <c r="P21" s="2622">
        <v>21</v>
      </c>
      <c r="Q21" s="2597">
        <f t="shared" si="8"/>
        <v>0.25919526042952357</v>
      </c>
      <c r="R21" s="2622">
        <v>11</v>
      </c>
      <c r="S21" s="2597">
        <f t="shared" ref="S21:S29" si="14">R21/R$5*100</f>
        <v>0.15955903684363215</v>
      </c>
      <c r="T21" s="2623">
        <v>3</v>
      </c>
      <c r="U21" s="2597">
        <f t="shared" si="12"/>
        <v>0.42016806722689076</v>
      </c>
      <c r="V21" s="2624">
        <v>3</v>
      </c>
      <c r="W21" s="2597">
        <f t="shared" si="13"/>
        <v>0.43731778425655976</v>
      </c>
      <c r="X21" s="2624" t="s">
        <v>1</v>
      </c>
      <c r="Y21" s="2591" t="s">
        <v>1</v>
      </c>
    </row>
    <row r="22" spans="1:25" s="2551" customFormat="1" ht="16.5">
      <c r="A22" s="2621" t="s">
        <v>3805</v>
      </c>
      <c r="B22" s="2622">
        <v>949</v>
      </c>
      <c r="C22" s="2597">
        <f t="shared" si="1"/>
        <v>1.4316964622463604</v>
      </c>
      <c r="D22" s="2622">
        <v>833</v>
      </c>
      <c r="E22" s="2597">
        <f t="shared" si="2"/>
        <v>2.1665626300457759</v>
      </c>
      <c r="F22" s="2622">
        <v>116</v>
      </c>
      <c r="G22" s="2597">
        <f t="shared" si="3"/>
        <v>0.41671157093077554</v>
      </c>
      <c r="H22" s="2622">
        <v>360</v>
      </c>
      <c r="I22" s="2597">
        <f t="shared" si="4"/>
        <v>0.50376423833645845</v>
      </c>
      <c r="J22" s="2622">
        <v>336</v>
      </c>
      <c r="K22" s="2597">
        <f t="shared" si="5"/>
        <v>0.83409875133430988</v>
      </c>
      <c r="L22" s="2622">
        <v>24</v>
      </c>
      <c r="M22" s="2597">
        <f t="shared" si="6"/>
        <v>7.6974886943134799E-2</v>
      </c>
      <c r="N22" s="2622">
        <v>13</v>
      </c>
      <c r="O22" s="2597">
        <f t="shared" si="7"/>
        <v>8.6689783942384635E-2</v>
      </c>
      <c r="P22" s="2622">
        <v>10</v>
      </c>
      <c r="Q22" s="2597">
        <f t="shared" si="8"/>
        <v>0.12342631449024932</v>
      </c>
      <c r="R22" s="2622">
        <v>3</v>
      </c>
      <c r="S22" s="2597">
        <f t="shared" si="14"/>
        <v>4.3516100957354219E-2</v>
      </c>
      <c r="T22" s="2623">
        <v>45</v>
      </c>
      <c r="U22" s="2597">
        <f t="shared" si="12"/>
        <v>6.3025210084033612</v>
      </c>
      <c r="V22" s="2624">
        <v>45</v>
      </c>
      <c r="W22" s="2597">
        <f t="shared" si="13"/>
        <v>6.5597667638483959</v>
      </c>
      <c r="X22" s="2624" t="s">
        <v>1</v>
      </c>
      <c r="Y22" s="2591" t="s">
        <v>1</v>
      </c>
    </row>
    <row r="23" spans="1:25" s="2551" customFormat="1" ht="16.5">
      <c r="A23" s="2621" t="s">
        <v>2712</v>
      </c>
      <c r="B23" s="2622">
        <v>726</v>
      </c>
      <c r="C23" s="2597">
        <f t="shared" si="1"/>
        <v>1.0952704231726635</v>
      </c>
      <c r="D23" s="2622">
        <v>595</v>
      </c>
      <c r="E23" s="2597">
        <f t="shared" si="2"/>
        <v>1.5475447357469829</v>
      </c>
      <c r="F23" s="2622">
        <v>131</v>
      </c>
      <c r="G23" s="2597">
        <f t="shared" si="3"/>
        <v>0.47059668786147935</v>
      </c>
      <c r="H23" s="2622">
        <v>630</v>
      </c>
      <c r="I23" s="2597">
        <f t="shared" si="4"/>
        <v>0.88158741708880239</v>
      </c>
      <c r="J23" s="2622">
        <v>542</v>
      </c>
      <c r="K23" s="2597">
        <f t="shared" si="5"/>
        <v>1.3454807238785591</v>
      </c>
      <c r="L23" s="2622">
        <v>88</v>
      </c>
      <c r="M23" s="2597">
        <f t="shared" si="6"/>
        <v>0.28224125212482759</v>
      </c>
      <c r="N23" s="2622">
        <v>17</v>
      </c>
      <c r="O23" s="2597">
        <f t="shared" si="7"/>
        <v>0.11336356361696452</v>
      </c>
      <c r="P23" s="2622">
        <v>14</v>
      </c>
      <c r="Q23" s="2597">
        <f t="shared" si="8"/>
        <v>0.17279684028634903</v>
      </c>
      <c r="R23" s="2622">
        <v>3</v>
      </c>
      <c r="S23" s="2597">
        <f t="shared" si="14"/>
        <v>4.3516100957354219E-2</v>
      </c>
      <c r="T23" s="2623">
        <v>178</v>
      </c>
      <c r="U23" s="2597">
        <f t="shared" si="12"/>
        <v>24.929971988795518</v>
      </c>
      <c r="V23" s="2624">
        <v>178</v>
      </c>
      <c r="W23" s="2597">
        <f t="shared" si="13"/>
        <v>25.947521865889211</v>
      </c>
      <c r="X23" s="2624" t="s">
        <v>1</v>
      </c>
      <c r="Y23" s="2591" t="s">
        <v>1</v>
      </c>
    </row>
    <row r="24" spans="1:25" s="2551" customFormat="1" ht="16.5">
      <c r="A24" s="2621" t="s">
        <v>3806</v>
      </c>
      <c r="B24" s="2622">
        <v>455</v>
      </c>
      <c r="C24" s="2597">
        <f t="shared" si="1"/>
        <v>0.68642981066606323</v>
      </c>
      <c r="D24" s="2622">
        <v>352</v>
      </c>
      <c r="E24" s="2597">
        <f t="shared" si="2"/>
        <v>0.91552226383687063</v>
      </c>
      <c r="F24" s="2622">
        <v>103</v>
      </c>
      <c r="G24" s="2597">
        <f t="shared" si="3"/>
        <v>0.37001113625749904</v>
      </c>
      <c r="H24" s="2622">
        <v>858</v>
      </c>
      <c r="I24" s="2597">
        <f t="shared" si="4"/>
        <v>1.2006381013685594</v>
      </c>
      <c r="J24" s="2622">
        <v>675</v>
      </c>
      <c r="K24" s="2597">
        <f t="shared" si="5"/>
        <v>1.6756448129483903</v>
      </c>
      <c r="L24" s="2622">
        <v>183</v>
      </c>
      <c r="M24" s="2597">
        <f t="shared" si="6"/>
        <v>0.58693351294140284</v>
      </c>
      <c r="N24" s="2622">
        <v>123</v>
      </c>
      <c r="O24" s="2597">
        <f t="shared" si="7"/>
        <v>0.82021872499333148</v>
      </c>
      <c r="P24" s="2622">
        <v>107</v>
      </c>
      <c r="Q24" s="2597">
        <f t="shared" si="8"/>
        <v>1.3206615650456677</v>
      </c>
      <c r="R24" s="2622">
        <v>16</v>
      </c>
      <c r="S24" s="2597">
        <f t="shared" si="14"/>
        <v>0.23208587177255585</v>
      </c>
      <c r="T24" s="2623">
        <v>1</v>
      </c>
      <c r="U24" s="2597">
        <f t="shared" si="12"/>
        <v>0.14005602240896359</v>
      </c>
      <c r="V24" s="2624">
        <v>1</v>
      </c>
      <c r="W24" s="2597">
        <f t="shared" si="13"/>
        <v>0.1457725947521866</v>
      </c>
      <c r="X24" s="2624" t="s">
        <v>1</v>
      </c>
      <c r="Y24" s="2591" t="s">
        <v>1</v>
      </c>
    </row>
    <row r="25" spans="1:25" s="2551" customFormat="1" ht="16.5">
      <c r="A25" s="2621" t="s">
        <v>3807</v>
      </c>
      <c r="B25" s="2622">
        <v>470</v>
      </c>
      <c r="C25" s="2597">
        <f t="shared" si="1"/>
        <v>0.70905936486384558</v>
      </c>
      <c r="D25" s="2622">
        <v>257</v>
      </c>
      <c r="E25" s="2597">
        <f t="shared" si="2"/>
        <v>0.66843528922180606</v>
      </c>
      <c r="F25" s="2622">
        <v>213</v>
      </c>
      <c r="G25" s="2597">
        <f t="shared" si="3"/>
        <v>0.76516866041599307</v>
      </c>
      <c r="H25" s="2622">
        <v>577</v>
      </c>
      <c r="I25" s="2597">
        <f t="shared" si="4"/>
        <v>0.80742212644482392</v>
      </c>
      <c r="J25" s="2622">
        <v>363</v>
      </c>
      <c r="K25" s="2597">
        <f t="shared" si="5"/>
        <v>0.90112454385224539</v>
      </c>
      <c r="L25" s="2622">
        <v>214</v>
      </c>
      <c r="M25" s="2597">
        <f t="shared" si="6"/>
        <v>0.6863594085762853</v>
      </c>
      <c r="N25" s="2622">
        <v>103</v>
      </c>
      <c r="O25" s="2597">
        <f t="shared" si="7"/>
        <v>0.68684982662043215</v>
      </c>
      <c r="P25" s="2622">
        <v>53</v>
      </c>
      <c r="Q25" s="2597">
        <f t="shared" si="8"/>
        <v>0.65415946679832138</v>
      </c>
      <c r="R25" s="2622">
        <v>50</v>
      </c>
      <c r="S25" s="2597">
        <f t="shared" si="14"/>
        <v>0.725268349289237</v>
      </c>
      <c r="T25" s="2623">
        <v>7</v>
      </c>
      <c r="U25" s="2597">
        <f t="shared" si="12"/>
        <v>0.98039215686274506</v>
      </c>
      <c r="V25" s="2624">
        <v>6</v>
      </c>
      <c r="W25" s="2597">
        <f t="shared" si="13"/>
        <v>0.87463556851311952</v>
      </c>
      <c r="X25" s="2624">
        <v>1</v>
      </c>
      <c r="Y25" s="2591">
        <f>X25/X$5*100</f>
        <v>3.5714285714285712</v>
      </c>
    </row>
    <row r="26" spans="1:25" s="2551" customFormat="1" ht="16.5">
      <c r="A26" s="2621" t="s">
        <v>3808</v>
      </c>
      <c r="B26" s="2622">
        <v>464</v>
      </c>
      <c r="C26" s="2597">
        <f t="shared" si="1"/>
        <v>0.70000754318473257</v>
      </c>
      <c r="D26" s="2622">
        <v>306</v>
      </c>
      <c r="E26" s="2597">
        <f t="shared" si="2"/>
        <v>0.79588014981273414</v>
      </c>
      <c r="F26" s="2622">
        <v>158</v>
      </c>
      <c r="G26" s="2597">
        <f t="shared" si="3"/>
        <v>0.56758989833674611</v>
      </c>
      <c r="H26" s="2622">
        <v>470</v>
      </c>
      <c r="I26" s="2597">
        <f t="shared" si="4"/>
        <v>0.65769220005037643</v>
      </c>
      <c r="J26" s="2622">
        <v>270</v>
      </c>
      <c r="K26" s="2597">
        <f t="shared" si="5"/>
        <v>0.67025792517935601</v>
      </c>
      <c r="L26" s="2622">
        <v>200</v>
      </c>
      <c r="M26" s="2597">
        <f t="shared" si="6"/>
        <v>0.64145739119278999</v>
      </c>
      <c r="N26" s="2622">
        <v>36</v>
      </c>
      <c r="O26" s="2597">
        <f t="shared" si="7"/>
        <v>0.24006401707121899</v>
      </c>
      <c r="P26" s="2622">
        <v>24</v>
      </c>
      <c r="Q26" s="2597">
        <f t="shared" si="8"/>
        <v>0.29622315477659839</v>
      </c>
      <c r="R26" s="2622">
        <v>12</v>
      </c>
      <c r="S26" s="2597">
        <f t="shared" si="14"/>
        <v>0.17406440382941687</v>
      </c>
      <c r="T26" s="2623">
        <v>1</v>
      </c>
      <c r="U26" s="2597">
        <f t="shared" si="12"/>
        <v>0.14005602240896359</v>
      </c>
      <c r="V26" s="2624" t="s">
        <v>1</v>
      </c>
      <c r="W26" s="2597" t="s">
        <v>1</v>
      </c>
      <c r="X26" s="2624">
        <v>1</v>
      </c>
      <c r="Y26" s="2591">
        <f>X26/X$5*100</f>
        <v>3.5714285714285712</v>
      </c>
    </row>
    <row r="27" spans="1:25" s="2551" customFormat="1" ht="16.5">
      <c r="A27" s="2621" t="s">
        <v>3809</v>
      </c>
      <c r="B27" s="2622">
        <v>277</v>
      </c>
      <c r="C27" s="2597">
        <f t="shared" si="1"/>
        <v>0.41789243418571315</v>
      </c>
      <c r="D27" s="2622">
        <v>183</v>
      </c>
      <c r="E27" s="2597">
        <f t="shared" si="2"/>
        <v>0.4759675405742822</v>
      </c>
      <c r="F27" s="2622">
        <v>94</v>
      </c>
      <c r="G27" s="2597">
        <f t="shared" si="3"/>
        <v>0.3376800660990768</v>
      </c>
      <c r="H27" s="2622">
        <v>484</v>
      </c>
      <c r="I27" s="2597">
        <f t="shared" si="4"/>
        <v>0.6772830315412387</v>
      </c>
      <c r="J27" s="2622">
        <v>359</v>
      </c>
      <c r="K27" s="2597">
        <f t="shared" si="5"/>
        <v>0.8911947968125512</v>
      </c>
      <c r="L27" s="2622">
        <v>125</v>
      </c>
      <c r="M27" s="2597">
        <f t="shared" si="6"/>
        <v>0.4009108694954937</v>
      </c>
      <c r="N27" s="2622">
        <v>45</v>
      </c>
      <c r="O27" s="2597">
        <f t="shared" si="7"/>
        <v>0.30008002133902373</v>
      </c>
      <c r="P27" s="2622">
        <v>36</v>
      </c>
      <c r="Q27" s="2597">
        <f t="shared" si="8"/>
        <v>0.44433473216489761</v>
      </c>
      <c r="R27" s="2622">
        <v>9</v>
      </c>
      <c r="S27" s="2597">
        <f t="shared" si="14"/>
        <v>0.13054830287206268</v>
      </c>
      <c r="T27" s="2623" t="s">
        <v>1</v>
      </c>
      <c r="U27" s="2597" t="s">
        <v>1</v>
      </c>
      <c r="V27" s="2624" t="s">
        <v>1</v>
      </c>
      <c r="W27" s="2597" t="s">
        <v>1</v>
      </c>
      <c r="X27" s="2624" t="s">
        <v>1</v>
      </c>
      <c r="Y27" s="2591" t="s">
        <v>1</v>
      </c>
    </row>
    <row r="28" spans="1:25" s="2551" customFormat="1" ht="16.5">
      <c r="A28" s="2621" t="s">
        <v>3810</v>
      </c>
      <c r="B28" s="2622">
        <v>314</v>
      </c>
      <c r="C28" s="2597">
        <f t="shared" si="1"/>
        <v>0.47371200120690959</v>
      </c>
      <c r="D28" s="2622">
        <v>178</v>
      </c>
      <c r="E28" s="2597">
        <f t="shared" si="2"/>
        <v>0.46296296296296291</v>
      </c>
      <c r="F28" s="2622">
        <v>136</v>
      </c>
      <c r="G28" s="2597">
        <f t="shared" si="3"/>
        <v>0.48855839350504726</v>
      </c>
      <c r="H28" s="2622">
        <v>335</v>
      </c>
      <c r="I28" s="2597">
        <f t="shared" si="4"/>
        <v>0.46878061067420451</v>
      </c>
      <c r="J28" s="2622">
        <v>198</v>
      </c>
      <c r="K28" s="2597">
        <f t="shared" si="5"/>
        <v>0.49152247846486108</v>
      </c>
      <c r="L28" s="2622">
        <v>137</v>
      </c>
      <c r="M28" s="2597">
        <f t="shared" si="6"/>
        <v>0.43939831296706117</v>
      </c>
      <c r="N28" s="2622">
        <v>64</v>
      </c>
      <c r="O28" s="2597">
        <f t="shared" si="7"/>
        <v>0.42678047479327819</v>
      </c>
      <c r="P28" s="2622">
        <v>22</v>
      </c>
      <c r="Q28" s="2597">
        <f t="shared" si="8"/>
        <v>0.27153789187854854</v>
      </c>
      <c r="R28" s="2622">
        <v>42</v>
      </c>
      <c r="S28" s="2597">
        <f t="shared" si="14"/>
        <v>0.6092254134029591</v>
      </c>
      <c r="T28" s="2623">
        <v>1</v>
      </c>
      <c r="U28" s="2597">
        <f>T28/T$5*100</f>
        <v>0.14005602240896359</v>
      </c>
      <c r="V28" s="2624">
        <v>1</v>
      </c>
      <c r="W28" s="2597">
        <f>V28/V$5*100</f>
        <v>0.1457725947521866</v>
      </c>
      <c r="X28" s="2624" t="s">
        <v>1</v>
      </c>
      <c r="Y28" s="2591" t="s">
        <v>1</v>
      </c>
    </row>
    <row r="29" spans="1:25" s="2551" customFormat="1" ht="16.5">
      <c r="A29" s="2621" t="s">
        <v>3811</v>
      </c>
      <c r="B29" s="2622">
        <v>372</v>
      </c>
      <c r="C29" s="2597">
        <f t="shared" si="1"/>
        <v>0.56121294410500111</v>
      </c>
      <c r="D29" s="2622">
        <v>70</v>
      </c>
      <c r="E29" s="2597">
        <f t="shared" si="2"/>
        <v>0.18206408655846859</v>
      </c>
      <c r="F29" s="2622">
        <v>302</v>
      </c>
      <c r="G29" s="2597">
        <f t="shared" si="3"/>
        <v>1.084887020871502</v>
      </c>
      <c r="H29" s="2622">
        <v>205</v>
      </c>
      <c r="I29" s="2597">
        <f t="shared" si="4"/>
        <v>0.28686574683048333</v>
      </c>
      <c r="J29" s="2622">
        <v>80</v>
      </c>
      <c r="K29" s="2597">
        <f t="shared" si="5"/>
        <v>0.19859494079388329</v>
      </c>
      <c r="L29" s="2622">
        <v>125</v>
      </c>
      <c r="M29" s="2597">
        <f t="shared" si="6"/>
        <v>0.4009108694954937</v>
      </c>
      <c r="N29" s="2622">
        <v>18</v>
      </c>
      <c r="O29" s="2597">
        <f t="shared" si="7"/>
        <v>0.1200320085356095</v>
      </c>
      <c r="P29" s="2622">
        <v>7</v>
      </c>
      <c r="Q29" s="2597">
        <f t="shared" si="8"/>
        <v>8.6398420143174517E-2</v>
      </c>
      <c r="R29" s="2622">
        <v>11</v>
      </c>
      <c r="S29" s="2597">
        <f t="shared" si="14"/>
        <v>0.15955903684363215</v>
      </c>
      <c r="T29" s="2623" t="s">
        <v>1</v>
      </c>
      <c r="U29" s="2597" t="s">
        <v>1</v>
      </c>
      <c r="V29" s="2624" t="s">
        <v>1</v>
      </c>
      <c r="W29" s="2597" t="s">
        <v>1</v>
      </c>
      <c r="X29" s="2624" t="s">
        <v>1</v>
      </c>
      <c r="Y29" s="2591" t="s">
        <v>1</v>
      </c>
    </row>
    <row r="30" spans="1:25" s="2551" customFormat="1" ht="16.5">
      <c r="A30" s="2621" t="s">
        <v>3812</v>
      </c>
      <c r="B30" s="2622">
        <v>10</v>
      </c>
      <c r="C30" s="2597">
        <f t="shared" si="1"/>
        <v>1.5086369465188203E-2</v>
      </c>
      <c r="D30" s="2622">
        <v>1</v>
      </c>
      <c r="E30" s="2597">
        <f t="shared" si="2"/>
        <v>2.6009155222638369E-3</v>
      </c>
      <c r="F30" s="2622">
        <v>9</v>
      </c>
      <c r="G30" s="2597">
        <f t="shared" si="3"/>
        <v>3.2331070158422244E-2</v>
      </c>
      <c r="H30" s="2622">
        <v>5</v>
      </c>
      <c r="I30" s="2597">
        <f t="shared" si="4"/>
        <v>6.9967255324508131E-3</v>
      </c>
      <c r="J30" s="2622">
        <v>1</v>
      </c>
      <c r="K30" s="2597">
        <f t="shared" si="5"/>
        <v>2.482436759923541E-3</v>
      </c>
      <c r="L30" s="2622">
        <v>4</v>
      </c>
      <c r="M30" s="2597">
        <f t="shared" si="6"/>
        <v>1.2829147823855802E-2</v>
      </c>
      <c r="N30" s="2622" t="s">
        <v>1</v>
      </c>
      <c r="O30" s="2597" t="s">
        <v>1</v>
      </c>
      <c r="P30" s="2622" t="s">
        <v>1</v>
      </c>
      <c r="Q30" s="2597" t="s">
        <v>1</v>
      </c>
      <c r="R30" s="2622" t="s">
        <v>1</v>
      </c>
      <c r="S30" s="2597" t="s">
        <v>1</v>
      </c>
      <c r="T30" s="2623">
        <v>6</v>
      </c>
      <c r="U30" s="2597">
        <f t="shared" ref="U30:U37" si="15">T30/T$5*100</f>
        <v>0.84033613445378152</v>
      </c>
      <c r="V30" s="2624">
        <v>4</v>
      </c>
      <c r="W30" s="2597">
        <f>V30/V$5*100</f>
        <v>0.58309037900874638</v>
      </c>
      <c r="X30" s="2624">
        <v>2</v>
      </c>
      <c r="Y30" s="2591">
        <f>X30/X$5*100</f>
        <v>7.1428571428571423</v>
      </c>
    </row>
    <row r="31" spans="1:25" s="2551" customFormat="1" ht="16.5">
      <c r="A31" s="2621" t="s">
        <v>3813</v>
      </c>
      <c r="B31" s="2622">
        <v>285</v>
      </c>
      <c r="C31" s="2597">
        <f t="shared" si="1"/>
        <v>0.42996152975786378</v>
      </c>
      <c r="D31" s="2622">
        <v>10</v>
      </c>
      <c r="E31" s="2597">
        <f t="shared" si="2"/>
        <v>2.6009155222638372E-2</v>
      </c>
      <c r="F31" s="2622">
        <v>275</v>
      </c>
      <c r="G31" s="2597">
        <f t="shared" si="3"/>
        <v>0.98789381039623525</v>
      </c>
      <c r="H31" s="2622">
        <v>117</v>
      </c>
      <c r="I31" s="2597">
        <f t="shared" si="4"/>
        <v>0.16372337745934903</v>
      </c>
      <c r="J31" s="2622">
        <v>11</v>
      </c>
      <c r="K31" s="2597">
        <f t="shared" si="5"/>
        <v>2.730680435915895E-2</v>
      </c>
      <c r="L31" s="2622">
        <v>106</v>
      </c>
      <c r="M31" s="2597">
        <f t="shared" si="6"/>
        <v>0.33997241733217876</v>
      </c>
      <c r="N31" s="2622">
        <v>3</v>
      </c>
      <c r="O31" s="2597">
        <f t="shared" ref="O31:O41" si="16">N31/N$5*100</f>
        <v>2.0005334755934918E-2</v>
      </c>
      <c r="P31" s="2622">
        <v>1</v>
      </c>
      <c r="Q31" s="2597">
        <f t="shared" ref="Q31:Q40" si="17">P31/P$5*100</f>
        <v>1.2342631449024932E-2</v>
      </c>
      <c r="R31" s="2622">
        <v>2</v>
      </c>
      <c r="S31" s="2597">
        <f t="shared" ref="S31:S41" si="18">R31/R$5*100</f>
        <v>2.9010733971569481E-2</v>
      </c>
      <c r="T31" s="2623">
        <v>3</v>
      </c>
      <c r="U31" s="2597">
        <f t="shared" si="15"/>
        <v>0.42016806722689076</v>
      </c>
      <c r="V31" s="2624">
        <v>2</v>
      </c>
      <c r="W31" s="2597">
        <f>V31/V$5*100</f>
        <v>0.29154518950437319</v>
      </c>
      <c r="X31" s="2624">
        <v>1</v>
      </c>
      <c r="Y31" s="2591">
        <f>X31/X$5*100</f>
        <v>3.5714285714285712</v>
      </c>
    </row>
    <row r="32" spans="1:25" s="2551" customFormat="1" ht="16.5" customHeight="1">
      <c r="A32" s="2621" t="s">
        <v>3814</v>
      </c>
      <c r="B32" s="2622">
        <v>289</v>
      </c>
      <c r="C32" s="2597">
        <f t="shared" si="1"/>
        <v>0.43599607754393904</v>
      </c>
      <c r="D32" s="2622">
        <v>136</v>
      </c>
      <c r="E32" s="2597">
        <f t="shared" si="2"/>
        <v>0.35372451102788183</v>
      </c>
      <c r="F32" s="2622">
        <v>153</v>
      </c>
      <c r="G32" s="2597">
        <f t="shared" si="3"/>
        <v>0.5496281926931782</v>
      </c>
      <c r="H32" s="2622">
        <v>282</v>
      </c>
      <c r="I32" s="2597">
        <f t="shared" si="4"/>
        <v>0.39461532003022581</v>
      </c>
      <c r="J32" s="2622">
        <v>144</v>
      </c>
      <c r="K32" s="2597">
        <f t="shared" si="5"/>
        <v>0.35747089342898991</v>
      </c>
      <c r="L32" s="2622">
        <v>138</v>
      </c>
      <c r="M32" s="2597">
        <f t="shared" si="6"/>
        <v>0.44260559992302512</v>
      </c>
      <c r="N32" s="2622">
        <v>7</v>
      </c>
      <c r="O32" s="2597">
        <f t="shared" si="16"/>
        <v>4.6679114430514805E-2</v>
      </c>
      <c r="P32" s="2622">
        <v>4</v>
      </c>
      <c r="Q32" s="2597">
        <f t="shared" si="17"/>
        <v>4.9370525796099726E-2</v>
      </c>
      <c r="R32" s="2622">
        <v>3</v>
      </c>
      <c r="S32" s="2597">
        <f t="shared" si="18"/>
        <v>4.3516100957354219E-2</v>
      </c>
      <c r="T32" s="2623">
        <v>1</v>
      </c>
      <c r="U32" s="2597">
        <f t="shared" si="15"/>
        <v>0.14005602240896359</v>
      </c>
      <c r="V32" s="2622" t="s">
        <v>1</v>
      </c>
      <c r="W32" s="2597" t="s">
        <v>1</v>
      </c>
      <c r="X32" s="2622">
        <v>1</v>
      </c>
      <c r="Y32" s="2591">
        <f>X32/X$5*100</f>
        <v>3.5714285714285712</v>
      </c>
    </row>
    <row r="33" spans="1:25" s="2551" customFormat="1" ht="15.75" customHeight="1">
      <c r="A33" s="2621" t="s">
        <v>3815</v>
      </c>
      <c r="B33" s="2628">
        <v>124</v>
      </c>
      <c r="C33" s="2597">
        <f t="shared" si="1"/>
        <v>0.18707098136833372</v>
      </c>
      <c r="D33" s="2628">
        <v>88</v>
      </c>
      <c r="E33" s="2597">
        <f t="shared" si="2"/>
        <v>0.22888056595921766</v>
      </c>
      <c r="F33" s="2622">
        <v>36</v>
      </c>
      <c r="G33" s="2597">
        <f t="shared" si="3"/>
        <v>0.12932428063368898</v>
      </c>
      <c r="H33" s="2622">
        <v>361</v>
      </c>
      <c r="I33" s="2597">
        <f t="shared" si="4"/>
        <v>0.50516358344294865</v>
      </c>
      <c r="J33" s="2622">
        <v>246</v>
      </c>
      <c r="K33" s="2597">
        <f t="shared" si="5"/>
        <v>0.61067944294119114</v>
      </c>
      <c r="L33" s="2622">
        <v>115</v>
      </c>
      <c r="M33" s="2597">
        <f t="shared" si="6"/>
        <v>0.36883799993585425</v>
      </c>
      <c r="N33" s="2622">
        <v>92</v>
      </c>
      <c r="O33" s="2597">
        <f t="shared" si="16"/>
        <v>0.61349693251533743</v>
      </c>
      <c r="P33" s="2622">
        <v>67</v>
      </c>
      <c r="Q33" s="2597">
        <f t="shared" si="17"/>
        <v>0.82695630708467038</v>
      </c>
      <c r="R33" s="2622">
        <v>25</v>
      </c>
      <c r="S33" s="2597">
        <f t="shared" si="18"/>
        <v>0.3626341746446185</v>
      </c>
      <c r="T33" s="2623">
        <v>16</v>
      </c>
      <c r="U33" s="2597">
        <f t="shared" si="15"/>
        <v>2.2408963585434174</v>
      </c>
      <c r="V33" s="2622">
        <v>15</v>
      </c>
      <c r="W33" s="2597">
        <f>V33/V$5*100</f>
        <v>2.1865889212827989</v>
      </c>
      <c r="X33" s="2622">
        <v>1</v>
      </c>
      <c r="Y33" s="2591">
        <f>X33/X$5*100</f>
        <v>3.5714285714285712</v>
      </c>
    </row>
    <row r="34" spans="1:25" s="2551" customFormat="1" ht="16.5">
      <c r="A34" s="2621" t="s">
        <v>3816</v>
      </c>
      <c r="B34" s="2628">
        <v>231</v>
      </c>
      <c r="C34" s="2597">
        <f t="shared" si="1"/>
        <v>0.34849513464584747</v>
      </c>
      <c r="D34" s="2628">
        <v>102</v>
      </c>
      <c r="E34" s="2597">
        <f t="shared" si="2"/>
        <v>0.26529338327091134</v>
      </c>
      <c r="F34" s="2622">
        <v>129</v>
      </c>
      <c r="G34" s="2597">
        <f t="shared" si="3"/>
        <v>0.46341200560405216</v>
      </c>
      <c r="H34" s="2622">
        <v>129</v>
      </c>
      <c r="I34" s="2597">
        <f t="shared" si="4"/>
        <v>0.18051551873723098</v>
      </c>
      <c r="J34" s="2622">
        <v>51</v>
      </c>
      <c r="K34" s="2597">
        <f t="shared" si="5"/>
        <v>0.12660427475610059</v>
      </c>
      <c r="L34" s="2622">
        <v>78</v>
      </c>
      <c r="M34" s="2597">
        <f t="shared" si="6"/>
        <v>0.25016838256518814</v>
      </c>
      <c r="N34" s="2624">
        <v>47</v>
      </c>
      <c r="O34" s="2597">
        <f t="shared" si="16"/>
        <v>0.31341691117631371</v>
      </c>
      <c r="P34" s="2622">
        <v>19</v>
      </c>
      <c r="Q34" s="2597">
        <f t="shared" si="17"/>
        <v>0.23450999753147372</v>
      </c>
      <c r="R34" s="2622">
        <v>28</v>
      </c>
      <c r="S34" s="2597">
        <f t="shared" si="18"/>
        <v>0.40615027560197275</v>
      </c>
      <c r="T34" s="2623">
        <v>1</v>
      </c>
      <c r="U34" s="2597">
        <f t="shared" si="15"/>
        <v>0.14005602240896359</v>
      </c>
      <c r="V34" s="2622">
        <v>1</v>
      </c>
      <c r="W34" s="2597">
        <f>V34/V$5*100</f>
        <v>0.1457725947521866</v>
      </c>
      <c r="X34" s="2622" t="s">
        <v>1</v>
      </c>
      <c r="Y34" s="2591" t="s">
        <v>1</v>
      </c>
    </row>
    <row r="35" spans="1:25" s="2551" customFormat="1" ht="16.5">
      <c r="A35" s="2621" t="s">
        <v>3817</v>
      </c>
      <c r="B35" s="2622">
        <v>133</v>
      </c>
      <c r="C35" s="2597">
        <f t="shared" si="1"/>
        <v>0.20064871388700309</v>
      </c>
      <c r="D35" s="2622">
        <v>111</v>
      </c>
      <c r="E35" s="2597">
        <f t="shared" si="2"/>
        <v>0.28870162297128588</v>
      </c>
      <c r="F35" s="2622">
        <v>22</v>
      </c>
      <c r="G35" s="2597">
        <f t="shared" si="3"/>
        <v>7.9031504831698823E-2</v>
      </c>
      <c r="H35" s="2622">
        <v>144</v>
      </c>
      <c r="I35" s="2597">
        <f t="shared" si="4"/>
        <v>0.2015056953345834</v>
      </c>
      <c r="J35" s="2622">
        <v>114</v>
      </c>
      <c r="K35" s="2597">
        <f t="shared" si="5"/>
        <v>0.28299779063128366</v>
      </c>
      <c r="L35" s="2622">
        <v>30</v>
      </c>
      <c r="M35" s="2597">
        <f t="shared" si="6"/>
        <v>9.6218608678918502E-2</v>
      </c>
      <c r="N35" s="2624">
        <v>33</v>
      </c>
      <c r="O35" s="2597">
        <f t="shared" si="16"/>
        <v>0.22005868231528405</v>
      </c>
      <c r="P35" s="2622">
        <v>17</v>
      </c>
      <c r="Q35" s="2597">
        <f t="shared" si="17"/>
        <v>0.20982473463342383</v>
      </c>
      <c r="R35" s="2622">
        <v>16</v>
      </c>
      <c r="S35" s="2597">
        <f t="shared" si="18"/>
        <v>0.23208587177255585</v>
      </c>
      <c r="T35" s="2623">
        <v>1</v>
      </c>
      <c r="U35" s="2597">
        <f t="shared" si="15"/>
        <v>0.14005602240896359</v>
      </c>
      <c r="V35" s="2622">
        <v>1</v>
      </c>
      <c r="W35" s="2597">
        <f>V35/V$5*100</f>
        <v>0.1457725947521866</v>
      </c>
      <c r="X35" s="2622" t="s">
        <v>1</v>
      </c>
      <c r="Y35" s="2591" t="s">
        <v>1</v>
      </c>
    </row>
    <row r="36" spans="1:25" s="2551" customFormat="1" ht="16.5">
      <c r="A36" s="2621" t="s">
        <v>3818</v>
      </c>
      <c r="B36" s="2622">
        <v>104</v>
      </c>
      <c r="C36" s="2597">
        <f t="shared" si="1"/>
        <v>0.1568982424379573</v>
      </c>
      <c r="D36" s="2622">
        <v>73</v>
      </c>
      <c r="E36" s="2597">
        <f t="shared" si="2"/>
        <v>0.18986683312526009</v>
      </c>
      <c r="F36" s="2622">
        <v>31</v>
      </c>
      <c r="G36" s="2597">
        <f t="shared" si="3"/>
        <v>0.11136257499012106</v>
      </c>
      <c r="H36" s="2622">
        <v>220</v>
      </c>
      <c r="I36" s="2597">
        <f t="shared" si="4"/>
        <v>0.3078559234278358</v>
      </c>
      <c r="J36" s="2622">
        <v>156</v>
      </c>
      <c r="K36" s="2597">
        <f t="shared" si="5"/>
        <v>0.3872601345480724</v>
      </c>
      <c r="L36" s="2622">
        <v>64</v>
      </c>
      <c r="M36" s="2597">
        <f t="shared" si="6"/>
        <v>0.20526636518169283</v>
      </c>
      <c r="N36" s="2624">
        <v>31</v>
      </c>
      <c r="O36" s="2597">
        <f t="shared" si="16"/>
        <v>0.20672179247799416</v>
      </c>
      <c r="P36" s="2622">
        <v>26</v>
      </c>
      <c r="Q36" s="2597">
        <f t="shared" si="17"/>
        <v>0.32090841767464823</v>
      </c>
      <c r="R36" s="2622">
        <v>5</v>
      </c>
      <c r="S36" s="2597">
        <f t="shared" si="18"/>
        <v>7.25268349289237E-2</v>
      </c>
      <c r="T36" s="2623">
        <v>7</v>
      </c>
      <c r="U36" s="2597">
        <f t="shared" si="15"/>
        <v>0.98039215686274506</v>
      </c>
      <c r="V36" s="2622">
        <v>7</v>
      </c>
      <c r="W36" s="2597">
        <f>V36/V$5*100</f>
        <v>1.0204081632653061</v>
      </c>
      <c r="X36" s="2622" t="s">
        <v>1</v>
      </c>
      <c r="Y36" s="2591" t="s">
        <v>1</v>
      </c>
    </row>
    <row r="37" spans="1:25" s="2551" customFormat="1" ht="16.5">
      <c r="A37" s="2621" t="s">
        <v>3819</v>
      </c>
      <c r="B37" s="2622">
        <v>105</v>
      </c>
      <c r="C37" s="2597">
        <f t="shared" si="1"/>
        <v>0.15840687938447612</v>
      </c>
      <c r="D37" s="2622">
        <v>51</v>
      </c>
      <c r="E37" s="2597">
        <f t="shared" si="2"/>
        <v>0.13264669163545567</v>
      </c>
      <c r="F37" s="2622">
        <v>54</v>
      </c>
      <c r="G37" s="2597">
        <f t="shared" si="3"/>
        <v>0.19398642095053348</v>
      </c>
      <c r="H37" s="2622">
        <v>183</v>
      </c>
      <c r="I37" s="2597">
        <f t="shared" si="4"/>
        <v>0.25608015448769972</v>
      </c>
      <c r="J37" s="2622">
        <v>55</v>
      </c>
      <c r="K37" s="2597">
        <f t="shared" si="5"/>
        <v>0.13653402179579474</v>
      </c>
      <c r="L37" s="2622">
        <v>128</v>
      </c>
      <c r="M37" s="2597">
        <f t="shared" si="6"/>
        <v>0.41053273036338567</v>
      </c>
      <c r="N37" s="2624">
        <v>21</v>
      </c>
      <c r="O37" s="2597">
        <f t="shared" si="16"/>
        <v>0.14003734329154441</v>
      </c>
      <c r="P37" s="2622">
        <v>9</v>
      </c>
      <c r="Q37" s="2597">
        <f t="shared" si="17"/>
        <v>0.1110836830412244</v>
      </c>
      <c r="R37" s="2622">
        <v>12</v>
      </c>
      <c r="S37" s="2597">
        <f t="shared" si="18"/>
        <v>0.17406440382941687</v>
      </c>
      <c r="T37" s="2623">
        <v>2</v>
      </c>
      <c r="U37" s="2597">
        <f t="shared" si="15"/>
        <v>0.28011204481792717</v>
      </c>
      <c r="V37" s="2622">
        <v>2</v>
      </c>
      <c r="W37" s="2597">
        <f>V37/V$5*100</f>
        <v>0.29154518950437319</v>
      </c>
      <c r="X37" s="2622" t="s">
        <v>1</v>
      </c>
      <c r="Y37" s="2591" t="s">
        <v>1</v>
      </c>
    </row>
    <row r="38" spans="1:25" s="2551" customFormat="1" ht="16.5">
      <c r="A38" s="2621" t="s">
        <v>3957</v>
      </c>
      <c r="B38" s="2622">
        <v>128</v>
      </c>
      <c r="C38" s="2597">
        <f t="shared" si="1"/>
        <v>0.19310552915440898</v>
      </c>
      <c r="D38" s="2622">
        <v>69</v>
      </c>
      <c r="E38" s="2597">
        <f t="shared" si="2"/>
        <v>0.17946317103620474</v>
      </c>
      <c r="F38" s="2622">
        <v>59</v>
      </c>
      <c r="G38" s="2597">
        <f t="shared" si="3"/>
        <v>0.21194812659410139</v>
      </c>
      <c r="H38" s="2622">
        <v>110</v>
      </c>
      <c r="I38" s="2597">
        <f t="shared" si="4"/>
        <v>0.1539279617139179</v>
      </c>
      <c r="J38" s="2622">
        <v>53</v>
      </c>
      <c r="K38" s="2597">
        <f t="shared" si="5"/>
        <v>0.13156914827594765</v>
      </c>
      <c r="L38" s="2622">
        <v>57</v>
      </c>
      <c r="M38" s="2597">
        <f t="shared" si="6"/>
        <v>0.18281535648994515</v>
      </c>
      <c r="N38" s="2624">
        <v>5</v>
      </c>
      <c r="O38" s="2597">
        <f t="shared" si="16"/>
        <v>3.3342224593224862E-2</v>
      </c>
      <c r="P38" s="2622">
        <v>4</v>
      </c>
      <c r="Q38" s="2597">
        <f t="shared" si="17"/>
        <v>4.9370525796099726E-2</v>
      </c>
      <c r="R38" s="2622">
        <v>1</v>
      </c>
      <c r="S38" s="2597">
        <f t="shared" si="18"/>
        <v>1.4505366985784741E-2</v>
      </c>
      <c r="T38" s="2623" t="s">
        <v>1</v>
      </c>
      <c r="U38" s="2597" t="s">
        <v>1</v>
      </c>
      <c r="V38" s="2622" t="s">
        <v>1</v>
      </c>
      <c r="W38" s="2597" t="s">
        <v>1</v>
      </c>
      <c r="X38" s="2622" t="s">
        <v>1</v>
      </c>
      <c r="Y38" s="2591" t="s">
        <v>1</v>
      </c>
    </row>
    <row r="39" spans="1:25" s="2551" customFormat="1" ht="16.5">
      <c r="A39" s="2621" t="s">
        <v>3820</v>
      </c>
      <c r="B39" s="2622">
        <v>79</v>
      </c>
      <c r="C39" s="2597">
        <f t="shared" si="1"/>
        <v>0.11918231877498681</v>
      </c>
      <c r="D39" s="2622">
        <v>37</v>
      </c>
      <c r="E39" s="2597">
        <f t="shared" si="2"/>
        <v>9.6233874323761959E-2</v>
      </c>
      <c r="F39" s="2622">
        <v>42</v>
      </c>
      <c r="G39" s="2597">
        <f t="shared" si="3"/>
        <v>0.15087832740597046</v>
      </c>
      <c r="H39" s="2622">
        <v>106</v>
      </c>
      <c r="I39" s="2597">
        <f t="shared" si="4"/>
        <v>0.14833058128795723</v>
      </c>
      <c r="J39" s="2622">
        <v>64</v>
      </c>
      <c r="K39" s="2597">
        <f t="shared" si="5"/>
        <v>0.15887595263510662</v>
      </c>
      <c r="L39" s="2622">
        <v>42</v>
      </c>
      <c r="M39" s="2597">
        <f t="shared" si="6"/>
        <v>0.13470605215048589</v>
      </c>
      <c r="N39" s="2624">
        <v>28</v>
      </c>
      <c r="O39" s="2597">
        <f t="shared" si="16"/>
        <v>0.18671645772205922</v>
      </c>
      <c r="P39" s="2622">
        <v>19</v>
      </c>
      <c r="Q39" s="2597">
        <f t="shared" si="17"/>
        <v>0.23450999753147372</v>
      </c>
      <c r="R39" s="2622">
        <v>9</v>
      </c>
      <c r="S39" s="2597">
        <f t="shared" si="18"/>
        <v>0.13054830287206268</v>
      </c>
      <c r="T39" s="2623" t="s">
        <v>1</v>
      </c>
      <c r="U39" s="2597" t="s">
        <v>1</v>
      </c>
      <c r="V39" s="2622" t="s">
        <v>1</v>
      </c>
      <c r="W39" s="2597" t="s">
        <v>1</v>
      </c>
      <c r="X39" s="2622" t="s">
        <v>1</v>
      </c>
      <c r="Y39" s="2591" t="s">
        <v>1</v>
      </c>
    </row>
    <row r="40" spans="1:25" s="2551" customFormat="1" ht="16.5">
      <c r="A40" s="2621" t="s">
        <v>3821</v>
      </c>
      <c r="B40" s="2622">
        <v>90</v>
      </c>
      <c r="C40" s="2597">
        <f t="shared" si="1"/>
        <v>0.1357773251866938</v>
      </c>
      <c r="D40" s="2622">
        <v>13</v>
      </c>
      <c r="E40" s="2597">
        <f t="shared" si="2"/>
        <v>3.3811901789429881E-2</v>
      </c>
      <c r="F40" s="2622">
        <v>77</v>
      </c>
      <c r="G40" s="2597">
        <f t="shared" si="3"/>
        <v>0.27661026691094587</v>
      </c>
      <c r="H40" s="2622">
        <v>35</v>
      </c>
      <c r="I40" s="2597">
        <f t="shared" si="4"/>
        <v>4.897707872715569E-2</v>
      </c>
      <c r="J40" s="2622">
        <v>10</v>
      </c>
      <c r="K40" s="2597">
        <f t="shared" si="5"/>
        <v>2.4824367599235411E-2</v>
      </c>
      <c r="L40" s="2622">
        <v>25</v>
      </c>
      <c r="M40" s="2597">
        <f t="shared" si="6"/>
        <v>8.0182173899098749E-2</v>
      </c>
      <c r="N40" s="2624">
        <v>5</v>
      </c>
      <c r="O40" s="2597">
        <f t="shared" si="16"/>
        <v>3.3342224593224862E-2</v>
      </c>
      <c r="P40" s="2622">
        <v>2</v>
      </c>
      <c r="Q40" s="2597">
        <f t="shared" si="17"/>
        <v>2.4685262898049863E-2</v>
      </c>
      <c r="R40" s="2622">
        <v>3</v>
      </c>
      <c r="S40" s="2597">
        <f t="shared" si="18"/>
        <v>4.3516100957354219E-2</v>
      </c>
      <c r="T40" s="2623">
        <v>1</v>
      </c>
      <c r="U40" s="2597">
        <f>T40/T$5*100</f>
        <v>0.14005602240896359</v>
      </c>
      <c r="V40" s="2622">
        <v>1</v>
      </c>
      <c r="W40" s="2597">
        <f>V40/V$5*100</f>
        <v>0.1457725947521866</v>
      </c>
      <c r="X40" s="2622" t="s">
        <v>1</v>
      </c>
      <c r="Y40" s="2591" t="s">
        <v>1</v>
      </c>
    </row>
    <row r="41" spans="1:25" s="2551" customFormat="1" ht="16.5">
      <c r="A41" s="2621" t="s">
        <v>3822</v>
      </c>
      <c r="B41" s="2622">
        <v>48</v>
      </c>
      <c r="C41" s="2597">
        <f t="shared" si="1"/>
        <v>7.2414573432903376E-2</v>
      </c>
      <c r="D41" s="2622" t="s">
        <v>1</v>
      </c>
      <c r="E41" s="2597" t="s">
        <v>1</v>
      </c>
      <c r="F41" s="2622">
        <v>48</v>
      </c>
      <c r="G41" s="2597">
        <f t="shared" si="3"/>
        <v>0.17243237417825197</v>
      </c>
      <c r="H41" s="2622">
        <v>25</v>
      </c>
      <c r="I41" s="2597">
        <f t="shared" si="4"/>
        <v>3.4983627662254067E-2</v>
      </c>
      <c r="J41" s="2622">
        <v>1</v>
      </c>
      <c r="K41" s="2597">
        <f t="shared" si="5"/>
        <v>2.482436759923541E-3</v>
      </c>
      <c r="L41" s="2622">
        <v>24</v>
      </c>
      <c r="M41" s="2597">
        <f t="shared" si="6"/>
        <v>7.6974886943134799E-2</v>
      </c>
      <c r="N41" s="2624">
        <v>1</v>
      </c>
      <c r="O41" s="2597">
        <f t="shared" si="16"/>
        <v>6.6684449186449717E-3</v>
      </c>
      <c r="P41" s="2622" t="s">
        <v>1</v>
      </c>
      <c r="Q41" s="2597" t="s">
        <v>1</v>
      </c>
      <c r="R41" s="2622">
        <v>1</v>
      </c>
      <c r="S41" s="2597">
        <f t="shared" si="18"/>
        <v>1.4505366985784741E-2</v>
      </c>
      <c r="T41" s="2623" t="s">
        <v>1</v>
      </c>
      <c r="U41" s="2597" t="s">
        <v>1</v>
      </c>
      <c r="V41" s="2622" t="s">
        <v>1</v>
      </c>
      <c r="W41" s="2597" t="s">
        <v>1</v>
      </c>
      <c r="X41" s="2622" t="s">
        <v>1</v>
      </c>
      <c r="Y41" s="2591" t="s">
        <v>1</v>
      </c>
    </row>
    <row r="42" spans="1:25" s="2551" customFormat="1" ht="16.5">
      <c r="A42" s="2621" t="s">
        <v>3823</v>
      </c>
      <c r="B42" s="2622" t="s">
        <v>1</v>
      </c>
      <c r="C42" s="2597" t="s">
        <v>1</v>
      </c>
      <c r="D42" s="2622" t="s">
        <v>1</v>
      </c>
      <c r="E42" s="2597" t="s">
        <v>1</v>
      </c>
      <c r="F42" s="2622" t="s">
        <v>1</v>
      </c>
      <c r="G42" s="2597" t="s">
        <v>1</v>
      </c>
      <c r="H42" s="2622" t="s">
        <v>1</v>
      </c>
      <c r="I42" s="2597" t="s">
        <v>1</v>
      </c>
      <c r="J42" s="2622" t="s">
        <v>1</v>
      </c>
      <c r="K42" s="2597" t="s">
        <v>1</v>
      </c>
      <c r="L42" s="2622" t="s">
        <v>1</v>
      </c>
      <c r="M42" s="2597" t="s">
        <v>1</v>
      </c>
      <c r="N42" s="2624" t="s">
        <v>1</v>
      </c>
      <c r="O42" s="2597" t="s">
        <v>1</v>
      </c>
      <c r="P42" s="2622" t="s">
        <v>1</v>
      </c>
      <c r="Q42" s="2597" t="s">
        <v>1</v>
      </c>
      <c r="R42" s="2622" t="s">
        <v>1</v>
      </c>
      <c r="S42" s="2597" t="s">
        <v>1</v>
      </c>
      <c r="T42" s="2623" t="s">
        <v>1</v>
      </c>
      <c r="U42" s="2597" t="s">
        <v>1</v>
      </c>
      <c r="V42" s="2622" t="s">
        <v>1</v>
      </c>
      <c r="W42" s="2597" t="s">
        <v>1</v>
      </c>
      <c r="X42" s="2622" t="s">
        <v>1</v>
      </c>
      <c r="Y42" s="2591" t="s">
        <v>1</v>
      </c>
    </row>
    <row r="43" spans="1:25" s="2551" customFormat="1" ht="16.5">
      <c r="A43" s="2621" t="s">
        <v>3824</v>
      </c>
      <c r="B43" s="2622">
        <v>49</v>
      </c>
      <c r="C43" s="2597">
        <f t="shared" ref="C43:C63" si="19">B43/B$5*100</f>
        <v>7.3923210379422191E-2</v>
      </c>
      <c r="D43" s="2622">
        <v>15</v>
      </c>
      <c r="E43" s="2597">
        <f t="shared" ref="E43:E63" si="20">D43/D$5*100</f>
        <v>3.9013732833957551E-2</v>
      </c>
      <c r="F43" s="2622">
        <v>34</v>
      </c>
      <c r="G43" s="2597">
        <f t="shared" ref="G43:G53" si="21">F43/F$5*100</f>
        <v>0.12213959837626182</v>
      </c>
      <c r="H43" s="2622">
        <v>62</v>
      </c>
      <c r="I43" s="2597">
        <f t="shared" ref="I43:I63" si="22">H43/H$5*100</f>
        <v>8.6759396602390085E-2</v>
      </c>
      <c r="J43" s="2622">
        <v>22</v>
      </c>
      <c r="K43" s="2597">
        <f t="shared" ref="K43:K63" si="23">J43/J$5*100</f>
        <v>5.4613608718317899E-2</v>
      </c>
      <c r="L43" s="2622">
        <v>40</v>
      </c>
      <c r="M43" s="2597">
        <f t="shared" ref="M43:M63" si="24">L43/L$5*100</f>
        <v>0.12829147823855799</v>
      </c>
      <c r="N43" s="2624">
        <v>29</v>
      </c>
      <c r="O43" s="2597">
        <f>N43/N$5*100</f>
        <v>0.19338490264070418</v>
      </c>
      <c r="P43" s="2622">
        <v>11</v>
      </c>
      <c r="Q43" s="2597">
        <f>P43/P$5*100</f>
        <v>0.13576894593927427</v>
      </c>
      <c r="R43" s="2622">
        <v>18</v>
      </c>
      <c r="S43" s="2597">
        <f>R43/R$5*100</f>
        <v>0.26109660574412535</v>
      </c>
      <c r="T43" s="2623" t="s">
        <v>1</v>
      </c>
      <c r="U43" s="2597" t="s">
        <v>1</v>
      </c>
      <c r="V43" s="2622" t="s">
        <v>1</v>
      </c>
      <c r="W43" s="2597" t="s">
        <v>1</v>
      </c>
      <c r="X43" s="2622" t="s">
        <v>1</v>
      </c>
      <c r="Y43" s="2591" t="s">
        <v>1</v>
      </c>
    </row>
    <row r="44" spans="1:25" s="2551" customFormat="1" ht="16.5">
      <c r="A44" s="2621" t="s">
        <v>3825</v>
      </c>
      <c r="B44" s="2622">
        <v>32</v>
      </c>
      <c r="C44" s="2597">
        <f t="shared" si="19"/>
        <v>4.8276382288602246E-2</v>
      </c>
      <c r="D44" s="2622">
        <v>29</v>
      </c>
      <c r="E44" s="2597">
        <f t="shared" si="20"/>
        <v>7.5426550145651264E-2</v>
      </c>
      <c r="F44" s="2622">
        <v>3</v>
      </c>
      <c r="G44" s="2597">
        <f t="shared" si="21"/>
        <v>1.0777023386140748E-2</v>
      </c>
      <c r="H44" s="2622">
        <v>43</v>
      </c>
      <c r="I44" s="2597">
        <f t="shared" si="22"/>
        <v>6.0171839579076992E-2</v>
      </c>
      <c r="J44" s="2622">
        <v>34</v>
      </c>
      <c r="K44" s="2597">
        <f t="shared" si="23"/>
        <v>8.4402849837400387E-2</v>
      </c>
      <c r="L44" s="2622">
        <v>9</v>
      </c>
      <c r="M44" s="2597">
        <f t="shared" si="24"/>
        <v>2.8865582603675551E-2</v>
      </c>
      <c r="N44" s="2624">
        <v>4</v>
      </c>
      <c r="O44" s="2597">
        <f>N44/N$5*100</f>
        <v>2.6673779674579887E-2</v>
      </c>
      <c r="P44" s="2622">
        <v>3</v>
      </c>
      <c r="Q44" s="2597">
        <f>P44/P$5*100</f>
        <v>3.7027894347074798E-2</v>
      </c>
      <c r="R44" s="2622">
        <v>1</v>
      </c>
      <c r="S44" s="2597">
        <f>R44/R$5*100</f>
        <v>1.4505366985784741E-2</v>
      </c>
      <c r="T44" s="2623">
        <v>2</v>
      </c>
      <c r="U44" s="2597">
        <f>T44/T$5*100</f>
        <v>0.28011204481792717</v>
      </c>
      <c r="V44" s="2622">
        <v>2</v>
      </c>
      <c r="W44" s="2597">
        <f>V44/V$5*100</f>
        <v>0.29154518950437319</v>
      </c>
      <c r="X44" s="2622" t="s">
        <v>1</v>
      </c>
      <c r="Y44" s="2591" t="s">
        <v>1</v>
      </c>
    </row>
    <row r="45" spans="1:25" s="2551" customFormat="1" ht="16.5">
      <c r="A45" s="2621" t="s">
        <v>3826</v>
      </c>
      <c r="B45" s="2622">
        <v>34</v>
      </c>
      <c r="C45" s="2597">
        <f t="shared" si="19"/>
        <v>5.1293656181639891E-2</v>
      </c>
      <c r="D45" s="2622">
        <v>23</v>
      </c>
      <c r="E45" s="2597">
        <f t="shared" si="20"/>
        <v>5.9821057012068246E-2</v>
      </c>
      <c r="F45" s="2622">
        <v>11</v>
      </c>
      <c r="G45" s="2597">
        <f t="shared" si="21"/>
        <v>3.9515752415849412E-2</v>
      </c>
      <c r="H45" s="2622">
        <v>28</v>
      </c>
      <c r="I45" s="2597">
        <f t="shared" si="22"/>
        <v>3.9181662981724555E-2</v>
      </c>
      <c r="J45" s="2622">
        <v>16</v>
      </c>
      <c r="K45" s="2597">
        <f t="shared" si="23"/>
        <v>3.9718988158776655E-2</v>
      </c>
      <c r="L45" s="2622">
        <v>12</v>
      </c>
      <c r="M45" s="2597">
        <f t="shared" si="24"/>
        <v>3.8487443471567399E-2</v>
      </c>
      <c r="N45" s="2624">
        <v>13</v>
      </c>
      <c r="O45" s="2597">
        <f>N45/N$5*100</f>
        <v>8.6689783942384635E-2</v>
      </c>
      <c r="P45" s="2622">
        <v>5</v>
      </c>
      <c r="Q45" s="2597">
        <f>P45/P$5*100</f>
        <v>6.1713157245124661E-2</v>
      </c>
      <c r="R45" s="2622">
        <v>8</v>
      </c>
      <c r="S45" s="2597">
        <f>R45/R$5*100</f>
        <v>0.11604293588627793</v>
      </c>
      <c r="T45" s="2623" t="s">
        <v>1</v>
      </c>
      <c r="U45" s="2597" t="s">
        <v>1</v>
      </c>
      <c r="V45" s="2622" t="s">
        <v>1</v>
      </c>
      <c r="W45" s="2597" t="s">
        <v>1</v>
      </c>
      <c r="X45" s="2622" t="s">
        <v>1</v>
      </c>
      <c r="Y45" s="2591" t="s">
        <v>1</v>
      </c>
    </row>
    <row r="46" spans="1:25" s="2551" customFormat="1" ht="16.5">
      <c r="A46" s="2621" t="s">
        <v>3827</v>
      </c>
      <c r="B46" s="2622">
        <v>17</v>
      </c>
      <c r="C46" s="2597">
        <f t="shared" si="19"/>
        <v>2.5646828090819945E-2</v>
      </c>
      <c r="D46" s="2622">
        <v>6</v>
      </c>
      <c r="E46" s="2597">
        <f t="shared" si="20"/>
        <v>1.5605493133583021E-2</v>
      </c>
      <c r="F46" s="2622">
        <v>11</v>
      </c>
      <c r="G46" s="2597">
        <f t="shared" si="21"/>
        <v>3.9515752415849412E-2</v>
      </c>
      <c r="H46" s="2622">
        <v>36</v>
      </c>
      <c r="I46" s="2597">
        <f t="shared" si="22"/>
        <v>5.037642383364585E-2</v>
      </c>
      <c r="J46" s="2622">
        <v>16</v>
      </c>
      <c r="K46" s="2597">
        <f t="shared" si="23"/>
        <v>3.9718988158776655E-2</v>
      </c>
      <c r="L46" s="2622">
        <v>20</v>
      </c>
      <c r="M46" s="2597">
        <f t="shared" si="24"/>
        <v>6.4145739119278997E-2</v>
      </c>
      <c r="N46" s="2624">
        <v>27</v>
      </c>
      <c r="O46" s="2597">
        <f>N46/N$5*100</f>
        <v>0.18004801280341426</v>
      </c>
      <c r="P46" s="2622">
        <v>9</v>
      </c>
      <c r="Q46" s="2597">
        <f>P46/P$5*100</f>
        <v>0.1110836830412244</v>
      </c>
      <c r="R46" s="2622">
        <v>18</v>
      </c>
      <c r="S46" s="2597">
        <f>R46/R$5*100</f>
        <v>0.26109660574412535</v>
      </c>
      <c r="T46" s="2623">
        <v>1</v>
      </c>
      <c r="U46" s="2597">
        <f>T46/T$5*100</f>
        <v>0.14005602240896359</v>
      </c>
      <c r="V46" s="2622">
        <v>1</v>
      </c>
      <c r="W46" s="2597">
        <f>V46/V$5*100</f>
        <v>0.1457725947521866</v>
      </c>
      <c r="X46" s="2622" t="s">
        <v>1</v>
      </c>
      <c r="Y46" s="2591" t="s">
        <v>1</v>
      </c>
    </row>
    <row r="47" spans="1:25" s="2551" customFormat="1" ht="16.5">
      <c r="A47" s="2621" t="s">
        <v>3828</v>
      </c>
      <c r="B47" s="2622">
        <v>30</v>
      </c>
      <c r="C47" s="2597">
        <f t="shared" si="19"/>
        <v>4.5259108395564608E-2</v>
      </c>
      <c r="D47" s="2622">
        <v>18</v>
      </c>
      <c r="E47" s="2597">
        <f t="shared" si="20"/>
        <v>4.6816479400749067E-2</v>
      </c>
      <c r="F47" s="2622">
        <v>12</v>
      </c>
      <c r="G47" s="2597">
        <f t="shared" si="21"/>
        <v>4.3108093544562992E-2</v>
      </c>
      <c r="H47" s="2622">
        <v>50</v>
      </c>
      <c r="I47" s="2597">
        <f t="shared" si="22"/>
        <v>6.9967255324508135E-2</v>
      </c>
      <c r="J47" s="2622">
        <v>32</v>
      </c>
      <c r="K47" s="2597">
        <f t="shared" si="23"/>
        <v>7.943797631755331E-2</v>
      </c>
      <c r="L47" s="2622">
        <v>18</v>
      </c>
      <c r="M47" s="2597">
        <f t="shared" si="24"/>
        <v>5.7731165207351103E-2</v>
      </c>
      <c r="N47" s="2624">
        <v>9</v>
      </c>
      <c r="O47" s="2597">
        <f>N47/N$5*100</f>
        <v>6.0016004267804748E-2</v>
      </c>
      <c r="P47" s="2622">
        <v>7</v>
      </c>
      <c r="Q47" s="2597">
        <f>P47/P$5*100</f>
        <v>8.6398420143174517E-2</v>
      </c>
      <c r="R47" s="2622">
        <v>2</v>
      </c>
      <c r="S47" s="2597">
        <f>R47/R$5*100</f>
        <v>2.9010733971569481E-2</v>
      </c>
      <c r="T47" s="2623">
        <v>2</v>
      </c>
      <c r="U47" s="2597">
        <f>T47/T$5*100</f>
        <v>0.28011204481792717</v>
      </c>
      <c r="V47" s="2622">
        <v>2</v>
      </c>
      <c r="W47" s="2597">
        <f>V47/V$5*100</f>
        <v>0.29154518950437319</v>
      </c>
      <c r="X47" s="2622" t="s">
        <v>1</v>
      </c>
      <c r="Y47" s="2591" t="s">
        <v>1</v>
      </c>
    </row>
    <row r="48" spans="1:25" s="2551" customFormat="1" ht="16.5">
      <c r="A48" s="2621" t="s">
        <v>2722</v>
      </c>
      <c r="B48" s="2622">
        <v>39</v>
      </c>
      <c r="C48" s="2597">
        <f t="shared" si="19"/>
        <v>5.8836840914233995E-2</v>
      </c>
      <c r="D48" s="2622">
        <v>38</v>
      </c>
      <c r="E48" s="2597">
        <f t="shared" si="20"/>
        <v>9.8834789846025811E-2</v>
      </c>
      <c r="F48" s="2622">
        <v>1</v>
      </c>
      <c r="G48" s="2597">
        <f t="shared" si="21"/>
        <v>3.5923411287135825E-3</v>
      </c>
      <c r="H48" s="2622">
        <v>53</v>
      </c>
      <c r="I48" s="2597">
        <f t="shared" si="22"/>
        <v>7.4165290643978615E-2</v>
      </c>
      <c r="J48" s="2622">
        <v>48</v>
      </c>
      <c r="K48" s="2597">
        <f t="shared" si="23"/>
        <v>0.11915696447632995</v>
      </c>
      <c r="L48" s="2622">
        <v>5</v>
      </c>
      <c r="M48" s="2597">
        <f t="shared" si="24"/>
        <v>1.6036434779819749E-2</v>
      </c>
      <c r="N48" s="2624" t="s">
        <v>1</v>
      </c>
      <c r="O48" s="2597" t="s">
        <v>1</v>
      </c>
      <c r="P48" s="2622" t="s">
        <v>1</v>
      </c>
      <c r="Q48" s="2597" t="s">
        <v>1</v>
      </c>
      <c r="R48" s="2622" t="s">
        <v>1</v>
      </c>
      <c r="S48" s="2597" t="s">
        <v>1</v>
      </c>
      <c r="T48" s="2623">
        <v>1</v>
      </c>
      <c r="U48" s="2597">
        <f>T48/T$5*100</f>
        <v>0.14005602240896359</v>
      </c>
      <c r="V48" s="2622">
        <v>1</v>
      </c>
      <c r="W48" s="2597">
        <f>V48/V$5*100</f>
        <v>0.1457725947521866</v>
      </c>
      <c r="X48" s="2622" t="s">
        <v>1</v>
      </c>
      <c r="Y48" s="2591" t="s">
        <v>1</v>
      </c>
    </row>
    <row r="49" spans="1:25" s="2551" customFormat="1" ht="16.5">
      <c r="A49" s="2621" t="s">
        <v>3975</v>
      </c>
      <c r="B49" s="2622">
        <v>36</v>
      </c>
      <c r="C49" s="2597">
        <f t="shared" si="19"/>
        <v>5.4310930074677528E-2</v>
      </c>
      <c r="D49" s="2622">
        <v>27</v>
      </c>
      <c r="E49" s="2597">
        <f t="shared" si="20"/>
        <v>7.02247191011236E-2</v>
      </c>
      <c r="F49" s="2622">
        <v>9</v>
      </c>
      <c r="G49" s="2597">
        <f t="shared" si="21"/>
        <v>3.2331070158422244E-2</v>
      </c>
      <c r="H49" s="2622">
        <v>38</v>
      </c>
      <c r="I49" s="2597">
        <f t="shared" si="22"/>
        <v>5.3175114046626178E-2</v>
      </c>
      <c r="J49" s="2622">
        <v>27</v>
      </c>
      <c r="K49" s="2597">
        <f t="shared" si="23"/>
        <v>6.7025792517935598E-2</v>
      </c>
      <c r="L49" s="2622">
        <v>11</v>
      </c>
      <c r="M49" s="2597">
        <f t="shared" si="24"/>
        <v>3.5280156515603449E-2</v>
      </c>
      <c r="N49" s="2624">
        <v>4</v>
      </c>
      <c r="O49" s="2597">
        <f t="shared" ref="O49:O55" si="25">N49/N$5*100</f>
        <v>2.6673779674579887E-2</v>
      </c>
      <c r="P49" s="2622">
        <v>1</v>
      </c>
      <c r="Q49" s="2597">
        <f t="shared" ref="Q49:Q55" si="26">P49/P$5*100</f>
        <v>1.2342631449024932E-2</v>
      </c>
      <c r="R49" s="2622">
        <v>3</v>
      </c>
      <c r="S49" s="2597">
        <f>R49/R$5*100</f>
        <v>4.3516100957354219E-2</v>
      </c>
      <c r="T49" s="2623" t="s">
        <v>1</v>
      </c>
      <c r="U49" s="2597" t="s">
        <v>1</v>
      </c>
      <c r="V49" s="2622" t="s">
        <v>1</v>
      </c>
      <c r="W49" s="2597" t="s">
        <v>1</v>
      </c>
      <c r="X49" s="2622" t="s">
        <v>1</v>
      </c>
      <c r="Y49" s="2591" t="s">
        <v>1</v>
      </c>
    </row>
    <row r="50" spans="1:25" s="2551" customFormat="1" ht="16.5">
      <c r="A50" s="2621" t="s">
        <v>3830</v>
      </c>
      <c r="B50" s="2622">
        <v>13</v>
      </c>
      <c r="C50" s="2597">
        <f t="shared" si="19"/>
        <v>1.9612280304744663E-2</v>
      </c>
      <c r="D50" s="2622">
        <v>10</v>
      </c>
      <c r="E50" s="2597">
        <f t="shared" si="20"/>
        <v>2.6009155222638372E-2</v>
      </c>
      <c r="F50" s="2622">
        <v>3</v>
      </c>
      <c r="G50" s="2597">
        <f t="shared" si="21"/>
        <v>1.0777023386140748E-2</v>
      </c>
      <c r="H50" s="2622">
        <v>54</v>
      </c>
      <c r="I50" s="2597">
        <f t="shared" si="22"/>
        <v>7.5564635750468775E-2</v>
      </c>
      <c r="J50" s="2622">
        <v>41</v>
      </c>
      <c r="K50" s="2597">
        <f t="shared" si="23"/>
        <v>0.10177990715686519</v>
      </c>
      <c r="L50" s="2622">
        <v>13</v>
      </c>
      <c r="M50" s="2597">
        <f t="shared" si="24"/>
        <v>4.169473042753135E-2</v>
      </c>
      <c r="N50" s="2624">
        <v>15</v>
      </c>
      <c r="O50" s="2597">
        <f t="shared" si="25"/>
        <v>0.10002667377967459</v>
      </c>
      <c r="P50" s="2622">
        <v>12</v>
      </c>
      <c r="Q50" s="2597">
        <f t="shared" si="26"/>
        <v>0.14811157738829919</v>
      </c>
      <c r="R50" s="2622">
        <v>3</v>
      </c>
      <c r="S50" s="2597">
        <f>R50/R$5*100</f>
        <v>4.3516100957354219E-2</v>
      </c>
      <c r="T50" s="2623">
        <v>1</v>
      </c>
      <c r="U50" s="2597">
        <f>T50/T$5*100</f>
        <v>0.14005602240896359</v>
      </c>
      <c r="V50" s="2622">
        <v>1</v>
      </c>
      <c r="W50" s="2597">
        <f>V50/V$5*100</f>
        <v>0.1457725947521866</v>
      </c>
      <c r="X50" s="2622" t="s">
        <v>1</v>
      </c>
      <c r="Y50" s="2591" t="s">
        <v>1</v>
      </c>
    </row>
    <row r="51" spans="1:25" s="2551" customFormat="1" ht="16.5">
      <c r="A51" s="2621" t="s">
        <v>3831</v>
      </c>
      <c r="B51" s="2622">
        <v>13</v>
      </c>
      <c r="C51" s="2597">
        <f t="shared" si="19"/>
        <v>1.9612280304744663E-2</v>
      </c>
      <c r="D51" s="2622">
        <v>10</v>
      </c>
      <c r="E51" s="2597">
        <f t="shared" si="20"/>
        <v>2.6009155222638372E-2</v>
      </c>
      <c r="F51" s="2622">
        <v>3</v>
      </c>
      <c r="G51" s="2597">
        <f t="shared" si="21"/>
        <v>1.0777023386140748E-2</v>
      </c>
      <c r="H51" s="2622">
        <v>34</v>
      </c>
      <c r="I51" s="2597">
        <f t="shared" si="22"/>
        <v>4.757773362066553E-2</v>
      </c>
      <c r="J51" s="2622">
        <v>23</v>
      </c>
      <c r="K51" s="2597">
        <f t="shared" si="23"/>
        <v>5.7096045478241444E-2</v>
      </c>
      <c r="L51" s="2622">
        <v>11</v>
      </c>
      <c r="M51" s="2597">
        <f t="shared" si="24"/>
        <v>3.5280156515603449E-2</v>
      </c>
      <c r="N51" s="2624">
        <v>27</v>
      </c>
      <c r="O51" s="2597">
        <f t="shared" si="25"/>
        <v>0.18004801280341426</v>
      </c>
      <c r="P51" s="2622">
        <v>16</v>
      </c>
      <c r="Q51" s="2597">
        <f t="shared" si="26"/>
        <v>0.1974821031843989</v>
      </c>
      <c r="R51" s="2622">
        <v>11</v>
      </c>
      <c r="S51" s="2597">
        <f>R51/R$5*100</f>
        <v>0.15955903684363215</v>
      </c>
      <c r="T51" s="2623" t="s">
        <v>1</v>
      </c>
      <c r="U51" s="2597" t="s">
        <v>1</v>
      </c>
      <c r="V51" s="2622" t="s">
        <v>1</v>
      </c>
      <c r="W51" s="2597" t="s">
        <v>1</v>
      </c>
      <c r="X51" s="2622" t="s">
        <v>1</v>
      </c>
      <c r="Y51" s="2591" t="s">
        <v>1</v>
      </c>
    </row>
    <row r="52" spans="1:25" s="2551" customFormat="1" ht="16.5">
      <c r="A52" s="2621" t="s">
        <v>3832</v>
      </c>
      <c r="B52" s="2622">
        <v>10</v>
      </c>
      <c r="C52" s="2597">
        <f t="shared" si="19"/>
        <v>1.5086369465188203E-2</v>
      </c>
      <c r="D52" s="2622">
        <v>9</v>
      </c>
      <c r="E52" s="2597">
        <f t="shared" si="20"/>
        <v>2.3408239700374533E-2</v>
      </c>
      <c r="F52" s="2622">
        <v>1</v>
      </c>
      <c r="G52" s="2597">
        <f t="shared" si="21"/>
        <v>3.5923411287135825E-3</v>
      </c>
      <c r="H52" s="2622">
        <v>44</v>
      </c>
      <c r="I52" s="2597">
        <f t="shared" si="22"/>
        <v>6.1571184685567153E-2</v>
      </c>
      <c r="J52" s="2622">
        <v>38</v>
      </c>
      <c r="K52" s="2597">
        <f t="shared" si="23"/>
        <v>9.4332596877094554E-2</v>
      </c>
      <c r="L52" s="2622">
        <v>6</v>
      </c>
      <c r="M52" s="2597">
        <f t="shared" si="24"/>
        <v>1.92437217357837E-2</v>
      </c>
      <c r="N52" s="2622">
        <v>19</v>
      </c>
      <c r="O52" s="2597">
        <f t="shared" si="25"/>
        <v>0.12670045345425449</v>
      </c>
      <c r="P52" s="2622">
        <v>14</v>
      </c>
      <c r="Q52" s="2597">
        <f t="shared" si="26"/>
        <v>0.17279684028634903</v>
      </c>
      <c r="R52" s="2622">
        <v>5</v>
      </c>
      <c r="S52" s="2597">
        <f>R52/R$5*100</f>
        <v>7.25268349289237E-2</v>
      </c>
      <c r="T52" s="2623">
        <v>3</v>
      </c>
      <c r="U52" s="2597">
        <f>T52/T$5*100</f>
        <v>0.42016806722689076</v>
      </c>
      <c r="V52" s="2622">
        <v>3</v>
      </c>
      <c r="W52" s="2597">
        <f>V52/V$5*100</f>
        <v>0.43731778425655976</v>
      </c>
      <c r="X52" s="2622" t="s">
        <v>1</v>
      </c>
      <c r="Y52" s="2591" t="s">
        <v>1</v>
      </c>
    </row>
    <row r="53" spans="1:25" s="2551" customFormat="1" ht="16.5">
      <c r="A53" s="2621" t="s">
        <v>3833</v>
      </c>
      <c r="B53" s="2622">
        <v>16</v>
      </c>
      <c r="C53" s="2597">
        <f t="shared" si="19"/>
        <v>2.4138191144301123E-2</v>
      </c>
      <c r="D53" s="2622">
        <v>6</v>
      </c>
      <c r="E53" s="2597">
        <f t="shared" si="20"/>
        <v>1.5605493133583021E-2</v>
      </c>
      <c r="F53" s="2622">
        <v>10</v>
      </c>
      <c r="G53" s="2597">
        <f t="shared" si="21"/>
        <v>3.5923411287135824E-2</v>
      </c>
      <c r="H53" s="2622">
        <v>42</v>
      </c>
      <c r="I53" s="2597">
        <f t="shared" si="22"/>
        <v>5.8772494472586825E-2</v>
      </c>
      <c r="J53" s="2622">
        <v>22</v>
      </c>
      <c r="K53" s="2597">
        <f t="shared" si="23"/>
        <v>5.4613608718317899E-2</v>
      </c>
      <c r="L53" s="2622">
        <v>20</v>
      </c>
      <c r="M53" s="2597">
        <f t="shared" si="24"/>
        <v>6.4145739119278997E-2</v>
      </c>
      <c r="N53" s="2622">
        <v>4</v>
      </c>
      <c r="O53" s="2597">
        <f t="shared" si="25"/>
        <v>2.6673779674579887E-2</v>
      </c>
      <c r="P53" s="2622">
        <v>3</v>
      </c>
      <c r="Q53" s="2597">
        <f t="shared" si="26"/>
        <v>3.7027894347074798E-2</v>
      </c>
      <c r="R53" s="2622">
        <v>1</v>
      </c>
      <c r="S53" s="2597">
        <f>R53/R$5*100</f>
        <v>1.4505366985784741E-2</v>
      </c>
      <c r="T53" s="2623" t="s">
        <v>1</v>
      </c>
      <c r="U53" s="2597" t="s">
        <v>1</v>
      </c>
      <c r="V53" s="2622" t="s">
        <v>1</v>
      </c>
      <c r="W53" s="2597" t="s">
        <v>1</v>
      </c>
      <c r="X53" s="2622" t="s">
        <v>1</v>
      </c>
      <c r="Y53" s="2591" t="s">
        <v>1</v>
      </c>
    </row>
    <row r="54" spans="1:25" s="2551" customFormat="1" ht="16.5">
      <c r="A54" s="2621" t="s">
        <v>3834</v>
      </c>
      <c r="B54" s="2622">
        <v>15</v>
      </c>
      <c r="C54" s="2597">
        <f t="shared" si="19"/>
        <v>2.2629554197782304E-2</v>
      </c>
      <c r="D54" s="2622">
        <v>15</v>
      </c>
      <c r="E54" s="2597">
        <f t="shared" si="20"/>
        <v>3.9013732833957551E-2</v>
      </c>
      <c r="F54" s="2622" t="s">
        <v>1</v>
      </c>
      <c r="G54" s="2597" t="s">
        <v>1</v>
      </c>
      <c r="H54" s="2622">
        <v>16</v>
      </c>
      <c r="I54" s="2597">
        <f t="shared" si="22"/>
        <v>2.2389521703842601E-2</v>
      </c>
      <c r="J54" s="2622">
        <v>14</v>
      </c>
      <c r="K54" s="2597">
        <f t="shared" si="23"/>
        <v>3.4754114638929572E-2</v>
      </c>
      <c r="L54" s="2622">
        <v>2</v>
      </c>
      <c r="M54" s="2597">
        <f t="shared" si="24"/>
        <v>6.4145739119279011E-3</v>
      </c>
      <c r="N54" s="2622">
        <v>3</v>
      </c>
      <c r="O54" s="2597">
        <f t="shared" si="25"/>
        <v>2.0005334755934918E-2</v>
      </c>
      <c r="P54" s="2622">
        <v>3</v>
      </c>
      <c r="Q54" s="2597">
        <f t="shared" si="26"/>
        <v>3.7027894347074798E-2</v>
      </c>
      <c r="R54" s="2622" t="s">
        <v>1</v>
      </c>
      <c r="S54" s="2597" t="s">
        <v>1</v>
      </c>
      <c r="T54" s="2623">
        <v>1</v>
      </c>
      <c r="U54" s="2597">
        <f>T54/T$5*100</f>
        <v>0.14005602240896359</v>
      </c>
      <c r="V54" s="2622">
        <v>1</v>
      </c>
      <c r="W54" s="2597">
        <f>V54/V$5*100</f>
        <v>0.1457725947521866</v>
      </c>
      <c r="X54" s="2622" t="s">
        <v>1</v>
      </c>
      <c r="Y54" s="2591" t="s">
        <v>1</v>
      </c>
    </row>
    <row r="55" spans="1:25" s="2551" customFormat="1" ht="16.5">
      <c r="A55" s="2621" t="s">
        <v>3835</v>
      </c>
      <c r="B55" s="2622">
        <v>8</v>
      </c>
      <c r="C55" s="2597">
        <f t="shared" si="19"/>
        <v>1.2069095572150561E-2</v>
      </c>
      <c r="D55" s="2622">
        <v>4</v>
      </c>
      <c r="E55" s="2597">
        <f t="shared" si="20"/>
        <v>1.0403662089055347E-2</v>
      </c>
      <c r="F55" s="2622">
        <v>4</v>
      </c>
      <c r="G55" s="2597">
        <f t="shared" ref="G55:G61" si="27">F55/F$5*100</f>
        <v>1.436936451485433E-2</v>
      </c>
      <c r="H55" s="2622">
        <v>22</v>
      </c>
      <c r="I55" s="2597">
        <f t="shared" si="22"/>
        <v>3.0785592342783576E-2</v>
      </c>
      <c r="J55" s="2622">
        <v>19</v>
      </c>
      <c r="K55" s="2597">
        <f t="shared" si="23"/>
        <v>4.7166298438547277E-2</v>
      </c>
      <c r="L55" s="2622">
        <v>3</v>
      </c>
      <c r="M55" s="2597">
        <f t="shared" si="24"/>
        <v>9.6218608678918498E-3</v>
      </c>
      <c r="N55" s="2622">
        <v>5</v>
      </c>
      <c r="O55" s="2597">
        <f t="shared" si="25"/>
        <v>3.3342224593224862E-2</v>
      </c>
      <c r="P55" s="2622">
        <v>5</v>
      </c>
      <c r="Q55" s="2597">
        <f t="shared" si="26"/>
        <v>6.1713157245124661E-2</v>
      </c>
      <c r="R55" s="2622" t="s">
        <v>1</v>
      </c>
      <c r="S55" s="2597" t="s">
        <v>1</v>
      </c>
      <c r="T55" s="2623" t="s">
        <v>1</v>
      </c>
      <c r="U55" s="2597" t="s">
        <v>1</v>
      </c>
      <c r="V55" s="2622" t="s">
        <v>1</v>
      </c>
      <c r="W55" s="2597" t="s">
        <v>1</v>
      </c>
      <c r="X55" s="2622" t="s">
        <v>1</v>
      </c>
      <c r="Y55" s="2591" t="s">
        <v>1</v>
      </c>
    </row>
    <row r="56" spans="1:25" s="2551" customFormat="1" ht="16.5">
      <c r="A56" s="2621" t="s">
        <v>3836</v>
      </c>
      <c r="B56" s="2622">
        <v>16</v>
      </c>
      <c r="C56" s="2597">
        <f t="shared" si="19"/>
        <v>2.4138191144301123E-2</v>
      </c>
      <c r="D56" s="2622">
        <v>11</v>
      </c>
      <c r="E56" s="2597">
        <f t="shared" si="20"/>
        <v>2.8610070744902207E-2</v>
      </c>
      <c r="F56" s="2622">
        <v>5</v>
      </c>
      <c r="G56" s="2597">
        <f t="shared" si="27"/>
        <v>1.7961705643567912E-2</v>
      </c>
      <c r="H56" s="2622">
        <v>5</v>
      </c>
      <c r="I56" s="2597">
        <f t="shared" si="22"/>
        <v>6.9967255324508131E-3</v>
      </c>
      <c r="J56" s="2622">
        <v>1</v>
      </c>
      <c r="K56" s="2597">
        <f t="shared" si="23"/>
        <v>2.482436759923541E-3</v>
      </c>
      <c r="L56" s="2622">
        <v>4</v>
      </c>
      <c r="M56" s="2597">
        <f t="shared" si="24"/>
        <v>1.2829147823855802E-2</v>
      </c>
      <c r="N56" s="2622" t="s">
        <v>1</v>
      </c>
      <c r="O56" s="2597" t="s">
        <v>1</v>
      </c>
      <c r="P56" s="2622" t="s">
        <v>1</v>
      </c>
      <c r="Q56" s="2597" t="s">
        <v>1</v>
      </c>
      <c r="R56" s="2622" t="s">
        <v>1</v>
      </c>
      <c r="S56" s="2597" t="s">
        <v>1</v>
      </c>
      <c r="T56" s="2623" t="s">
        <v>1</v>
      </c>
      <c r="U56" s="2597" t="s">
        <v>1</v>
      </c>
      <c r="V56" s="2622" t="s">
        <v>1</v>
      </c>
      <c r="W56" s="2597" t="s">
        <v>1</v>
      </c>
      <c r="X56" s="2622" t="s">
        <v>1</v>
      </c>
      <c r="Y56" s="2591" t="s">
        <v>1</v>
      </c>
    </row>
    <row r="57" spans="1:25" s="2551" customFormat="1" ht="16.5">
      <c r="A57" s="2621" t="s">
        <v>3837</v>
      </c>
      <c r="B57" s="2622">
        <v>8</v>
      </c>
      <c r="C57" s="2597">
        <f t="shared" si="19"/>
        <v>1.2069095572150561E-2</v>
      </c>
      <c r="D57" s="2622">
        <v>5</v>
      </c>
      <c r="E57" s="2597">
        <f t="shared" si="20"/>
        <v>1.3004577611319186E-2</v>
      </c>
      <c r="F57" s="2622">
        <v>3</v>
      </c>
      <c r="G57" s="2597">
        <f t="shared" si="27"/>
        <v>1.0777023386140748E-2</v>
      </c>
      <c r="H57" s="2622">
        <v>18</v>
      </c>
      <c r="I57" s="2597">
        <f t="shared" si="22"/>
        <v>2.5188211916822925E-2</v>
      </c>
      <c r="J57" s="2622">
        <v>15</v>
      </c>
      <c r="K57" s="2597">
        <f t="shared" si="23"/>
        <v>3.7236551398853117E-2</v>
      </c>
      <c r="L57" s="2622">
        <v>3</v>
      </c>
      <c r="M57" s="2597">
        <f t="shared" si="24"/>
        <v>9.6218608678918498E-3</v>
      </c>
      <c r="N57" s="2622">
        <v>2</v>
      </c>
      <c r="O57" s="2597">
        <f>N57/N$5*100</f>
        <v>1.3336889837289943E-2</v>
      </c>
      <c r="P57" s="2622">
        <v>2</v>
      </c>
      <c r="Q57" s="2597">
        <f>P57/P$5*100</f>
        <v>2.4685262898049863E-2</v>
      </c>
      <c r="R57" s="2622" t="s">
        <v>1</v>
      </c>
      <c r="S57" s="2597" t="s">
        <v>1</v>
      </c>
      <c r="T57" s="2623" t="s">
        <v>1</v>
      </c>
      <c r="U57" s="2597" t="s">
        <v>1</v>
      </c>
      <c r="V57" s="2622" t="s">
        <v>1</v>
      </c>
      <c r="W57" s="2597" t="s">
        <v>1</v>
      </c>
      <c r="X57" s="2622" t="s">
        <v>1</v>
      </c>
      <c r="Y57" s="2591" t="s">
        <v>1</v>
      </c>
    </row>
    <row r="58" spans="1:25" s="2551" customFormat="1" ht="16.5">
      <c r="A58" s="2621" t="s">
        <v>3838</v>
      </c>
      <c r="B58" s="2622">
        <v>7</v>
      </c>
      <c r="C58" s="2597">
        <f t="shared" si="19"/>
        <v>1.0560458625631743E-2</v>
      </c>
      <c r="D58" s="2622">
        <v>1</v>
      </c>
      <c r="E58" s="2597">
        <f t="shared" si="20"/>
        <v>2.6009155222638369E-3</v>
      </c>
      <c r="F58" s="2622">
        <v>6</v>
      </c>
      <c r="G58" s="2597">
        <f t="shared" si="27"/>
        <v>2.1554046772281496E-2</v>
      </c>
      <c r="H58" s="2622">
        <v>16</v>
      </c>
      <c r="I58" s="2597">
        <f t="shared" si="22"/>
        <v>2.2389521703842601E-2</v>
      </c>
      <c r="J58" s="2622">
        <v>6</v>
      </c>
      <c r="K58" s="2597">
        <f t="shared" si="23"/>
        <v>1.4894620559541244E-2</v>
      </c>
      <c r="L58" s="2622">
        <v>10</v>
      </c>
      <c r="M58" s="2597">
        <f t="shared" si="24"/>
        <v>3.2072869559639498E-2</v>
      </c>
      <c r="N58" s="2622">
        <v>5</v>
      </c>
      <c r="O58" s="2597">
        <f>N58/N$5*100</f>
        <v>3.3342224593224862E-2</v>
      </c>
      <c r="P58" s="2622">
        <v>3</v>
      </c>
      <c r="Q58" s="2597">
        <f>P58/P$5*100</f>
        <v>3.7027894347074798E-2</v>
      </c>
      <c r="R58" s="2622">
        <v>2</v>
      </c>
      <c r="S58" s="2597">
        <f>R58/R$5*100</f>
        <v>2.9010733971569481E-2</v>
      </c>
      <c r="T58" s="2623" t="s">
        <v>1</v>
      </c>
      <c r="U58" s="2597" t="s">
        <v>1</v>
      </c>
      <c r="V58" s="2622" t="s">
        <v>1</v>
      </c>
      <c r="W58" s="2597" t="s">
        <v>1</v>
      </c>
      <c r="X58" s="2622" t="s">
        <v>1</v>
      </c>
      <c r="Y58" s="2591" t="s">
        <v>1</v>
      </c>
    </row>
    <row r="59" spans="1:25" s="2551" customFormat="1" ht="16.5">
      <c r="A59" s="2621" t="s">
        <v>3839</v>
      </c>
      <c r="B59" s="2622">
        <v>10</v>
      </c>
      <c r="C59" s="2597">
        <f t="shared" si="19"/>
        <v>1.5086369465188203E-2</v>
      </c>
      <c r="D59" s="2622">
        <v>1</v>
      </c>
      <c r="E59" s="2597">
        <f t="shared" si="20"/>
        <v>2.6009155222638369E-3</v>
      </c>
      <c r="F59" s="2622">
        <v>9</v>
      </c>
      <c r="G59" s="2597">
        <f t="shared" si="27"/>
        <v>3.2331070158422244E-2</v>
      </c>
      <c r="H59" s="2622">
        <v>11</v>
      </c>
      <c r="I59" s="2597">
        <f t="shared" si="22"/>
        <v>1.5392796171391788E-2</v>
      </c>
      <c r="J59" s="2622">
        <v>3</v>
      </c>
      <c r="K59" s="2597">
        <f t="shared" si="23"/>
        <v>7.447310279770622E-3</v>
      </c>
      <c r="L59" s="2622">
        <v>8</v>
      </c>
      <c r="M59" s="2597">
        <f t="shared" si="24"/>
        <v>2.5658295647711604E-2</v>
      </c>
      <c r="N59" s="2622" t="s">
        <v>1</v>
      </c>
      <c r="O59" s="2597" t="s">
        <v>1</v>
      </c>
      <c r="P59" s="2622" t="s">
        <v>1</v>
      </c>
      <c r="Q59" s="2597" t="s">
        <v>1</v>
      </c>
      <c r="R59" s="2622" t="s">
        <v>1</v>
      </c>
      <c r="S59" s="2597" t="s">
        <v>1</v>
      </c>
      <c r="T59" s="2623">
        <v>1</v>
      </c>
      <c r="U59" s="2597">
        <f>T59/T$5*100</f>
        <v>0.14005602240896359</v>
      </c>
      <c r="V59" s="2622">
        <v>1</v>
      </c>
      <c r="W59" s="2597">
        <f>V59/V$5*100</f>
        <v>0.1457725947521866</v>
      </c>
      <c r="X59" s="2622" t="s">
        <v>1</v>
      </c>
      <c r="Y59" s="2591" t="s">
        <v>1</v>
      </c>
    </row>
    <row r="60" spans="1:25" s="2551" customFormat="1" ht="16.5">
      <c r="A60" s="2621" t="s">
        <v>3840</v>
      </c>
      <c r="B60" s="2622">
        <v>5</v>
      </c>
      <c r="C60" s="2597">
        <f t="shared" si="19"/>
        <v>7.5431847325941014E-3</v>
      </c>
      <c r="D60" s="2622">
        <v>1</v>
      </c>
      <c r="E60" s="2597">
        <f t="shared" si="20"/>
        <v>2.6009155222638369E-3</v>
      </c>
      <c r="F60" s="2622">
        <v>4</v>
      </c>
      <c r="G60" s="2597">
        <f t="shared" si="27"/>
        <v>1.436936451485433E-2</v>
      </c>
      <c r="H60" s="2622">
        <v>13</v>
      </c>
      <c r="I60" s="2597">
        <f t="shared" si="22"/>
        <v>1.8191486384372114E-2</v>
      </c>
      <c r="J60" s="2622">
        <v>7</v>
      </c>
      <c r="K60" s="2597">
        <f t="shared" si="23"/>
        <v>1.7377057319464786E-2</v>
      </c>
      <c r="L60" s="2622">
        <v>6</v>
      </c>
      <c r="M60" s="2597">
        <f t="shared" si="24"/>
        <v>1.92437217357837E-2</v>
      </c>
      <c r="N60" s="2622">
        <v>1</v>
      </c>
      <c r="O60" s="2597">
        <f>N60/N$5*100</f>
        <v>6.6684449186449717E-3</v>
      </c>
      <c r="P60" s="2622">
        <v>1</v>
      </c>
      <c r="Q60" s="2597">
        <f>P60/P$5*100</f>
        <v>1.2342631449024932E-2</v>
      </c>
      <c r="R60" s="2622" t="s">
        <v>1</v>
      </c>
      <c r="S60" s="2597" t="s">
        <v>1</v>
      </c>
      <c r="T60" s="2623" t="s">
        <v>1</v>
      </c>
      <c r="U60" s="2597" t="s">
        <v>1</v>
      </c>
      <c r="V60" s="2622" t="s">
        <v>1</v>
      </c>
      <c r="W60" s="2597" t="s">
        <v>1</v>
      </c>
      <c r="X60" s="2622" t="s">
        <v>1</v>
      </c>
      <c r="Y60" s="2591" t="s">
        <v>1</v>
      </c>
    </row>
    <row r="61" spans="1:25" s="2551" customFormat="1" ht="16.5">
      <c r="A61" s="2621" t="s">
        <v>2703</v>
      </c>
      <c r="B61" s="2622">
        <v>2</v>
      </c>
      <c r="C61" s="2597">
        <f t="shared" si="19"/>
        <v>3.0172738930376404E-3</v>
      </c>
      <c r="D61" s="2622">
        <v>1</v>
      </c>
      <c r="E61" s="2597">
        <f t="shared" si="20"/>
        <v>2.6009155222638369E-3</v>
      </c>
      <c r="F61" s="2622">
        <v>1</v>
      </c>
      <c r="G61" s="2597">
        <f t="shared" si="27"/>
        <v>3.5923411287135825E-3</v>
      </c>
      <c r="H61" s="2622">
        <v>12</v>
      </c>
      <c r="I61" s="2597">
        <f t="shared" si="22"/>
        <v>1.679214127788195E-2</v>
      </c>
      <c r="J61" s="2622">
        <v>9</v>
      </c>
      <c r="K61" s="2597">
        <f t="shared" si="23"/>
        <v>2.2341930839311869E-2</v>
      </c>
      <c r="L61" s="2622">
        <v>3</v>
      </c>
      <c r="M61" s="2597">
        <f t="shared" si="24"/>
        <v>9.6218608678918498E-3</v>
      </c>
      <c r="N61" s="2622">
        <v>2</v>
      </c>
      <c r="O61" s="2597">
        <f>N61/N$5*100</f>
        <v>1.3336889837289943E-2</v>
      </c>
      <c r="P61" s="2622">
        <v>2</v>
      </c>
      <c r="Q61" s="2597">
        <f>P61/P$5*100</f>
        <v>2.4685262898049863E-2</v>
      </c>
      <c r="R61" s="2622" t="s">
        <v>1</v>
      </c>
      <c r="S61" s="2597" t="s">
        <v>1</v>
      </c>
      <c r="T61" s="2623">
        <v>1</v>
      </c>
      <c r="U61" s="2597">
        <f>T61/T$5*100</f>
        <v>0.14005602240896359</v>
      </c>
      <c r="V61" s="2622">
        <v>1</v>
      </c>
      <c r="W61" s="2597">
        <f>V61/V$5*100</f>
        <v>0.1457725947521866</v>
      </c>
      <c r="X61" s="2622" t="s">
        <v>1</v>
      </c>
      <c r="Y61" s="2591" t="s">
        <v>1</v>
      </c>
    </row>
    <row r="62" spans="1:25" s="2551" customFormat="1" ht="16.5">
      <c r="A62" s="2621" t="s">
        <v>3841</v>
      </c>
      <c r="B62" s="2622">
        <v>3</v>
      </c>
      <c r="C62" s="2597">
        <f t="shared" si="19"/>
        <v>4.525910839556461E-3</v>
      </c>
      <c r="D62" s="2622">
        <v>3</v>
      </c>
      <c r="E62" s="2597">
        <f t="shared" si="20"/>
        <v>7.8027465667915106E-3</v>
      </c>
      <c r="F62" s="2622" t="s">
        <v>1</v>
      </c>
      <c r="G62" s="2597" t="s">
        <v>1</v>
      </c>
      <c r="H62" s="2622">
        <v>5</v>
      </c>
      <c r="I62" s="2597">
        <f t="shared" si="22"/>
        <v>6.9967255324508131E-3</v>
      </c>
      <c r="J62" s="2622">
        <v>4</v>
      </c>
      <c r="K62" s="2597">
        <f t="shared" si="23"/>
        <v>9.9297470396941638E-3</v>
      </c>
      <c r="L62" s="2622">
        <v>1</v>
      </c>
      <c r="M62" s="2597">
        <f t="shared" si="24"/>
        <v>3.2072869559639505E-3</v>
      </c>
      <c r="N62" s="2622">
        <v>1</v>
      </c>
      <c r="O62" s="2597">
        <f>N62/N$5*100</f>
        <v>6.6684449186449717E-3</v>
      </c>
      <c r="P62" s="2622">
        <v>1</v>
      </c>
      <c r="Q62" s="2597">
        <f>P62/P$5*100</f>
        <v>1.2342631449024932E-2</v>
      </c>
      <c r="R62" s="2622" t="s">
        <v>1</v>
      </c>
      <c r="S62" s="2597" t="s">
        <v>1</v>
      </c>
      <c r="T62" s="2623">
        <v>1</v>
      </c>
      <c r="U62" s="2597">
        <f>T62/T$5*100</f>
        <v>0.14005602240896359</v>
      </c>
      <c r="V62" s="2622">
        <v>1</v>
      </c>
      <c r="W62" s="2597">
        <f>V62/V$5*100</f>
        <v>0.1457725947521866</v>
      </c>
      <c r="X62" s="2622" t="s">
        <v>1</v>
      </c>
      <c r="Y62" s="2591" t="s">
        <v>1</v>
      </c>
    </row>
    <row r="63" spans="1:25" s="2551" customFormat="1" ht="16.5">
      <c r="A63" s="2621" t="s">
        <v>3842</v>
      </c>
      <c r="B63" s="2622">
        <v>2</v>
      </c>
      <c r="C63" s="2597">
        <f t="shared" si="19"/>
        <v>3.0172738930376404E-3</v>
      </c>
      <c r="D63" s="2622">
        <v>1</v>
      </c>
      <c r="E63" s="2597">
        <f t="shared" si="20"/>
        <v>2.6009155222638369E-3</v>
      </c>
      <c r="F63" s="2622">
        <v>1</v>
      </c>
      <c r="G63" s="2597">
        <f>F63/F$5*100</f>
        <v>3.5923411287135825E-3</v>
      </c>
      <c r="H63" s="2622">
        <v>5</v>
      </c>
      <c r="I63" s="2597">
        <f t="shared" si="22"/>
        <v>6.9967255324508131E-3</v>
      </c>
      <c r="J63" s="2622">
        <v>4</v>
      </c>
      <c r="K63" s="2597">
        <f t="shared" si="23"/>
        <v>9.9297470396941638E-3</v>
      </c>
      <c r="L63" s="2622">
        <v>1</v>
      </c>
      <c r="M63" s="2597">
        <f t="shared" si="24"/>
        <v>3.2072869559639505E-3</v>
      </c>
      <c r="N63" s="2622">
        <v>1</v>
      </c>
      <c r="O63" s="2597">
        <f>N63/N$5*100</f>
        <v>6.6684449186449717E-3</v>
      </c>
      <c r="P63" s="2622">
        <v>1</v>
      </c>
      <c r="Q63" s="2597">
        <f>P63/P$5*100</f>
        <v>1.2342631449024932E-2</v>
      </c>
      <c r="R63" s="2622" t="s">
        <v>1</v>
      </c>
      <c r="S63" s="2597" t="s">
        <v>1</v>
      </c>
      <c r="T63" s="2623" t="s">
        <v>1</v>
      </c>
      <c r="U63" s="2597" t="s">
        <v>1</v>
      </c>
      <c r="V63" s="2622" t="s">
        <v>1</v>
      </c>
      <c r="W63" s="2597" t="s">
        <v>1</v>
      </c>
      <c r="X63" s="2622" t="s">
        <v>1</v>
      </c>
      <c r="Y63" s="2591" t="s">
        <v>1</v>
      </c>
    </row>
    <row r="64" spans="1:25" s="2551" customFormat="1" ht="16.5">
      <c r="A64" s="2621" t="s">
        <v>3843</v>
      </c>
      <c r="B64" s="2622" t="s">
        <v>1</v>
      </c>
      <c r="C64" s="2597" t="s">
        <v>1</v>
      </c>
      <c r="D64" s="2622" t="s">
        <v>1</v>
      </c>
      <c r="E64" s="2597" t="s">
        <v>1</v>
      </c>
      <c r="F64" s="2622" t="s">
        <v>1</v>
      </c>
      <c r="G64" s="2597" t="s">
        <v>1</v>
      </c>
      <c r="H64" s="2622" t="s">
        <v>1</v>
      </c>
      <c r="I64" s="2597" t="s">
        <v>1</v>
      </c>
      <c r="J64" s="2622" t="s">
        <v>1</v>
      </c>
      <c r="K64" s="2597" t="s">
        <v>1</v>
      </c>
      <c r="L64" s="2622" t="s">
        <v>1</v>
      </c>
      <c r="M64" s="2597" t="s">
        <v>1</v>
      </c>
      <c r="N64" s="2622" t="s">
        <v>1</v>
      </c>
      <c r="O64" s="2597" t="s">
        <v>1</v>
      </c>
      <c r="P64" s="2622" t="s">
        <v>1</v>
      </c>
      <c r="Q64" s="2597" t="s">
        <v>1</v>
      </c>
      <c r="R64" s="2622" t="s">
        <v>1</v>
      </c>
      <c r="S64" s="2597" t="s">
        <v>1</v>
      </c>
      <c r="T64" s="2623" t="s">
        <v>1</v>
      </c>
      <c r="U64" s="2597" t="s">
        <v>1</v>
      </c>
      <c r="V64" s="2622" t="s">
        <v>1</v>
      </c>
      <c r="W64" s="2597" t="s">
        <v>1</v>
      </c>
      <c r="X64" s="2622" t="s">
        <v>1</v>
      </c>
      <c r="Y64" s="2591" t="s">
        <v>1</v>
      </c>
    </row>
    <row r="65" spans="1:25" s="2551" customFormat="1" ht="16.5">
      <c r="A65" s="2621" t="s">
        <v>3844</v>
      </c>
      <c r="B65" s="2622">
        <v>2</v>
      </c>
      <c r="C65" s="2597">
        <f>B65/B$5*100</f>
        <v>3.0172738930376404E-3</v>
      </c>
      <c r="D65" s="2622" t="s">
        <v>1</v>
      </c>
      <c r="E65" s="2597" t="s">
        <v>1</v>
      </c>
      <c r="F65" s="2622">
        <v>2</v>
      </c>
      <c r="G65" s="2597">
        <f>F65/F$5*100</f>
        <v>7.184682257427165E-3</v>
      </c>
      <c r="H65" s="2622">
        <v>5</v>
      </c>
      <c r="I65" s="2597">
        <f t="shared" ref="I65:I75" si="28">H65/H$5*100</f>
        <v>6.9967255324508131E-3</v>
      </c>
      <c r="J65" s="2622">
        <v>4</v>
      </c>
      <c r="K65" s="2597">
        <f>J65/J$5*100</f>
        <v>9.9297470396941638E-3</v>
      </c>
      <c r="L65" s="2622">
        <v>1</v>
      </c>
      <c r="M65" s="2597">
        <f>L65/L$5*100</f>
        <v>3.2072869559639505E-3</v>
      </c>
      <c r="N65" s="2622" t="s">
        <v>1</v>
      </c>
      <c r="O65" s="2597" t="s">
        <v>1</v>
      </c>
      <c r="P65" s="2622" t="s">
        <v>1</v>
      </c>
      <c r="Q65" s="2597" t="s">
        <v>1</v>
      </c>
      <c r="R65" s="2622" t="s">
        <v>1</v>
      </c>
      <c r="S65" s="2597" t="s">
        <v>1</v>
      </c>
      <c r="T65" s="2623" t="s">
        <v>1</v>
      </c>
      <c r="U65" s="2597" t="s">
        <v>1</v>
      </c>
      <c r="V65" s="2622" t="s">
        <v>1</v>
      </c>
      <c r="W65" s="2597" t="s">
        <v>1</v>
      </c>
      <c r="X65" s="2622" t="s">
        <v>1</v>
      </c>
      <c r="Y65" s="2591" t="s">
        <v>1</v>
      </c>
    </row>
    <row r="66" spans="1:25" s="2551" customFormat="1" ht="16.5">
      <c r="A66" s="2621" t="s">
        <v>3846</v>
      </c>
      <c r="B66" s="2622">
        <v>2</v>
      </c>
      <c r="C66" s="2597">
        <f>B66/B$5*100</f>
        <v>3.0172738930376404E-3</v>
      </c>
      <c r="D66" s="2622">
        <v>1</v>
      </c>
      <c r="E66" s="2597">
        <f>D66/D$5*100</f>
        <v>2.6009155222638369E-3</v>
      </c>
      <c r="F66" s="2622">
        <v>1</v>
      </c>
      <c r="G66" s="2597">
        <f>F66/F$5*100</f>
        <v>3.5923411287135825E-3</v>
      </c>
      <c r="H66" s="2622">
        <v>3</v>
      </c>
      <c r="I66" s="2597">
        <f t="shared" si="28"/>
        <v>4.1980353194704875E-3</v>
      </c>
      <c r="J66" s="2622">
        <v>2</v>
      </c>
      <c r="K66" s="2597">
        <f>J66/J$5*100</f>
        <v>4.9648735198470819E-3</v>
      </c>
      <c r="L66" s="2622">
        <v>1</v>
      </c>
      <c r="M66" s="2597">
        <f>L66/L$5*100</f>
        <v>3.2072869559639505E-3</v>
      </c>
      <c r="N66" s="2622" t="s">
        <v>1</v>
      </c>
      <c r="O66" s="2597" t="s">
        <v>1</v>
      </c>
      <c r="P66" s="2622" t="s">
        <v>1</v>
      </c>
      <c r="Q66" s="2597" t="s">
        <v>1</v>
      </c>
      <c r="R66" s="2622" t="s">
        <v>1</v>
      </c>
      <c r="S66" s="2597" t="s">
        <v>1</v>
      </c>
      <c r="T66" s="2623" t="s">
        <v>1</v>
      </c>
      <c r="U66" s="2597" t="s">
        <v>1</v>
      </c>
      <c r="V66" s="2622" t="s">
        <v>1</v>
      </c>
      <c r="W66" s="2597" t="s">
        <v>1</v>
      </c>
      <c r="X66" s="2622" t="s">
        <v>1</v>
      </c>
      <c r="Y66" s="2591" t="s">
        <v>1</v>
      </c>
    </row>
    <row r="67" spans="1:25" s="2551" customFormat="1" ht="16.5">
      <c r="A67" s="2621" t="s">
        <v>3847</v>
      </c>
      <c r="B67" s="2622">
        <v>4</v>
      </c>
      <c r="C67" s="2597">
        <f>B67/B$5*100</f>
        <v>6.0345477860752807E-3</v>
      </c>
      <c r="D67" s="2622">
        <v>3</v>
      </c>
      <c r="E67" s="2597">
        <f>D67/D$5*100</f>
        <v>7.8027465667915106E-3</v>
      </c>
      <c r="F67" s="2622">
        <v>1</v>
      </c>
      <c r="G67" s="2597">
        <f>F67/F$5*100</f>
        <v>3.5923411287135825E-3</v>
      </c>
      <c r="H67" s="2622">
        <v>2</v>
      </c>
      <c r="I67" s="2597">
        <f t="shared" si="28"/>
        <v>2.7986902129803252E-3</v>
      </c>
      <c r="J67" s="2622">
        <v>2</v>
      </c>
      <c r="K67" s="2597">
        <f>J67/J$5*100</f>
        <v>4.9648735198470819E-3</v>
      </c>
      <c r="L67" s="2622" t="s">
        <v>1</v>
      </c>
      <c r="M67" s="2597" t="s">
        <v>1</v>
      </c>
      <c r="N67" s="2622" t="s">
        <v>1</v>
      </c>
      <c r="O67" s="2597" t="s">
        <v>1</v>
      </c>
      <c r="P67" s="2622" t="s">
        <v>1</v>
      </c>
      <c r="Q67" s="2597" t="s">
        <v>1</v>
      </c>
      <c r="R67" s="2622" t="s">
        <v>1</v>
      </c>
      <c r="S67" s="2597" t="s">
        <v>1</v>
      </c>
      <c r="T67" s="2623" t="s">
        <v>1</v>
      </c>
      <c r="U67" s="2597" t="s">
        <v>1</v>
      </c>
      <c r="V67" s="2622" t="s">
        <v>1</v>
      </c>
      <c r="W67" s="2597" t="s">
        <v>1</v>
      </c>
      <c r="X67" s="2622" t="s">
        <v>1</v>
      </c>
      <c r="Y67" s="2591" t="s">
        <v>1</v>
      </c>
    </row>
    <row r="68" spans="1:25" s="2551" customFormat="1" ht="16.5">
      <c r="A68" s="2621" t="s">
        <v>2723</v>
      </c>
      <c r="B68" s="2622">
        <v>1</v>
      </c>
      <c r="C68" s="2597">
        <f>B68/B$5*100</f>
        <v>1.5086369465188202E-3</v>
      </c>
      <c r="D68" s="2622">
        <v>1</v>
      </c>
      <c r="E68" s="2597">
        <f>D68/D$5*100</f>
        <v>2.6009155222638369E-3</v>
      </c>
      <c r="F68" s="2622" t="s">
        <v>1</v>
      </c>
      <c r="G68" s="2597" t="s">
        <v>1</v>
      </c>
      <c r="H68" s="2622">
        <v>4</v>
      </c>
      <c r="I68" s="2597">
        <f t="shared" si="28"/>
        <v>5.5973804259606503E-3</v>
      </c>
      <c r="J68" s="2622">
        <v>3</v>
      </c>
      <c r="K68" s="2597">
        <f>J68/J$5*100</f>
        <v>7.447310279770622E-3</v>
      </c>
      <c r="L68" s="2622">
        <v>1</v>
      </c>
      <c r="M68" s="2597">
        <f>L68/L$5*100</f>
        <v>3.2072869559639505E-3</v>
      </c>
      <c r="N68" s="2622">
        <v>1</v>
      </c>
      <c r="O68" s="2597">
        <f>N68/N$5*100</f>
        <v>6.6684449186449717E-3</v>
      </c>
      <c r="P68" s="2622">
        <v>1</v>
      </c>
      <c r="Q68" s="2597">
        <f>P68/P$5*100</f>
        <v>1.2342631449024932E-2</v>
      </c>
      <c r="R68" s="2622" t="s">
        <v>1</v>
      </c>
      <c r="S68" s="2597" t="s">
        <v>1</v>
      </c>
      <c r="T68" s="2623" t="s">
        <v>1</v>
      </c>
      <c r="U68" s="2597" t="s">
        <v>1</v>
      </c>
      <c r="V68" s="2622" t="s">
        <v>1</v>
      </c>
      <c r="W68" s="2597" t="s">
        <v>1</v>
      </c>
      <c r="X68" s="2622" t="s">
        <v>1</v>
      </c>
      <c r="Y68" s="2591" t="s">
        <v>1</v>
      </c>
    </row>
    <row r="69" spans="1:25" s="2551" customFormat="1" ht="16.5">
      <c r="A69" s="2621" t="s">
        <v>3848</v>
      </c>
      <c r="B69" s="2622">
        <v>2</v>
      </c>
      <c r="C69" s="2597">
        <f>B69/B$5*100</f>
        <v>3.0172738930376404E-3</v>
      </c>
      <c r="D69" s="2622">
        <v>2</v>
      </c>
      <c r="E69" s="2597">
        <f>D69/D$5*100</f>
        <v>5.2018310445276737E-3</v>
      </c>
      <c r="F69" s="2622" t="s">
        <v>1</v>
      </c>
      <c r="G69" s="2597" t="s">
        <v>1</v>
      </c>
      <c r="H69" s="2622">
        <v>2</v>
      </c>
      <c r="I69" s="2597">
        <f t="shared" si="28"/>
        <v>2.7986902129803252E-3</v>
      </c>
      <c r="J69" s="2622">
        <v>2</v>
      </c>
      <c r="K69" s="2597">
        <f>J69/J$5*100</f>
        <v>4.9648735198470819E-3</v>
      </c>
      <c r="L69" s="2622" t="s">
        <v>1</v>
      </c>
      <c r="M69" s="2597" t="s">
        <v>1</v>
      </c>
      <c r="N69" s="2622">
        <v>1</v>
      </c>
      <c r="O69" s="2597">
        <f>N69/N$5*100</f>
        <v>6.6684449186449717E-3</v>
      </c>
      <c r="P69" s="2622">
        <v>1</v>
      </c>
      <c r="Q69" s="2597">
        <f>P69/P$5*100</f>
        <v>1.2342631449024932E-2</v>
      </c>
      <c r="R69" s="2622" t="s">
        <v>1</v>
      </c>
      <c r="S69" s="2597" t="s">
        <v>1</v>
      </c>
      <c r="T69" s="2623" t="s">
        <v>1</v>
      </c>
      <c r="U69" s="2597" t="s">
        <v>1</v>
      </c>
      <c r="V69" s="2622" t="s">
        <v>1</v>
      </c>
      <c r="W69" s="2597" t="s">
        <v>1</v>
      </c>
      <c r="X69" s="2622" t="s">
        <v>1</v>
      </c>
      <c r="Y69" s="2591" t="s">
        <v>1</v>
      </c>
    </row>
    <row r="70" spans="1:25" s="2551" customFormat="1" ht="16.5">
      <c r="A70" s="2621" t="s">
        <v>3849</v>
      </c>
      <c r="B70" s="2622" t="s">
        <v>1</v>
      </c>
      <c r="C70" s="2597" t="s">
        <v>1</v>
      </c>
      <c r="D70" s="2622" t="s">
        <v>1</v>
      </c>
      <c r="E70" s="2597" t="s">
        <v>1</v>
      </c>
      <c r="F70" s="2622" t="s">
        <v>1</v>
      </c>
      <c r="G70" s="2597" t="s">
        <v>1</v>
      </c>
      <c r="H70" s="2622">
        <v>2</v>
      </c>
      <c r="I70" s="2597">
        <f t="shared" si="28"/>
        <v>2.7986902129803252E-3</v>
      </c>
      <c r="J70" s="2622" t="s">
        <v>1</v>
      </c>
      <c r="K70" s="2597" t="s">
        <v>1</v>
      </c>
      <c r="L70" s="2622">
        <v>2</v>
      </c>
      <c r="M70" s="2597">
        <f>L70/L$5*100</f>
        <v>6.4145739119279011E-3</v>
      </c>
      <c r="N70" s="2622">
        <v>1</v>
      </c>
      <c r="O70" s="2597">
        <f>N70/N$5*100</f>
        <v>6.6684449186449717E-3</v>
      </c>
      <c r="P70" s="2622" t="s">
        <v>1</v>
      </c>
      <c r="Q70" s="2597" t="s">
        <v>1</v>
      </c>
      <c r="R70" s="2622">
        <v>1</v>
      </c>
      <c r="S70" s="2597">
        <f>R70/R$5*100</f>
        <v>1.4505366985784741E-2</v>
      </c>
      <c r="T70" s="2623" t="s">
        <v>1</v>
      </c>
      <c r="U70" s="2597" t="s">
        <v>1</v>
      </c>
      <c r="V70" s="2622" t="s">
        <v>1</v>
      </c>
      <c r="W70" s="2597" t="s">
        <v>1</v>
      </c>
      <c r="X70" s="2622" t="s">
        <v>1</v>
      </c>
      <c r="Y70" s="2591" t="s">
        <v>1</v>
      </c>
    </row>
    <row r="71" spans="1:25" s="2551" customFormat="1" ht="16.5">
      <c r="A71" s="2621" t="s">
        <v>3851</v>
      </c>
      <c r="B71" s="2622">
        <v>3</v>
      </c>
      <c r="C71" s="2597">
        <f>B71/B$5*100</f>
        <v>4.525910839556461E-3</v>
      </c>
      <c r="D71" s="2622">
        <v>2</v>
      </c>
      <c r="E71" s="2597">
        <f>D71/D$5*100</f>
        <v>5.2018310445276737E-3</v>
      </c>
      <c r="F71" s="2622">
        <v>1</v>
      </c>
      <c r="G71" s="2597">
        <f>F71/F$5*100</f>
        <v>3.5923411287135825E-3</v>
      </c>
      <c r="H71" s="2622">
        <v>1</v>
      </c>
      <c r="I71" s="2597">
        <f t="shared" si="28"/>
        <v>1.3993451064901626E-3</v>
      </c>
      <c r="J71" s="2622">
        <v>1</v>
      </c>
      <c r="K71" s="2597">
        <f>J71/J$5*100</f>
        <v>2.482436759923541E-3</v>
      </c>
      <c r="L71" s="2622" t="s">
        <v>1</v>
      </c>
      <c r="M71" s="2597" t="s">
        <v>1</v>
      </c>
      <c r="N71" s="2622" t="s">
        <v>1</v>
      </c>
      <c r="O71" s="2597" t="s">
        <v>1</v>
      </c>
      <c r="P71" s="2622" t="s">
        <v>1</v>
      </c>
      <c r="Q71" s="2597" t="s">
        <v>1</v>
      </c>
      <c r="R71" s="2622" t="s">
        <v>1</v>
      </c>
      <c r="S71" s="2597" t="s">
        <v>1</v>
      </c>
      <c r="T71" s="2623" t="s">
        <v>1</v>
      </c>
      <c r="U71" s="2597" t="s">
        <v>1</v>
      </c>
      <c r="V71" s="2622" t="s">
        <v>1</v>
      </c>
      <c r="W71" s="2597" t="s">
        <v>1</v>
      </c>
      <c r="X71" s="2622" t="s">
        <v>1</v>
      </c>
      <c r="Y71" s="2591" t="s">
        <v>1</v>
      </c>
    </row>
    <row r="72" spans="1:25" s="2551" customFormat="1" ht="16.5">
      <c r="A72" s="2621" t="s">
        <v>3853</v>
      </c>
      <c r="B72" s="2622">
        <v>3</v>
      </c>
      <c r="C72" s="2597">
        <f>B72/B$5*100</f>
        <v>4.525910839556461E-3</v>
      </c>
      <c r="D72" s="2622">
        <v>3</v>
      </c>
      <c r="E72" s="2597">
        <f>D72/D$5*100</f>
        <v>7.8027465667915106E-3</v>
      </c>
      <c r="F72" s="2622" t="s">
        <v>1</v>
      </c>
      <c r="G72" s="2597" t="s">
        <v>1</v>
      </c>
      <c r="H72" s="2622">
        <v>1</v>
      </c>
      <c r="I72" s="2597">
        <f t="shared" si="28"/>
        <v>1.3993451064901626E-3</v>
      </c>
      <c r="J72" s="2622">
        <v>1</v>
      </c>
      <c r="K72" s="2597">
        <f>J72/J$5*100</f>
        <v>2.482436759923541E-3</v>
      </c>
      <c r="L72" s="2622" t="s">
        <v>1</v>
      </c>
      <c r="M72" s="2597" t="s">
        <v>1</v>
      </c>
      <c r="N72" s="2622" t="s">
        <v>1</v>
      </c>
      <c r="O72" s="2597" t="s">
        <v>1</v>
      </c>
      <c r="P72" s="2622" t="s">
        <v>1</v>
      </c>
      <c r="Q72" s="2597" t="s">
        <v>1</v>
      </c>
      <c r="R72" s="2622" t="s">
        <v>1</v>
      </c>
      <c r="S72" s="2597" t="s">
        <v>1</v>
      </c>
      <c r="T72" s="2623" t="s">
        <v>1</v>
      </c>
      <c r="U72" s="2597" t="s">
        <v>1</v>
      </c>
      <c r="V72" s="2622" t="s">
        <v>1</v>
      </c>
      <c r="W72" s="2597" t="s">
        <v>1</v>
      </c>
      <c r="X72" s="2622" t="s">
        <v>1</v>
      </c>
      <c r="Y72" s="2591" t="s">
        <v>1</v>
      </c>
    </row>
    <row r="73" spans="1:25" s="2551" customFormat="1" ht="16.5">
      <c r="A73" s="2621" t="s">
        <v>3855</v>
      </c>
      <c r="B73" s="2622">
        <v>2</v>
      </c>
      <c r="C73" s="2597">
        <f>B73/B$5*100</f>
        <v>3.0172738930376404E-3</v>
      </c>
      <c r="D73" s="2622">
        <v>2</v>
      </c>
      <c r="E73" s="2597">
        <f>D73/D$5*100</f>
        <v>5.2018310445276737E-3</v>
      </c>
      <c r="F73" s="2622" t="s">
        <v>1</v>
      </c>
      <c r="G73" s="2597" t="s">
        <v>1</v>
      </c>
      <c r="H73" s="2622">
        <v>2</v>
      </c>
      <c r="I73" s="2597">
        <f t="shared" si="28"/>
        <v>2.7986902129803252E-3</v>
      </c>
      <c r="J73" s="2622">
        <v>1</v>
      </c>
      <c r="K73" s="2597">
        <f>J73/J$5*100</f>
        <v>2.482436759923541E-3</v>
      </c>
      <c r="L73" s="2622">
        <v>1</v>
      </c>
      <c r="M73" s="2597">
        <f>L73/L$5*100</f>
        <v>3.2072869559639505E-3</v>
      </c>
      <c r="N73" s="2622">
        <v>1</v>
      </c>
      <c r="O73" s="2597">
        <f>N73/N$5*100</f>
        <v>6.6684449186449717E-3</v>
      </c>
      <c r="P73" s="2622">
        <v>1</v>
      </c>
      <c r="Q73" s="2597">
        <f>P73/P$5*100</f>
        <v>1.2342631449024932E-2</v>
      </c>
      <c r="R73" s="2622" t="s">
        <v>1</v>
      </c>
      <c r="S73" s="2597" t="s">
        <v>1</v>
      </c>
      <c r="T73" s="2623" t="s">
        <v>1</v>
      </c>
      <c r="U73" s="2597" t="s">
        <v>1</v>
      </c>
      <c r="V73" s="2622" t="s">
        <v>1</v>
      </c>
      <c r="W73" s="2597" t="s">
        <v>1</v>
      </c>
      <c r="X73" s="2622" t="s">
        <v>1</v>
      </c>
      <c r="Y73" s="2591" t="s">
        <v>1</v>
      </c>
    </row>
    <row r="74" spans="1:25" s="2551" customFormat="1" ht="16.5">
      <c r="A74" s="2621" t="s">
        <v>3856</v>
      </c>
      <c r="B74" s="2622">
        <v>4</v>
      </c>
      <c r="C74" s="2597">
        <f>B74/B$5*100</f>
        <v>6.0345477860752807E-3</v>
      </c>
      <c r="D74" s="2622">
        <v>3</v>
      </c>
      <c r="E74" s="2597">
        <f>D74/D$5*100</f>
        <v>7.8027465667915106E-3</v>
      </c>
      <c r="F74" s="2622">
        <v>1</v>
      </c>
      <c r="G74" s="2597">
        <f>F74/F$5*100</f>
        <v>3.5923411287135825E-3</v>
      </c>
      <c r="H74" s="2622">
        <v>1</v>
      </c>
      <c r="I74" s="2597">
        <f t="shared" si="28"/>
        <v>1.3993451064901626E-3</v>
      </c>
      <c r="J74" s="2622" t="s">
        <v>1</v>
      </c>
      <c r="K74" s="2597" t="s">
        <v>1</v>
      </c>
      <c r="L74" s="2622">
        <v>1</v>
      </c>
      <c r="M74" s="2597">
        <f>L74/L$5*100</f>
        <v>3.2072869559639505E-3</v>
      </c>
      <c r="N74" s="2622" t="s">
        <v>1</v>
      </c>
      <c r="O74" s="2597" t="s">
        <v>1</v>
      </c>
      <c r="P74" s="2622" t="s">
        <v>1</v>
      </c>
      <c r="Q74" s="2597" t="s">
        <v>1</v>
      </c>
      <c r="R74" s="2622" t="s">
        <v>1</v>
      </c>
      <c r="S74" s="2597" t="s">
        <v>1</v>
      </c>
      <c r="T74" s="2623" t="s">
        <v>1</v>
      </c>
      <c r="U74" s="2597" t="s">
        <v>1</v>
      </c>
      <c r="V74" s="2622" t="s">
        <v>1</v>
      </c>
      <c r="W74" s="2597" t="s">
        <v>1</v>
      </c>
      <c r="X74" s="2622" t="s">
        <v>1</v>
      </c>
      <c r="Y74" s="2591" t="s">
        <v>1</v>
      </c>
    </row>
    <row r="75" spans="1:25" s="2551" customFormat="1" ht="16.5">
      <c r="A75" s="2621" t="s">
        <v>3857</v>
      </c>
      <c r="B75" s="2622" t="s">
        <v>1</v>
      </c>
      <c r="C75" s="2597" t="s">
        <v>1</v>
      </c>
      <c r="D75" s="2622" t="s">
        <v>1</v>
      </c>
      <c r="E75" s="2597" t="s">
        <v>1</v>
      </c>
      <c r="F75" s="2622" t="s">
        <v>1</v>
      </c>
      <c r="G75" s="2597" t="s">
        <v>1</v>
      </c>
      <c r="H75" s="2622">
        <v>3</v>
      </c>
      <c r="I75" s="2597">
        <f t="shared" si="28"/>
        <v>4.1980353194704875E-3</v>
      </c>
      <c r="J75" s="2622">
        <v>3</v>
      </c>
      <c r="K75" s="2597">
        <f>J75/J$5*100</f>
        <v>7.447310279770622E-3</v>
      </c>
      <c r="L75" s="2622" t="s">
        <v>1</v>
      </c>
      <c r="M75" s="2597" t="s">
        <v>1</v>
      </c>
      <c r="N75" s="2622">
        <v>1</v>
      </c>
      <c r="O75" s="2597">
        <f>N75/N$5*100</f>
        <v>6.6684449186449717E-3</v>
      </c>
      <c r="P75" s="2622">
        <v>1</v>
      </c>
      <c r="Q75" s="2597">
        <f>P75/P$5*100</f>
        <v>1.2342631449024932E-2</v>
      </c>
      <c r="R75" s="2622" t="s">
        <v>1</v>
      </c>
      <c r="S75" s="2597" t="s">
        <v>1</v>
      </c>
      <c r="T75" s="2623" t="s">
        <v>1</v>
      </c>
      <c r="U75" s="2597" t="s">
        <v>1</v>
      </c>
      <c r="V75" s="2622" t="s">
        <v>1</v>
      </c>
      <c r="W75" s="2597" t="s">
        <v>1</v>
      </c>
      <c r="X75" s="2622" t="s">
        <v>1</v>
      </c>
      <c r="Y75" s="2591" t="s">
        <v>1</v>
      </c>
    </row>
    <row r="76" spans="1:25" s="2551" customFormat="1" ht="16.5">
      <c r="A76" s="2621" t="s">
        <v>3858</v>
      </c>
      <c r="B76" s="2622">
        <v>4</v>
      </c>
      <c r="C76" s="2597">
        <f>B76/B$5*100</f>
        <v>6.0345477860752807E-3</v>
      </c>
      <c r="D76" s="2622">
        <v>3</v>
      </c>
      <c r="E76" s="2597">
        <f>D76/D$5*100</f>
        <v>7.8027465667915106E-3</v>
      </c>
      <c r="F76" s="2622">
        <v>1</v>
      </c>
      <c r="G76" s="2597">
        <f>F76/F$5*100</f>
        <v>3.5923411287135825E-3</v>
      </c>
      <c r="H76" s="2622" t="s">
        <v>1</v>
      </c>
      <c r="I76" s="2597" t="s">
        <v>1</v>
      </c>
      <c r="J76" s="2622" t="s">
        <v>1</v>
      </c>
      <c r="K76" s="2597" t="s">
        <v>1</v>
      </c>
      <c r="L76" s="2622" t="s">
        <v>1</v>
      </c>
      <c r="M76" s="2597" t="s">
        <v>1</v>
      </c>
      <c r="N76" s="2622" t="s">
        <v>1</v>
      </c>
      <c r="O76" s="2597" t="s">
        <v>1</v>
      </c>
      <c r="P76" s="2622" t="s">
        <v>1</v>
      </c>
      <c r="Q76" s="2597" t="s">
        <v>1</v>
      </c>
      <c r="R76" s="2622" t="s">
        <v>1</v>
      </c>
      <c r="S76" s="2597" t="s">
        <v>1</v>
      </c>
      <c r="T76" s="2623" t="s">
        <v>1</v>
      </c>
      <c r="U76" s="2597" t="s">
        <v>1</v>
      </c>
      <c r="V76" s="2622" t="s">
        <v>1</v>
      </c>
      <c r="W76" s="2597" t="s">
        <v>1</v>
      </c>
      <c r="X76" s="2622" t="s">
        <v>1</v>
      </c>
      <c r="Y76" s="2591" t="s">
        <v>1</v>
      </c>
    </row>
    <row r="77" spans="1:25" s="2551" customFormat="1" ht="16.5">
      <c r="A77" s="2621" t="s">
        <v>3859</v>
      </c>
      <c r="B77" s="2622" t="s">
        <v>1</v>
      </c>
      <c r="C77" s="2597" t="s">
        <v>1</v>
      </c>
      <c r="D77" s="2622" t="s">
        <v>1</v>
      </c>
      <c r="E77" s="2597" t="s">
        <v>1</v>
      </c>
      <c r="F77" s="2622" t="s">
        <v>1</v>
      </c>
      <c r="G77" s="2597" t="s">
        <v>1</v>
      </c>
      <c r="H77" s="2622">
        <v>4</v>
      </c>
      <c r="I77" s="2597">
        <f t="shared" ref="I77:I87" si="29">H77/H$5*100</f>
        <v>5.5973804259606503E-3</v>
      </c>
      <c r="J77" s="2622">
        <v>4</v>
      </c>
      <c r="K77" s="2597">
        <f>J77/J$5*100</f>
        <v>9.9297470396941638E-3</v>
      </c>
      <c r="L77" s="2622" t="s">
        <v>1</v>
      </c>
      <c r="M77" s="2597" t="s">
        <v>1</v>
      </c>
      <c r="N77" s="2622" t="s">
        <v>1</v>
      </c>
      <c r="O77" s="2597" t="s">
        <v>1</v>
      </c>
      <c r="P77" s="2622" t="s">
        <v>1</v>
      </c>
      <c r="Q77" s="2597" t="s">
        <v>1</v>
      </c>
      <c r="R77" s="2622" t="s">
        <v>1</v>
      </c>
      <c r="S77" s="2597" t="s">
        <v>1</v>
      </c>
      <c r="T77" s="2623" t="s">
        <v>1</v>
      </c>
      <c r="U77" s="2597" t="s">
        <v>1</v>
      </c>
      <c r="V77" s="2622" t="s">
        <v>1</v>
      </c>
      <c r="W77" s="2597" t="s">
        <v>1</v>
      </c>
      <c r="X77" s="2622" t="s">
        <v>1</v>
      </c>
      <c r="Y77" s="2591" t="s">
        <v>1</v>
      </c>
    </row>
    <row r="78" spans="1:25" s="2551" customFormat="1" ht="16.5">
      <c r="A78" s="2621" t="s">
        <v>3861</v>
      </c>
      <c r="B78" s="2622">
        <v>1</v>
      </c>
      <c r="C78" s="2597">
        <f>B78/B$5*100</f>
        <v>1.5086369465188202E-3</v>
      </c>
      <c r="D78" s="2622">
        <v>1</v>
      </c>
      <c r="E78" s="2597">
        <f>D78/D$5*100</f>
        <v>2.6009155222638369E-3</v>
      </c>
      <c r="F78" s="2622" t="s">
        <v>1</v>
      </c>
      <c r="G78" s="2597" t="s">
        <v>1</v>
      </c>
      <c r="H78" s="2622">
        <v>2</v>
      </c>
      <c r="I78" s="2597">
        <f t="shared" si="29"/>
        <v>2.7986902129803252E-3</v>
      </c>
      <c r="J78" s="2622">
        <v>1</v>
      </c>
      <c r="K78" s="2597">
        <f>J78/J$5*100</f>
        <v>2.482436759923541E-3</v>
      </c>
      <c r="L78" s="2622">
        <v>1</v>
      </c>
      <c r="M78" s="2597">
        <f>L78/L$5*100</f>
        <v>3.2072869559639505E-3</v>
      </c>
      <c r="N78" s="2622">
        <v>1</v>
      </c>
      <c r="O78" s="2597">
        <f>N78/N$5*100</f>
        <v>6.6684449186449717E-3</v>
      </c>
      <c r="P78" s="2622">
        <v>1</v>
      </c>
      <c r="Q78" s="2597">
        <f>P78/P$5*100</f>
        <v>1.2342631449024932E-2</v>
      </c>
      <c r="R78" s="2622" t="s">
        <v>1</v>
      </c>
      <c r="S78" s="2597" t="s">
        <v>1</v>
      </c>
      <c r="T78" s="2623" t="s">
        <v>1</v>
      </c>
      <c r="U78" s="2597" t="s">
        <v>1</v>
      </c>
      <c r="V78" s="2622" t="s">
        <v>1</v>
      </c>
      <c r="W78" s="2597" t="s">
        <v>1</v>
      </c>
      <c r="X78" s="2622" t="s">
        <v>1</v>
      </c>
      <c r="Y78" s="2591" t="s">
        <v>1</v>
      </c>
    </row>
    <row r="79" spans="1:25" s="2551" customFormat="1" ht="16.5">
      <c r="A79" s="2621" t="s">
        <v>3862</v>
      </c>
      <c r="B79" s="2622">
        <v>1</v>
      </c>
      <c r="C79" s="2597">
        <f>B79/B$5*100</f>
        <v>1.5086369465188202E-3</v>
      </c>
      <c r="D79" s="2622">
        <v>1</v>
      </c>
      <c r="E79" s="2597">
        <f>D79/D$5*100</f>
        <v>2.6009155222638369E-3</v>
      </c>
      <c r="F79" s="2622" t="s">
        <v>1</v>
      </c>
      <c r="G79" s="2597" t="s">
        <v>1</v>
      </c>
      <c r="H79" s="2622">
        <v>3</v>
      </c>
      <c r="I79" s="2597">
        <f t="shared" si="29"/>
        <v>4.1980353194704875E-3</v>
      </c>
      <c r="J79" s="2622">
        <v>3</v>
      </c>
      <c r="K79" s="2597">
        <f>J79/J$5*100</f>
        <v>7.447310279770622E-3</v>
      </c>
      <c r="L79" s="2622" t="s">
        <v>1</v>
      </c>
      <c r="M79" s="2597" t="s">
        <v>1</v>
      </c>
      <c r="N79" s="2622" t="s">
        <v>1</v>
      </c>
      <c r="O79" s="2597" t="s">
        <v>1</v>
      </c>
      <c r="P79" s="2622" t="s">
        <v>1</v>
      </c>
      <c r="Q79" s="2597" t="s">
        <v>1</v>
      </c>
      <c r="R79" s="2622" t="s">
        <v>1</v>
      </c>
      <c r="S79" s="2597" t="s">
        <v>1</v>
      </c>
      <c r="T79" s="2623" t="s">
        <v>1</v>
      </c>
      <c r="U79" s="2597" t="s">
        <v>1</v>
      </c>
      <c r="V79" s="2622" t="s">
        <v>1</v>
      </c>
      <c r="W79" s="2597" t="s">
        <v>1</v>
      </c>
      <c r="X79" s="2622" t="s">
        <v>1</v>
      </c>
      <c r="Y79" s="2591" t="s">
        <v>1</v>
      </c>
    </row>
    <row r="80" spans="1:25" s="2551" customFormat="1" ht="16.5">
      <c r="A80" s="2621" t="s">
        <v>3863</v>
      </c>
      <c r="B80" s="2622" t="s">
        <v>1</v>
      </c>
      <c r="C80" s="2597" t="s">
        <v>1</v>
      </c>
      <c r="D80" s="2622" t="s">
        <v>1</v>
      </c>
      <c r="E80" s="2597" t="s">
        <v>1</v>
      </c>
      <c r="F80" s="2622" t="s">
        <v>1</v>
      </c>
      <c r="G80" s="2597" t="s">
        <v>1</v>
      </c>
      <c r="H80" s="2622">
        <v>1</v>
      </c>
      <c r="I80" s="2597">
        <f t="shared" si="29"/>
        <v>1.3993451064901626E-3</v>
      </c>
      <c r="J80" s="2622" t="s">
        <v>1</v>
      </c>
      <c r="K80" s="2597" t="s">
        <v>1</v>
      </c>
      <c r="L80" s="2622">
        <v>1</v>
      </c>
      <c r="M80" s="2597">
        <f>L80/L$5*100</f>
        <v>3.2072869559639505E-3</v>
      </c>
      <c r="N80" s="2622">
        <v>2</v>
      </c>
      <c r="O80" s="2597">
        <f>N80/N$5*100</f>
        <v>1.3336889837289943E-2</v>
      </c>
      <c r="P80" s="2622">
        <v>2</v>
      </c>
      <c r="Q80" s="2597">
        <f>P80/P$5*100</f>
        <v>2.4685262898049863E-2</v>
      </c>
      <c r="R80" s="2622" t="s">
        <v>1</v>
      </c>
      <c r="S80" s="2597" t="s">
        <v>1</v>
      </c>
      <c r="T80" s="2623">
        <v>1</v>
      </c>
      <c r="U80" s="2597">
        <f>T80/T$5*100</f>
        <v>0.14005602240896359</v>
      </c>
      <c r="V80" s="2622">
        <v>1</v>
      </c>
      <c r="W80" s="2597">
        <f>V80/V$5*100</f>
        <v>0.1457725947521866</v>
      </c>
      <c r="X80" s="2622" t="s">
        <v>1</v>
      </c>
      <c r="Y80" s="2591" t="s">
        <v>1</v>
      </c>
    </row>
    <row r="81" spans="1:25" s="2551" customFormat="1" ht="16.5">
      <c r="A81" s="2621" t="s">
        <v>3864</v>
      </c>
      <c r="B81" s="2622">
        <v>1</v>
      </c>
      <c r="C81" s="2597">
        <f t="shared" ref="C81:C86" si="30">B81/B$5*100</f>
        <v>1.5086369465188202E-3</v>
      </c>
      <c r="D81" s="2622">
        <v>1</v>
      </c>
      <c r="E81" s="2597">
        <f>D81/D$5*100</f>
        <v>2.6009155222638369E-3</v>
      </c>
      <c r="F81" s="2622" t="s">
        <v>1</v>
      </c>
      <c r="G81" s="2597" t="s">
        <v>1</v>
      </c>
      <c r="H81" s="2622">
        <v>2</v>
      </c>
      <c r="I81" s="2597">
        <f t="shared" si="29"/>
        <v>2.7986902129803252E-3</v>
      </c>
      <c r="J81" s="2622">
        <v>1</v>
      </c>
      <c r="K81" s="2597">
        <f>J81/J$5*100</f>
        <v>2.482436759923541E-3</v>
      </c>
      <c r="L81" s="2622">
        <v>1</v>
      </c>
      <c r="M81" s="2597">
        <f>L81/L$5*100</f>
        <v>3.2072869559639505E-3</v>
      </c>
      <c r="N81" s="2622" t="s">
        <v>1</v>
      </c>
      <c r="O81" s="2597" t="s">
        <v>1</v>
      </c>
      <c r="P81" s="2622" t="s">
        <v>1</v>
      </c>
      <c r="Q81" s="2597" t="s">
        <v>1</v>
      </c>
      <c r="R81" s="2622" t="s">
        <v>1</v>
      </c>
      <c r="S81" s="2597" t="s">
        <v>1</v>
      </c>
      <c r="T81" s="2623" t="s">
        <v>1</v>
      </c>
      <c r="U81" s="2597" t="s">
        <v>1</v>
      </c>
      <c r="V81" s="2622" t="s">
        <v>1</v>
      </c>
      <c r="W81" s="2597" t="s">
        <v>1</v>
      </c>
      <c r="X81" s="2622" t="s">
        <v>1</v>
      </c>
      <c r="Y81" s="2591" t="s">
        <v>1</v>
      </c>
    </row>
    <row r="82" spans="1:25" s="2551" customFormat="1" ht="16.5">
      <c r="A82" s="2621" t="s">
        <v>3865</v>
      </c>
      <c r="B82" s="2622">
        <v>1</v>
      </c>
      <c r="C82" s="2597">
        <f t="shared" si="30"/>
        <v>1.5086369465188202E-3</v>
      </c>
      <c r="D82" s="2622">
        <v>1</v>
      </c>
      <c r="E82" s="2597">
        <f>D82/D$5*100</f>
        <v>2.6009155222638369E-3</v>
      </c>
      <c r="F82" s="2622" t="s">
        <v>1</v>
      </c>
      <c r="G82" s="2597" t="s">
        <v>1</v>
      </c>
      <c r="H82" s="2622">
        <v>2</v>
      </c>
      <c r="I82" s="2597">
        <f t="shared" si="29"/>
        <v>2.7986902129803252E-3</v>
      </c>
      <c r="J82" s="2622">
        <v>1</v>
      </c>
      <c r="K82" s="2597">
        <f>J82/J$5*100</f>
        <v>2.482436759923541E-3</v>
      </c>
      <c r="L82" s="2622">
        <v>1</v>
      </c>
      <c r="M82" s="2597">
        <f>L82/L$5*100</f>
        <v>3.2072869559639505E-3</v>
      </c>
      <c r="N82" s="2622" t="s">
        <v>1</v>
      </c>
      <c r="O82" s="2597" t="s">
        <v>1</v>
      </c>
      <c r="P82" s="2622" t="s">
        <v>1</v>
      </c>
      <c r="Q82" s="2597" t="s">
        <v>1</v>
      </c>
      <c r="R82" s="2622" t="s">
        <v>1</v>
      </c>
      <c r="S82" s="2597" t="s">
        <v>1</v>
      </c>
      <c r="T82" s="2623" t="s">
        <v>1</v>
      </c>
      <c r="U82" s="2597" t="s">
        <v>1</v>
      </c>
      <c r="V82" s="2622" t="s">
        <v>1</v>
      </c>
      <c r="W82" s="2597" t="s">
        <v>1</v>
      </c>
      <c r="X82" s="2622" t="s">
        <v>1</v>
      </c>
      <c r="Y82" s="2591" t="s">
        <v>1</v>
      </c>
    </row>
    <row r="83" spans="1:25" s="2551" customFormat="1" ht="16.5">
      <c r="A83" s="2621" t="s">
        <v>3866</v>
      </c>
      <c r="B83" s="2622">
        <v>1</v>
      </c>
      <c r="C83" s="2597">
        <f t="shared" si="30"/>
        <v>1.5086369465188202E-3</v>
      </c>
      <c r="D83" s="2622" t="s">
        <v>1</v>
      </c>
      <c r="E83" s="2597" t="s">
        <v>1</v>
      </c>
      <c r="F83" s="2622">
        <v>1</v>
      </c>
      <c r="G83" s="2597">
        <f>F83/F$5*100</f>
        <v>3.5923411287135825E-3</v>
      </c>
      <c r="H83" s="2622">
        <v>2</v>
      </c>
      <c r="I83" s="2597">
        <f t="shared" si="29"/>
        <v>2.7986902129803252E-3</v>
      </c>
      <c r="J83" s="2622">
        <v>1</v>
      </c>
      <c r="K83" s="2597">
        <f>J83/J$5*100</f>
        <v>2.482436759923541E-3</v>
      </c>
      <c r="L83" s="2622">
        <v>1</v>
      </c>
      <c r="M83" s="2597">
        <f>L83/L$5*100</f>
        <v>3.2072869559639505E-3</v>
      </c>
      <c r="N83" s="2622" t="s">
        <v>1</v>
      </c>
      <c r="O83" s="2597" t="s">
        <v>1</v>
      </c>
      <c r="P83" s="2622" t="s">
        <v>1</v>
      </c>
      <c r="Q83" s="2597" t="s">
        <v>1</v>
      </c>
      <c r="R83" s="2622" t="s">
        <v>1</v>
      </c>
      <c r="S83" s="2597" t="s">
        <v>1</v>
      </c>
      <c r="T83" s="2623" t="s">
        <v>1</v>
      </c>
      <c r="U83" s="2597" t="s">
        <v>1</v>
      </c>
      <c r="V83" s="2622" t="s">
        <v>1</v>
      </c>
      <c r="W83" s="2597" t="s">
        <v>1</v>
      </c>
      <c r="X83" s="2622" t="s">
        <v>1</v>
      </c>
      <c r="Y83" s="2591" t="s">
        <v>1</v>
      </c>
    </row>
    <row r="84" spans="1:25" s="2551" customFormat="1" ht="16.5">
      <c r="A84" s="2621" t="s">
        <v>3867</v>
      </c>
      <c r="B84" s="2622">
        <v>2</v>
      </c>
      <c r="C84" s="2597">
        <f t="shared" si="30"/>
        <v>3.0172738930376404E-3</v>
      </c>
      <c r="D84" s="2622" t="s">
        <v>1</v>
      </c>
      <c r="E84" s="2597" t="s">
        <v>1</v>
      </c>
      <c r="F84" s="2622">
        <v>2</v>
      </c>
      <c r="G84" s="2597">
        <f>F84/F$5*100</f>
        <v>7.184682257427165E-3</v>
      </c>
      <c r="H84" s="2622">
        <v>1</v>
      </c>
      <c r="I84" s="2597">
        <f t="shared" si="29"/>
        <v>1.3993451064901626E-3</v>
      </c>
      <c r="J84" s="2622" t="s">
        <v>1</v>
      </c>
      <c r="K84" s="2597" t="s">
        <v>1</v>
      </c>
      <c r="L84" s="2622">
        <v>1</v>
      </c>
      <c r="M84" s="2597">
        <f>L84/L$5*100</f>
        <v>3.2072869559639505E-3</v>
      </c>
      <c r="N84" s="2622" t="s">
        <v>1</v>
      </c>
      <c r="O84" s="2597" t="s">
        <v>1</v>
      </c>
      <c r="P84" s="2622" t="s">
        <v>1</v>
      </c>
      <c r="Q84" s="2597" t="s">
        <v>1</v>
      </c>
      <c r="R84" s="2622" t="s">
        <v>1</v>
      </c>
      <c r="S84" s="2597" t="s">
        <v>1</v>
      </c>
      <c r="T84" s="2623" t="s">
        <v>1</v>
      </c>
      <c r="U84" s="2597" t="s">
        <v>1</v>
      </c>
      <c r="V84" s="2622" t="s">
        <v>1</v>
      </c>
      <c r="W84" s="2597" t="s">
        <v>1</v>
      </c>
      <c r="X84" s="2622" t="s">
        <v>1</v>
      </c>
      <c r="Y84" s="2591" t="s">
        <v>1</v>
      </c>
    </row>
    <row r="85" spans="1:25" s="2551" customFormat="1" ht="16.5">
      <c r="A85" s="2621" t="s">
        <v>3868</v>
      </c>
      <c r="B85" s="2622">
        <v>2</v>
      </c>
      <c r="C85" s="2597">
        <f t="shared" si="30"/>
        <v>3.0172738930376404E-3</v>
      </c>
      <c r="D85" s="2622">
        <v>1</v>
      </c>
      <c r="E85" s="2597">
        <f>D85/D$5*100</f>
        <v>2.6009155222638369E-3</v>
      </c>
      <c r="F85" s="2622">
        <v>1</v>
      </c>
      <c r="G85" s="2597">
        <f>F85/F$5*100</f>
        <v>3.5923411287135825E-3</v>
      </c>
      <c r="H85" s="2622">
        <v>1</v>
      </c>
      <c r="I85" s="2597">
        <f t="shared" si="29"/>
        <v>1.3993451064901626E-3</v>
      </c>
      <c r="J85" s="2622">
        <v>1</v>
      </c>
      <c r="K85" s="2597">
        <f>J85/J$5*100</f>
        <v>2.482436759923541E-3</v>
      </c>
      <c r="L85" s="2622" t="s">
        <v>1</v>
      </c>
      <c r="M85" s="2597" t="s">
        <v>1</v>
      </c>
      <c r="N85" s="2622" t="s">
        <v>1</v>
      </c>
      <c r="O85" s="2597" t="s">
        <v>1</v>
      </c>
      <c r="P85" s="2622" t="s">
        <v>1</v>
      </c>
      <c r="Q85" s="2597" t="s">
        <v>1</v>
      </c>
      <c r="R85" s="2622" t="s">
        <v>1</v>
      </c>
      <c r="S85" s="2597" t="s">
        <v>1</v>
      </c>
      <c r="T85" s="2623" t="s">
        <v>1</v>
      </c>
      <c r="U85" s="2597" t="s">
        <v>1</v>
      </c>
      <c r="V85" s="2622" t="s">
        <v>1</v>
      </c>
      <c r="W85" s="2597" t="s">
        <v>1</v>
      </c>
      <c r="X85" s="2622" t="s">
        <v>1</v>
      </c>
      <c r="Y85" s="2591" t="s">
        <v>1</v>
      </c>
    </row>
    <row r="86" spans="1:25" s="2551" customFormat="1" ht="16.5">
      <c r="A86" s="2621" t="s">
        <v>3869</v>
      </c>
      <c r="B86" s="2622">
        <v>1</v>
      </c>
      <c r="C86" s="2597">
        <f t="shared" si="30"/>
        <v>1.5086369465188202E-3</v>
      </c>
      <c r="D86" s="2622">
        <v>1</v>
      </c>
      <c r="E86" s="2597">
        <f>D86/D$5*100</f>
        <v>2.6009155222638369E-3</v>
      </c>
      <c r="F86" s="2622" t="s">
        <v>1</v>
      </c>
      <c r="G86" s="2597" t="s">
        <v>1</v>
      </c>
      <c r="H86" s="2622">
        <v>1</v>
      </c>
      <c r="I86" s="2597">
        <f t="shared" si="29"/>
        <v>1.3993451064901626E-3</v>
      </c>
      <c r="J86" s="2622">
        <v>1</v>
      </c>
      <c r="K86" s="2597">
        <f>J86/J$5*100</f>
        <v>2.482436759923541E-3</v>
      </c>
      <c r="L86" s="2622" t="s">
        <v>1</v>
      </c>
      <c r="M86" s="2597" t="s">
        <v>1</v>
      </c>
      <c r="N86" s="2622" t="s">
        <v>1</v>
      </c>
      <c r="O86" s="2597" t="s">
        <v>1</v>
      </c>
      <c r="P86" s="2622" t="s">
        <v>1</v>
      </c>
      <c r="Q86" s="2597" t="s">
        <v>1</v>
      </c>
      <c r="R86" s="2622" t="s">
        <v>1</v>
      </c>
      <c r="S86" s="2597" t="s">
        <v>1</v>
      </c>
      <c r="T86" s="2623" t="s">
        <v>1</v>
      </c>
      <c r="U86" s="2597" t="s">
        <v>1</v>
      </c>
      <c r="V86" s="2622" t="s">
        <v>1</v>
      </c>
      <c r="W86" s="2597" t="s">
        <v>1</v>
      </c>
      <c r="X86" s="2622" t="s">
        <v>1</v>
      </c>
      <c r="Y86" s="2591" t="s">
        <v>1</v>
      </c>
    </row>
    <row r="87" spans="1:25" s="2551" customFormat="1" ht="16.5">
      <c r="A87" s="2621" t="s">
        <v>3870</v>
      </c>
      <c r="B87" s="2622" t="s">
        <v>1</v>
      </c>
      <c r="C87" s="2597" t="s">
        <v>1</v>
      </c>
      <c r="D87" s="2622" t="s">
        <v>1</v>
      </c>
      <c r="E87" s="2597" t="s">
        <v>1</v>
      </c>
      <c r="F87" s="2622" t="s">
        <v>1</v>
      </c>
      <c r="G87" s="2597" t="s">
        <v>1</v>
      </c>
      <c r="H87" s="2622">
        <v>1</v>
      </c>
      <c r="I87" s="2597">
        <f t="shared" si="29"/>
        <v>1.3993451064901626E-3</v>
      </c>
      <c r="J87" s="2622">
        <v>1</v>
      </c>
      <c r="K87" s="2597">
        <f>J87/J$5*100</f>
        <v>2.482436759923541E-3</v>
      </c>
      <c r="L87" s="2622" t="s">
        <v>1</v>
      </c>
      <c r="M87" s="2597" t="s">
        <v>1</v>
      </c>
      <c r="N87" s="2622" t="s">
        <v>1</v>
      </c>
      <c r="O87" s="2597" t="s">
        <v>1</v>
      </c>
      <c r="P87" s="2622" t="s">
        <v>1</v>
      </c>
      <c r="Q87" s="2597" t="s">
        <v>1</v>
      </c>
      <c r="R87" s="2622" t="s">
        <v>1</v>
      </c>
      <c r="S87" s="2597" t="s">
        <v>1</v>
      </c>
      <c r="T87" s="2623">
        <v>1</v>
      </c>
      <c r="U87" s="2597">
        <f>T87/T$5*100</f>
        <v>0.14005602240896359</v>
      </c>
      <c r="V87" s="2622">
        <v>1</v>
      </c>
      <c r="W87" s="2597">
        <f>V87/V$5*100</f>
        <v>0.1457725947521866</v>
      </c>
      <c r="X87" s="2622" t="s">
        <v>1</v>
      </c>
      <c r="Y87" s="2591" t="s">
        <v>1</v>
      </c>
    </row>
    <row r="88" spans="1:25" s="2551" customFormat="1" ht="16.5">
      <c r="A88" s="2621" t="s">
        <v>3871</v>
      </c>
      <c r="B88" s="2622">
        <v>2</v>
      </c>
      <c r="C88" s="2597">
        <f>B88/B$5*100</f>
        <v>3.0172738930376404E-3</v>
      </c>
      <c r="D88" s="2622">
        <v>2</v>
      </c>
      <c r="E88" s="2597">
        <f>D88/D$5*100</f>
        <v>5.2018310445276737E-3</v>
      </c>
      <c r="F88" s="2622" t="s">
        <v>1</v>
      </c>
      <c r="G88" s="2597" t="s">
        <v>1</v>
      </c>
      <c r="H88" s="2622" t="s">
        <v>1</v>
      </c>
      <c r="I88" s="2597" t="s">
        <v>1</v>
      </c>
      <c r="J88" s="2622" t="s">
        <v>1</v>
      </c>
      <c r="K88" s="2597" t="s">
        <v>1</v>
      </c>
      <c r="L88" s="2622" t="s">
        <v>1</v>
      </c>
      <c r="M88" s="2597" t="s">
        <v>1</v>
      </c>
      <c r="N88" s="2622" t="s">
        <v>1</v>
      </c>
      <c r="O88" s="2597" t="s">
        <v>1</v>
      </c>
      <c r="P88" s="2622" t="s">
        <v>1</v>
      </c>
      <c r="Q88" s="2597" t="s">
        <v>1</v>
      </c>
      <c r="R88" s="2622" t="s">
        <v>1</v>
      </c>
      <c r="S88" s="2597" t="s">
        <v>1</v>
      </c>
      <c r="T88" s="2623" t="s">
        <v>1</v>
      </c>
      <c r="U88" s="2597" t="s">
        <v>1</v>
      </c>
      <c r="V88" s="2622" t="s">
        <v>1</v>
      </c>
      <c r="W88" s="2597" t="s">
        <v>1</v>
      </c>
      <c r="X88" s="2622" t="s">
        <v>1</v>
      </c>
      <c r="Y88" s="2591" t="s">
        <v>1</v>
      </c>
    </row>
    <row r="89" spans="1:25" s="2551" customFormat="1" ht="16.5">
      <c r="A89" s="2621" t="s">
        <v>3872</v>
      </c>
      <c r="B89" s="2622" t="s">
        <v>1</v>
      </c>
      <c r="C89" s="2597" t="s">
        <v>1</v>
      </c>
      <c r="D89" s="2622" t="s">
        <v>1</v>
      </c>
      <c r="E89" s="2597" t="s">
        <v>1</v>
      </c>
      <c r="F89" s="2622" t="s">
        <v>1</v>
      </c>
      <c r="G89" s="2597" t="s">
        <v>1</v>
      </c>
      <c r="H89" s="2622">
        <v>2</v>
      </c>
      <c r="I89" s="2597">
        <f>H89/H$5*100</f>
        <v>2.7986902129803252E-3</v>
      </c>
      <c r="J89" s="2622">
        <v>2</v>
      </c>
      <c r="K89" s="2597">
        <f>J89/J$5*100</f>
        <v>4.9648735198470819E-3</v>
      </c>
      <c r="L89" s="2622" t="s">
        <v>1</v>
      </c>
      <c r="M89" s="2597" t="s">
        <v>1</v>
      </c>
      <c r="N89" s="2622" t="s">
        <v>1</v>
      </c>
      <c r="O89" s="2597" t="s">
        <v>1</v>
      </c>
      <c r="P89" s="2622" t="s">
        <v>1</v>
      </c>
      <c r="Q89" s="2597" t="s">
        <v>1</v>
      </c>
      <c r="R89" s="2622" t="s">
        <v>1</v>
      </c>
      <c r="S89" s="2597" t="s">
        <v>1</v>
      </c>
      <c r="T89" s="2623" t="s">
        <v>1</v>
      </c>
      <c r="U89" s="2597" t="s">
        <v>1</v>
      </c>
      <c r="V89" s="2622" t="s">
        <v>1</v>
      </c>
      <c r="W89" s="2597" t="s">
        <v>1</v>
      </c>
      <c r="X89" s="2622" t="s">
        <v>1</v>
      </c>
      <c r="Y89" s="2591" t="s">
        <v>1</v>
      </c>
    </row>
    <row r="90" spans="1:25" s="2551" customFormat="1" ht="16.5">
      <c r="A90" s="2621" t="s">
        <v>3873</v>
      </c>
      <c r="B90" s="2622" t="s">
        <v>1</v>
      </c>
      <c r="C90" s="2597" t="s">
        <v>1</v>
      </c>
      <c r="D90" s="2622" t="s">
        <v>1</v>
      </c>
      <c r="E90" s="2597" t="s">
        <v>1</v>
      </c>
      <c r="F90" s="2622" t="s">
        <v>1</v>
      </c>
      <c r="G90" s="2597" t="s">
        <v>1</v>
      </c>
      <c r="H90" s="2622">
        <v>2</v>
      </c>
      <c r="I90" s="2597">
        <f>H90/H$5*100</f>
        <v>2.7986902129803252E-3</v>
      </c>
      <c r="J90" s="2622">
        <v>2</v>
      </c>
      <c r="K90" s="2597">
        <f>J90/J$5*100</f>
        <v>4.9648735198470819E-3</v>
      </c>
      <c r="L90" s="2622" t="s">
        <v>1</v>
      </c>
      <c r="M90" s="2597" t="s">
        <v>1</v>
      </c>
      <c r="N90" s="2622" t="s">
        <v>1</v>
      </c>
      <c r="O90" s="2597" t="s">
        <v>1</v>
      </c>
      <c r="P90" s="2622" t="s">
        <v>1</v>
      </c>
      <c r="Q90" s="2597" t="s">
        <v>1</v>
      </c>
      <c r="R90" s="2622" t="s">
        <v>1</v>
      </c>
      <c r="S90" s="2597" t="s">
        <v>1</v>
      </c>
      <c r="T90" s="2623" t="s">
        <v>1</v>
      </c>
      <c r="U90" s="2597" t="s">
        <v>1</v>
      </c>
      <c r="V90" s="2622" t="s">
        <v>1</v>
      </c>
      <c r="W90" s="2597" t="s">
        <v>1</v>
      </c>
      <c r="X90" s="2622" t="s">
        <v>1</v>
      </c>
      <c r="Y90" s="2591" t="s">
        <v>1</v>
      </c>
    </row>
    <row r="91" spans="1:25" s="2551" customFormat="1" ht="16.5">
      <c r="A91" s="2621" t="s">
        <v>3874</v>
      </c>
      <c r="B91" s="2622">
        <v>1</v>
      </c>
      <c r="C91" s="2597">
        <f>B91/B$5*100</f>
        <v>1.5086369465188202E-3</v>
      </c>
      <c r="D91" s="2622">
        <v>1</v>
      </c>
      <c r="E91" s="2597">
        <f>D91/D$5*100</f>
        <v>2.6009155222638369E-3</v>
      </c>
      <c r="F91" s="2622" t="s">
        <v>1</v>
      </c>
      <c r="G91" s="2597" t="s">
        <v>1</v>
      </c>
      <c r="H91" s="2622" t="s">
        <v>1</v>
      </c>
      <c r="I91" s="2597" t="s">
        <v>1</v>
      </c>
      <c r="J91" s="2622" t="s">
        <v>1</v>
      </c>
      <c r="K91" s="2597" t="s">
        <v>1</v>
      </c>
      <c r="L91" s="2622" t="s">
        <v>1</v>
      </c>
      <c r="M91" s="2597" t="s">
        <v>1</v>
      </c>
      <c r="N91" s="2622" t="s">
        <v>1</v>
      </c>
      <c r="O91" s="2597" t="s">
        <v>1</v>
      </c>
      <c r="P91" s="2622" t="s">
        <v>1</v>
      </c>
      <c r="Q91" s="2597" t="s">
        <v>1</v>
      </c>
      <c r="R91" s="2622" t="s">
        <v>1</v>
      </c>
      <c r="S91" s="2597" t="s">
        <v>1</v>
      </c>
      <c r="T91" s="2623" t="s">
        <v>1</v>
      </c>
      <c r="U91" s="2597" t="s">
        <v>1</v>
      </c>
      <c r="V91" s="2622" t="s">
        <v>1</v>
      </c>
      <c r="W91" s="2597" t="s">
        <v>1</v>
      </c>
      <c r="X91" s="2622" t="s">
        <v>1</v>
      </c>
      <c r="Y91" s="2591" t="s">
        <v>1</v>
      </c>
    </row>
    <row r="92" spans="1:25" s="2551" customFormat="1" ht="16.5">
      <c r="A92" s="2621" t="s">
        <v>3875</v>
      </c>
      <c r="B92" s="2622" t="s">
        <v>1</v>
      </c>
      <c r="C92" s="2597" t="s">
        <v>1</v>
      </c>
      <c r="D92" s="2622" t="s">
        <v>1</v>
      </c>
      <c r="E92" s="2597" t="s">
        <v>1</v>
      </c>
      <c r="F92" s="2622" t="s">
        <v>1</v>
      </c>
      <c r="G92" s="2597" t="s">
        <v>1</v>
      </c>
      <c r="H92" s="2622">
        <v>1</v>
      </c>
      <c r="I92" s="2597">
        <f>H92/H$5*100</f>
        <v>1.3993451064901626E-3</v>
      </c>
      <c r="J92" s="2622">
        <v>1</v>
      </c>
      <c r="K92" s="2597">
        <f>J92/J$5*100</f>
        <v>2.482436759923541E-3</v>
      </c>
      <c r="L92" s="2622" t="s">
        <v>1</v>
      </c>
      <c r="M92" s="2597" t="s">
        <v>1</v>
      </c>
      <c r="N92" s="2622" t="s">
        <v>1</v>
      </c>
      <c r="O92" s="2597" t="s">
        <v>1</v>
      </c>
      <c r="P92" s="2622" t="s">
        <v>1</v>
      </c>
      <c r="Q92" s="2597" t="s">
        <v>1</v>
      </c>
      <c r="R92" s="2622" t="s">
        <v>1</v>
      </c>
      <c r="S92" s="2597" t="s">
        <v>1</v>
      </c>
      <c r="T92" s="2623" t="s">
        <v>1</v>
      </c>
      <c r="U92" s="2597" t="s">
        <v>1</v>
      </c>
      <c r="V92" s="2622" t="s">
        <v>1</v>
      </c>
      <c r="W92" s="2597" t="s">
        <v>1</v>
      </c>
      <c r="X92" s="2622" t="s">
        <v>1</v>
      </c>
      <c r="Y92" s="2591" t="s">
        <v>1</v>
      </c>
    </row>
    <row r="93" spans="1:25" s="2551" customFormat="1" ht="16.5">
      <c r="A93" s="2621" t="s">
        <v>3876</v>
      </c>
      <c r="B93" s="2622" t="s">
        <v>1</v>
      </c>
      <c r="C93" s="2597" t="s">
        <v>1</v>
      </c>
      <c r="D93" s="2622" t="s">
        <v>1</v>
      </c>
      <c r="E93" s="2597" t="s">
        <v>1</v>
      </c>
      <c r="F93" s="2622" t="s">
        <v>1</v>
      </c>
      <c r="G93" s="2597" t="s">
        <v>1</v>
      </c>
      <c r="H93" s="2622">
        <v>1</v>
      </c>
      <c r="I93" s="2597">
        <f>H93/H$5*100</f>
        <v>1.3993451064901626E-3</v>
      </c>
      <c r="J93" s="2622">
        <v>1</v>
      </c>
      <c r="K93" s="2597">
        <f>J93/J$5*100</f>
        <v>2.482436759923541E-3</v>
      </c>
      <c r="L93" s="2622" t="s">
        <v>1</v>
      </c>
      <c r="M93" s="2597" t="s">
        <v>1</v>
      </c>
      <c r="N93" s="2622" t="s">
        <v>1</v>
      </c>
      <c r="O93" s="2597" t="s">
        <v>1</v>
      </c>
      <c r="P93" s="2622" t="s">
        <v>1</v>
      </c>
      <c r="Q93" s="2597" t="s">
        <v>1</v>
      </c>
      <c r="R93" s="2622" t="s">
        <v>1</v>
      </c>
      <c r="S93" s="2597" t="s">
        <v>1</v>
      </c>
      <c r="T93" s="2623" t="s">
        <v>1</v>
      </c>
      <c r="U93" s="2597" t="s">
        <v>1</v>
      </c>
      <c r="V93" s="2622" t="s">
        <v>1</v>
      </c>
      <c r="W93" s="2597" t="s">
        <v>1</v>
      </c>
      <c r="X93" s="2622" t="s">
        <v>1</v>
      </c>
      <c r="Y93" s="2591" t="s">
        <v>1</v>
      </c>
    </row>
    <row r="94" spans="1:25" s="2551" customFormat="1" ht="16.5">
      <c r="A94" s="2621" t="s">
        <v>3878</v>
      </c>
      <c r="B94" s="2622" t="s">
        <v>1</v>
      </c>
      <c r="C94" s="2597" t="s">
        <v>1</v>
      </c>
      <c r="D94" s="2622" t="s">
        <v>1</v>
      </c>
      <c r="E94" s="2597" t="s">
        <v>1</v>
      </c>
      <c r="F94" s="2622" t="s">
        <v>1</v>
      </c>
      <c r="G94" s="2597" t="s">
        <v>1</v>
      </c>
      <c r="H94" s="2622" t="s">
        <v>1</v>
      </c>
      <c r="I94" s="2597" t="s">
        <v>1</v>
      </c>
      <c r="J94" s="2622" t="s">
        <v>1</v>
      </c>
      <c r="K94" s="2597" t="s">
        <v>1</v>
      </c>
      <c r="L94" s="2622" t="s">
        <v>1</v>
      </c>
      <c r="M94" s="2597" t="s">
        <v>1</v>
      </c>
      <c r="N94" s="2622" t="s">
        <v>1</v>
      </c>
      <c r="O94" s="2597" t="s">
        <v>1</v>
      </c>
      <c r="P94" s="2622" t="s">
        <v>1</v>
      </c>
      <c r="Q94" s="2597" t="s">
        <v>1</v>
      </c>
      <c r="R94" s="2622" t="s">
        <v>1</v>
      </c>
      <c r="S94" s="2597" t="s">
        <v>1</v>
      </c>
      <c r="T94" s="2623">
        <v>1</v>
      </c>
      <c r="U94" s="2597">
        <f>T94/T$5*100</f>
        <v>0.14005602240896359</v>
      </c>
      <c r="V94" s="2622">
        <v>1</v>
      </c>
      <c r="W94" s="2597">
        <f>V94/V$5*100</f>
        <v>0.1457725947521866</v>
      </c>
      <c r="X94" s="2622" t="s">
        <v>1</v>
      </c>
      <c r="Y94" s="2591" t="s">
        <v>1</v>
      </c>
    </row>
    <row r="95" spans="1:25" s="2551" customFormat="1" ht="16.5">
      <c r="A95" s="2621" t="s">
        <v>3879</v>
      </c>
      <c r="B95" s="2622">
        <v>1</v>
      </c>
      <c r="C95" s="2597">
        <f>B95/B$5*100</f>
        <v>1.5086369465188202E-3</v>
      </c>
      <c r="D95" s="2622">
        <v>1</v>
      </c>
      <c r="E95" s="2597">
        <f>D95/D$5*100</f>
        <v>2.6009155222638369E-3</v>
      </c>
      <c r="F95" s="2622" t="s">
        <v>1</v>
      </c>
      <c r="G95" s="2597" t="s">
        <v>1</v>
      </c>
      <c r="H95" s="2622" t="s">
        <v>1</v>
      </c>
      <c r="I95" s="2597" t="s">
        <v>1</v>
      </c>
      <c r="J95" s="2622" t="s">
        <v>1</v>
      </c>
      <c r="K95" s="2597" t="s">
        <v>1</v>
      </c>
      <c r="L95" s="2622" t="s">
        <v>1</v>
      </c>
      <c r="M95" s="2597" t="s">
        <v>1</v>
      </c>
      <c r="N95" s="2622" t="s">
        <v>1</v>
      </c>
      <c r="O95" s="2597" t="s">
        <v>1</v>
      </c>
      <c r="P95" s="2622" t="s">
        <v>1</v>
      </c>
      <c r="Q95" s="2597" t="s">
        <v>1</v>
      </c>
      <c r="R95" s="2622" t="s">
        <v>1</v>
      </c>
      <c r="S95" s="2597" t="s">
        <v>1</v>
      </c>
      <c r="T95" s="2623" t="s">
        <v>1</v>
      </c>
      <c r="U95" s="2597" t="s">
        <v>1</v>
      </c>
      <c r="V95" s="2622" t="s">
        <v>1</v>
      </c>
      <c r="W95" s="2597" t="s">
        <v>1</v>
      </c>
      <c r="X95" s="2622" t="s">
        <v>1</v>
      </c>
      <c r="Y95" s="2591" t="s">
        <v>1</v>
      </c>
    </row>
    <row r="96" spans="1:25" s="2551" customFormat="1" ht="16.5">
      <c r="A96" s="2621" t="s">
        <v>3880</v>
      </c>
      <c r="B96" s="2622">
        <v>1</v>
      </c>
      <c r="C96" s="2597">
        <f>B96/B$5*100</f>
        <v>1.5086369465188202E-3</v>
      </c>
      <c r="D96" s="2622">
        <v>1</v>
      </c>
      <c r="E96" s="2597">
        <f>D96/D$5*100</f>
        <v>2.6009155222638369E-3</v>
      </c>
      <c r="F96" s="2622" t="s">
        <v>1</v>
      </c>
      <c r="G96" s="2597" t="s">
        <v>1</v>
      </c>
      <c r="H96" s="2622" t="s">
        <v>1</v>
      </c>
      <c r="I96" s="2597" t="s">
        <v>1</v>
      </c>
      <c r="J96" s="2622" t="s">
        <v>1</v>
      </c>
      <c r="K96" s="2597" t="s">
        <v>1</v>
      </c>
      <c r="L96" s="2622" t="s">
        <v>1</v>
      </c>
      <c r="M96" s="2597" t="s">
        <v>1</v>
      </c>
      <c r="N96" s="2622" t="s">
        <v>1</v>
      </c>
      <c r="O96" s="2597" t="s">
        <v>1</v>
      </c>
      <c r="P96" s="2622" t="s">
        <v>1</v>
      </c>
      <c r="Q96" s="2597" t="s">
        <v>1</v>
      </c>
      <c r="R96" s="2622" t="s">
        <v>1</v>
      </c>
      <c r="S96" s="2597" t="s">
        <v>1</v>
      </c>
      <c r="T96" s="2623" t="s">
        <v>1</v>
      </c>
      <c r="U96" s="2597" t="s">
        <v>1</v>
      </c>
      <c r="V96" s="2622" t="s">
        <v>1</v>
      </c>
      <c r="W96" s="2597" t="s">
        <v>1</v>
      </c>
      <c r="X96" s="2622" t="s">
        <v>1</v>
      </c>
      <c r="Y96" s="2591" t="s">
        <v>1</v>
      </c>
    </row>
    <row r="97" spans="1:25" s="2551" customFormat="1" ht="16.5">
      <c r="A97" s="2621" t="s">
        <v>3881</v>
      </c>
      <c r="B97" s="2622">
        <v>1</v>
      </c>
      <c r="C97" s="2597">
        <f>B97/B$5*100</f>
        <v>1.5086369465188202E-3</v>
      </c>
      <c r="D97" s="2622" t="s">
        <v>1</v>
      </c>
      <c r="E97" s="2597" t="s">
        <v>1</v>
      </c>
      <c r="F97" s="2622">
        <v>1</v>
      </c>
      <c r="G97" s="2597">
        <f>F97/F$5*100</f>
        <v>3.5923411287135825E-3</v>
      </c>
      <c r="H97" s="2622" t="s">
        <v>1</v>
      </c>
      <c r="I97" s="2597" t="s">
        <v>1</v>
      </c>
      <c r="J97" s="2622" t="s">
        <v>1</v>
      </c>
      <c r="K97" s="2597" t="s">
        <v>1</v>
      </c>
      <c r="L97" s="2622" t="s">
        <v>1</v>
      </c>
      <c r="M97" s="2597" t="s">
        <v>1</v>
      </c>
      <c r="N97" s="2622" t="s">
        <v>1</v>
      </c>
      <c r="O97" s="2597" t="s">
        <v>1</v>
      </c>
      <c r="P97" s="2622" t="s">
        <v>1</v>
      </c>
      <c r="Q97" s="2597" t="s">
        <v>1</v>
      </c>
      <c r="R97" s="2622" t="s">
        <v>1</v>
      </c>
      <c r="S97" s="2597" t="s">
        <v>1</v>
      </c>
      <c r="T97" s="2623" t="s">
        <v>1</v>
      </c>
      <c r="U97" s="2597" t="s">
        <v>1</v>
      </c>
      <c r="V97" s="2622" t="s">
        <v>1</v>
      </c>
      <c r="W97" s="2597" t="s">
        <v>1</v>
      </c>
      <c r="X97" s="2622" t="s">
        <v>1</v>
      </c>
      <c r="Y97" s="2591" t="s">
        <v>1</v>
      </c>
    </row>
    <row r="98" spans="1:25" s="2551" customFormat="1" ht="16.5">
      <c r="A98" s="2621" t="s">
        <v>3882</v>
      </c>
      <c r="B98" s="2622">
        <v>1</v>
      </c>
      <c r="C98" s="2597">
        <f>B98/B$5*100</f>
        <v>1.5086369465188202E-3</v>
      </c>
      <c r="D98" s="2622" t="s">
        <v>1</v>
      </c>
      <c r="E98" s="2597" t="s">
        <v>1</v>
      </c>
      <c r="F98" s="2622">
        <v>1</v>
      </c>
      <c r="G98" s="2597">
        <f>F98/F$5*100</f>
        <v>3.5923411287135825E-3</v>
      </c>
      <c r="H98" s="2622" t="s">
        <v>1</v>
      </c>
      <c r="I98" s="2597" t="s">
        <v>1</v>
      </c>
      <c r="J98" s="2622" t="s">
        <v>1</v>
      </c>
      <c r="K98" s="2597" t="s">
        <v>1</v>
      </c>
      <c r="L98" s="2622" t="s">
        <v>1</v>
      </c>
      <c r="M98" s="2597" t="s">
        <v>1</v>
      </c>
      <c r="N98" s="2622" t="s">
        <v>1</v>
      </c>
      <c r="O98" s="2597" t="s">
        <v>1</v>
      </c>
      <c r="P98" s="2622" t="s">
        <v>1</v>
      </c>
      <c r="Q98" s="2597" t="s">
        <v>1</v>
      </c>
      <c r="R98" s="2622" t="s">
        <v>1</v>
      </c>
      <c r="S98" s="2597" t="s">
        <v>1</v>
      </c>
      <c r="T98" s="2623" t="s">
        <v>1</v>
      </c>
      <c r="U98" s="2597" t="s">
        <v>1</v>
      </c>
      <c r="V98" s="2622" t="s">
        <v>1</v>
      </c>
      <c r="W98" s="2597" t="s">
        <v>1</v>
      </c>
      <c r="X98" s="2622" t="s">
        <v>1</v>
      </c>
      <c r="Y98" s="2591" t="s">
        <v>1</v>
      </c>
    </row>
    <row r="99" spans="1:25" s="2551" customFormat="1" ht="16.5">
      <c r="A99" s="2621" t="s">
        <v>3884</v>
      </c>
      <c r="B99" s="2622">
        <v>1</v>
      </c>
      <c r="C99" s="2597">
        <f>B99/B$5*100</f>
        <v>1.5086369465188202E-3</v>
      </c>
      <c r="D99" s="2622" t="s">
        <v>1</v>
      </c>
      <c r="E99" s="2597" t="s">
        <v>1</v>
      </c>
      <c r="F99" s="2622">
        <v>1</v>
      </c>
      <c r="G99" s="2597">
        <f>F99/F$5*100</f>
        <v>3.5923411287135825E-3</v>
      </c>
      <c r="H99" s="2622" t="s">
        <v>1</v>
      </c>
      <c r="I99" s="2597" t="s">
        <v>1</v>
      </c>
      <c r="J99" s="2622" t="s">
        <v>1</v>
      </c>
      <c r="K99" s="2597" t="s">
        <v>1</v>
      </c>
      <c r="L99" s="2622" t="s">
        <v>1</v>
      </c>
      <c r="M99" s="2597" t="s">
        <v>1</v>
      </c>
      <c r="N99" s="2622" t="s">
        <v>1</v>
      </c>
      <c r="O99" s="2597" t="s">
        <v>1</v>
      </c>
      <c r="P99" s="2622" t="s">
        <v>1</v>
      </c>
      <c r="Q99" s="2597" t="s">
        <v>1</v>
      </c>
      <c r="R99" s="2622" t="s">
        <v>1</v>
      </c>
      <c r="S99" s="2597" t="s">
        <v>1</v>
      </c>
      <c r="T99" s="2623" t="s">
        <v>1</v>
      </c>
      <c r="U99" s="2597" t="s">
        <v>1</v>
      </c>
      <c r="V99" s="2622" t="s">
        <v>1</v>
      </c>
      <c r="W99" s="2597" t="s">
        <v>1</v>
      </c>
      <c r="X99" s="2622" t="s">
        <v>1</v>
      </c>
      <c r="Y99" s="2591" t="s">
        <v>1</v>
      </c>
    </row>
    <row r="100" spans="1:25" s="2551" customFormat="1" ht="16.5">
      <c r="A100" s="2621" t="s">
        <v>3886</v>
      </c>
      <c r="B100" s="2622" t="s">
        <v>1</v>
      </c>
      <c r="C100" s="2597" t="s">
        <v>1</v>
      </c>
      <c r="D100" s="2622" t="s">
        <v>1</v>
      </c>
      <c r="E100" s="2597" t="s">
        <v>1</v>
      </c>
      <c r="F100" s="2622" t="s">
        <v>1</v>
      </c>
      <c r="G100" s="2597" t="s">
        <v>1</v>
      </c>
      <c r="H100" s="2622">
        <v>1</v>
      </c>
      <c r="I100" s="2597">
        <f>H100/H$5*100</f>
        <v>1.3993451064901626E-3</v>
      </c>
      <c r="J100" s="2622">
        <v>1</v>
      </c>
      <c r="K100" s="2597">
        <f>J100/J$5*100</f>
        <v>2.482436759923541E-3</v>
      </c>
      <c r="L100" s="2622" t="s">
        <v>1</v>
      </c>
      <c r="M100" s="2597" t="s">
        <v>1</v>
      </c>
      <c r="N100" s="2622" t="s">
        <v>1</v>
      </c>
      <c r="O100" s="2597" t="s">
        <v>1</v>
      </c>
      <c r="P100" s="2622" t="s">
        <v>1</v>
      </c>
      <c r="Q100" s="2597" t="s">
        <v>1</v>
      </c>
      <c r="R100" s="2622" t="s">
        <v>1</v>
      </c>
      <c r="S100" s="2597" t="s">
        <v>1</v>
      </c>
      <c r="T100" s="2623" t="s">
        <v>1</v>
      </c>
      <c r="U100" s="2597" t="s">
        <v>1</v>
      </c>
      <c r="V100" s="2622" t="s">
        <v>1</v>
      </c>
      <c r="W100" s="2597" t="s">
        <v>1</v>
      </c>
      <c r="X100" s="2622" t="s">
        <v>1</v>
      </c>
      <c r="Y100" s="2591" t="s">
        <v>1</v>
      </c>
    </row>
    <row r="101" spans="1:25" s="2551" customFormat="1" ht="16.5">
      <c r="A101" s="2621" t="s">
        <v>3887</v>
      </c>
      <c r="B101" s="2622">
        <v>1</v>
      </c>
      <c r="C101" s="2597">
        <f>B101/B$5*100</f>
        <v>1.5086369465188202E-3</v>
      </c>
      <c r="D101" s="2622">
        <v>1</v>
      </c>
      <c r="E101" s="2597">
        <f>D101/D$5*100</f>
        <v>2.6009155222638369E-3</v>
      </c>
      <c r="F101" s="2622" t="s">
        <v>1</v>
      </c>
      <c r="G101" s="2597" t="s">
        <v>1</v>
      </c>
      <c r="H101" s="2622" t="s">
        <v>1</v>
      </c>
      <c r="I101" s="2597" t="s">
        <v>1</v>
      </c>
      <c r="J101" s="2622" t="s">
        <v>1</v>
      </c>
      <c r="K101" s="2597" t="s">
        <v>1</v>
      </c>
      <c r="L101" s="2622" t="s">
        <v>1</v>
      </c>
      <c r="M101" s="2597" t="s">
        <v>1</v>
      </c>
      <c r="N101" s="2622" t="s">
        <v>1</v>
      </c>
      <c r="O101" s="2597" t="s">
        <v>1</v>
      </c>
      <c r="P101" s="2622" t="s">
        <v>1</v>
      </c>
      <c r="Q101" s="2597" t="s">
        <v>1</v>
      </c>
      <c r="R101" s="2622" t="s">
        <v>1</v>
      </c>
      <c r="S101" s="2597" t="s">
        <v>1</v>
      </c>
      <c r="T101" s="2623" t="s">
        <v>1</v>
      </c>
      <c r="U101" s="2597" t="s">
        <v>1</v>
      </c>
      <c r="V101" s="2622" t="s">
        <v>1</v>
      </c>
      <c r="W101" s="2597" t="s">
        <v>1</v>
      </c>
      <c r="X101" s="2622" t="s">
        <v>1</v>
      </c>
      <c r="Y101" s="2591" t="s">
        <v>1</v>
      </c>
    </row>
    <row r="102" spans="1:25" s="2551" customFormat="1" ht="16.5">
      <c r="A102" s="2621" t="s">
        <v>3888</v>
      </c>
      <c r="B102" s="2622" t="s">
        <v>1</v>
      </c>
      <c r="C102" s="2597" t="s">
        <v>1</v>
      </c>
      <c r="D102" s="2622" t="s">
        <v>1</v>
      </c>
      <c r="E102" s="2597" t="s">
        <v>1</v>
      </c>
      <c r="F102" s="2622" t="s">
        <v>1</v>
      </c>
      <c r="G102" s="2597" t="s">
        <v>1</v>
      </c>
      <c r="H102" s="2622">
        <v>1</v>
      </c>
      <c r="I102" s="2597">
        <f>H102/H$5*100</f>
        <v>1.3993451064901626E-3</v>
      </c>
      <c r="J102" s="2622" t="s">
        <v>1</v>
      </c>
      <c r="K102" s="2597" t="s">
        <v>1</v>
      </c>
      <c r="L102" s="2622">
        <v>1</v>
      </c>
      <c r="M102" s="2597">
        <f>L102/L$5*100</f>
        <v>3.2072869559639505E-3</v>
      </c>
      <c r="N102" s="2622" t="s">
        <v>1</v>
      </c>
      <c r="O102" s="2597" t="s">
        <v>1</v>
      </c>
      <c r="P102" s="2622" t="s">
        <v>1</v>
      </c>
      <c r="Q102" s="2597" t="s">
        <v>1</v>
      </c>
      <c r="R102" s="2622" t="s">
        <v>1</v>
      </c>
      <c r="S102" s="2597" t="s">
        <v>1</v>
      </c>
      <c r="T102" s="2623" t="s">
        <v>1</v>
      </c>
      <c r="U102" s="2597" t="s">
        <v>1</v>
      </c>
      <c r="V102" s="2622" t="s">
        <v>1</v>
      </c>
      <c r="W102" s="2597" t="s">
        <v>1</v>
      </c>
      <c r="X102" s="2622" t="s">
        <v>1</v>
      </c>
      <c r="Y102" s="2591" t="s">
        <v>1</v>
      </c>
    </row>
    <row r="103" spans="1:25" s="2551" customFormat="1" ht="16.5">
      <c r="A103" s="2621" t="s">
        <v>3889</v>
      </c>
      <c r="B103" s="2622" t="s">
        <v>1</v>
      </c>
      <c r="C103" s="2597" t="s">
        <v>1</v>
      </c>
      <c r="D103" s="2622" t="s">
        <v>1</v>
      </c>
      <c r="E103" s="2597" t="s">
        <v>1</v>
      </c>
      <c r="F103" s="2622" t="s">
        <v>1</v>
      </c>
      <c r="G103" s="2597" t="s">
        <v>1</v>
      </c>
      <c r="H103" s="2622">
        <v>1</v>
      </c>
      <c r="I103" s="2597">
        <f>H103/H$5*100</f>
        <v>1.3993451064901626E-3</v>
      </c>
      <c r="J103" s="2622" t="s">
        <v>1</v>
      </c>
      <c r="K103" s="2597" t="s">
        <v>1</v>
      </c>
      <c r="L103" s="2622">
        <v>1</v>
      </c>
      <c r="M103" s="2597">
        <f>L103/L$5*100</f>
        <v>3.2072869559639505E-3</v>
      </c>
      <c r="N103" s="2622" t="s">
        <v>1</v>
      </c>
      <c r="O103" s="2597" t="s">
        <v>1</v>
      </c>
      <c r="P103" s="2622" t="s">
        <v>1</v>
      </c>
      <c r="Q103" s="2597" t="s">
        <v>1</v>
      </c>
      <c r="R103" s="2622" t="s">
        <v>1</v>
      </c>
      <c r="S103" s="2597" t="s">
        <v>1</v>
      </c>
      <c r="T103" s="2623" t="s">
        <v>1</v>
      </c>
      <c r="U103" s="2597" t="s">
        <v>1</v>
      </c>
      <c r="V103" s="2622" t="s">
        <v>1</v>
      </c>
      <c r="W103" s="2597" t="s">
        <v>1</v>
      </c>
      <c r="X103" s="2622" t="s">
        <v>1</v>
      </c>
      <c r="Y103" s="2591" t="s">
        <v>1</v>
      </c>
    </row>
    <row r="104" spans="1:25" s="2551" customFormat="1" ht="16.5">
      <c r="A104" s="2621" t="s">
        <v>3890</v>
      </c>
      <c r="B104" s="2622" t="s">
        <v>1</v>
      </c>
      <c r="C104" s="2597" t="s">
        <v>1</v>
      </c>
      <c r="D104" s="2622" t="s">
        <v>1</v>
      </c>
      <c r="E104" s="2597" t="s">
        <v>1</v>
      </c>
      <c r="F104" s="2622" t="s">
        <v>1</v>
      </c>
      <c r="G104" s="2597" t="s">
        <v>1</v>
      </c>
      <c r="H104" s="2622" t="s">
        <v>1</v>
      </c>
      <c r="I104" s="2597" t="s">
        <v>1</v>
      </c>
      <c r="J104" s="2622" t="s">
        <v>1</v>
      </c>
      <c r="K104" s="2597" t="s">
        <v>1</v>
      </c>
      <c r="L104" s="2622" t="s">
        <v>1</v>
      </c>
      <c r="M104" s="2597" t="s">
        <v>1</v>
      </c>
      <c r="N104" s="2622">
        <v>1</v>
      </c>
      <c r="O104" s="2597">
        <f>N104/N$5*100</f>
        <v>6.6684449186449717E-3</v>
      </c>
      <c r="P104" s="2622">
        <v>1</v>
      </c>
      <c r="Q104" s="2597">
        <f>P104/P$5*100</f>
        <v>1.2342631449024932E-2</v>
      </c>
      <c r="R104" s="2622" t="s">
        <v>1</v>
      </c>
      <c r="S104" s="2597" t="s">
        <v>1</v>
      </c>
      <c r="T104" s="2623" t="s">
        <v>1</v>
      </c>
      <c r="U104" s="2597" t="s">
        <v>1</v>
      </c>
      <c r="V104" s="2622" t="s">
        <v>1</v>
      </c>
      <c r="W104" s="2597" t="s">
        <v>1</v>
      </c>
      <c r="X104" s="2622" t="s">
        <v>1</v>
      </c>
      <c r="Y104" s="2591" t="s">
        <v>1</v>
      </c>
    </row>
    <row r="105" spans="1:25" s="2551" customFormat="1" ht="16.5">
      <c r="A105" s="2621" t="s">
        <v>3891</v>
      </c>
      <c r="B105" s="2622" t="s">
        <v>1</v>
      </c>
      <c r="C105" s="2597" t="s">
        <v>1</v>
      </c>
      <c r="D105" s="2622" t="s">
        <v>1</v>
      </c>
      <c r="E105" s="2597" t="s">
        <v>1</v>
      </c>
      <c r="F105" s="2622" t="s">
        <v>1</v>
      </c>
      <c r="G105" s="2597" t="s">
        <v>1</v>
      </c>
      <c r="H105" s="2622">
        <v>1</v>
      </c>
      <c r="I105" s="2597">
        <f>H105/H$5*100</f>
        <v>1.3993451064901626E-3</v>
      </c>
      <c r="J105" s="2622">
        <v>1</v>
      </c>
      <c r="K105" s="2597">
        <f>J105/J$5*100</f>
        <v>2.482436759923541E-3</v>
      </c>
      <c r="L105" s="2622" t="s">
        <v>1</v>
      </c>
      <c r="M105" s="2597" t="s">
        <v>1</v>
      </c>
      <c r="N105" s="2622" t="s">
        <v>1</v>
      </c>
      <c r="O105" s="2597" t="s">
        <v>1</v>
      </c>
      <c r="P105" s="2622" t="s">
        <v>1</v>
      </c>
      <c r="Q105" s="2597" t="s">
        <v>1</v>
      </c>
      <c r="R105" s="2622" t="s">
        <v>1</v>
      </c>
      <c r="S105" s="2597" t="s">
        <v>1</v>
      </c>
      <c r="T105" s="2623" t="s">
        <v>1</v>
      </c>
      <c r="U105" s="2597" t="s">
        <v>1</v>
      </c>
      <c r="V105" s="2622" t="s">
        <v>1</v>
      </c>
      <c r="W105" s="2597" t="s">
        <v>1</v>
      </c>
      <c r="X105" s="2622" t="s">
        <v>1</v>
      </c>
      <c r="Y105" s="2591" t="s">
        <v>1</v>
      </c>
    </row>
    <row r="106" spans="1:25" s="2551" customFormat="1" ht="16.5">
      <c r="A106" s="2621" t="s">
        <v>3892</v>
      </c>
      <c r="B106" s="2622" t="s">
        <v>1</v>
      </c>
      <c r="C106" s="2597" t="s">
        <v>1</v>
      </c>
      <c r="D106" s="2622" t="s">
        <v>1</v>
      </c>
      <c r="E106" s="2597" t="s">
        <v>1</v>
      </c>
      <c r="F106" s="2622" t="s">
        <v>1</v>
      </c>
      <c r="G106" s="2597" t="s">
        <v>1</v>
      </c>
      <c r="H106" s="2622">
        <v>1</v>
      </c>
      <c r="I106" s="2597">
        <f>H106/H$5*100</f>
        <v>1.3993451064901626E-3</v>
      </c>
      <c r="J106" s="2622">
        <v>1</v>
      </c>
      <c r="K106" s="2597">
        <f>J106/J$5*100</f>
        <v>2.482436759923541E-3</v>
      </c>
      <c r="L106" s="2622" t="s">
        <v>1</v>
      </c>
      <c r="M106" s="2597" t="s">
        <v>1</v>
      </c>
      <c r="N106" s="2622" t="s">
        <v>1</v>
      </c>
      <c r="O106" s="2597" t="s">
        <v>1</v>
      </c>
      <c r="P106" s="2622" t="s">
        <v>1</v>
      </c>
      <c r="Q106" s="2597" t="s">
        <v>1</v>
      </c>
      <c r="R106" s="2622" t="s">
        <v>1</v>
      </c>
      <c r="S106" s="2597" t="s">
        <v>1</v>
      </c>
      <c r="T106" s="2623" t="s">
        <v>1</v>
      </c>
      <c r="U106" s="2597" t="s">
        <v>1</v>
      </c>
      <c r="V106" s="2622" t="s">
        <v>1</v>
      </c>
      <c r="W106" s="2597" t="s">
        <v>1</v>
      </c>
      <c r="X106" s="2622" t="s">
        <v>1</v>
      </c>
      <c r="Y106" s="2591" t="s">
        <v>1</v>
      </c>
    </row>
    <row r="107" spans="1:25" s="2551" customFormat="1" ht="16.5">
      <c r="A107" s="2621" t="s">
        <v>3893</v>
      </c>
      <c r="B107" s="2622">
        <v>1</v>
      </c>
      <c r="C107" s="2597">
        <f>B107/B$5*100</f>
        <v>1.5086369465188202E-3</v>
      </c>
      <c r="D107" s="2622">
        <v>1</v>
      </c>
      <c r="E107" s="2597">
        <f>D107/D$5*100</f>
        <v>2.6009155222638369E-3</v>
      </c>
      <c r="F107" s="2622" t="s">
        <v>1</v>
      </c>
      <c r="G107" s="2597" t="s">
        <v>1</v>
      </c>
      <c r="H107" s="2622" t="s">
        <v>1</v>
      </c>
      <c r="I107" s="2597" t="s">
        <v>1</v>
      </c>
      <c r="J107" s="2622" t="s">
        <v>1</v>
      </c>
      <c r="K107" s="2597" t="s">
        <v>1</v>
      </c>
      <c r="L107" s="2622" t="s">
        <v>1</v>
      </c>
      <c r="M107" s="2597" t="s">
        <v>1</v>
      </c>
      <c r="N107" s="2622" t="s">
        <v>1</v>
      </c>
      <c r="O107" s="2597" t="s">
        <v>1</v>
      </c>
      <c r="P107" s="2622" t="s">
        <v>1</v>
      </c>
      <c r="Q107" s="2597" t="s">
        <v>1</v>
      </c>
      <c r="R107" s="2622" t="s">
        <v>1</v>
      </c>
      <c r="S107" s="2597" t="s">
        <v>1</v>
      </c>
      <c r="T107" s="2623" t="s">
        <v>1</v>
      </c>
      <c r="U107" s="2597" t="s">
        <v>1</v>
      </c>
      <c r="V107" s="2622" t="s">
        <v>1</v>
      </c>
      <c r="W107" s="2597" t="s">
        <v>1</v>
      </c>
      <c r="X107" s="2622" t="s">
        <v>1</v>
      </c>
      <c r="Y107" s="2591" t="s">
        <v>1</v>
      </c>
    </row>
    <row r="108" spans="1:25" s="2551" customFormat="1" ht="16.5">
      <c r="A108" s="2629" t="s">
        <v>3894</v>
      </c>
      <c r="B108" s="2630">
        <v>1</v>
      </c>
      <c r="C108" s="2610">
        <f>B108/B$5*100</f>
        <v>1.5086369465188202E-3</v>
      </c>
      <c r="D108" s="2630">
        <v>1</v>
      </c>
      <c r="E108" s="2610">
        <f>D108/D$5*100</f>
        <v>2.6009155222638369E-3</v>
      </c>
      <c r="F108" s="2630" t="s">
        <v>1</v>
      </c>
      <c r="G108" s="2610" t="s">
        <v>1</v>
      </c>
      <c r="H108" s="2630" t="s">
        <v>1</v>
      </c>
      <c r="I108" s="2610" t="s">
        <v>1</v>
      </c>
      <c r="J108" s="2630" t="s">
        <v>1</v>
      </c>
      <c r="K108" s="2610" t="s">
        <v>1</v>
      </c>
      <c r="L108" s="2630" t="s">
        <v>1</v>
      </c>
      <c r="M108" s="2610" t="s">
        <v>1</v>
      </c>
      <c r="N108" s="2630" t="s">
        <v>1</v>
      </c>
      <c r="O108" s="2610" t="s">
        <v>1</v>
      </c>
      <c r="P108" s="2630" t="s">
        <v>1</v>
      </c>
      <c r="Q108" s="2610" t="s">
        <v>1</v>
      </c>
      <c r="R108" s="2630" t="s">
        <v>1</v>
      </c>
      <c r="S108" s="2610" t="s">
        <v>1</v>
      </c>
      <c r="T108" s="2631" t="s">
        <v>1</v>
      </c>
      <c r="U108" s="2610" t="s">
        <v>1</v>
      </c>
      <c r="V108" s="2630" t="s">
        <v>1</v>
      </c>
      <c r="W108" s="2610" t="s">
        <v>1</v>
      </c>
      <c r="X108" s="2630" t="s">
        <v>1</v>
      </c>
      <c r="Y108" s="2605" t="s">
        <v>1</v>
      </c>
    </row>
    <row r="109" spans="1:25" s="2551" customFormat="1">
      <c r="A109" s="4094" t="s">
        <v>3976</v>
      </c>
      <c r="B109" s="4094"/>
      <c r="C109" s="4094"/>
      <c r="D109" s="4094"/>
      <c r="E109" s="4094"/>
      <c r="F109" s="4094"/>
      <c r="G109" s="4094"/>
      <c r="H109" s="4094"/>
      <c r="I109" s="2611"/>
      <c r="J109" s="2611"/>
      <c r="K109" s="2611"/>
      <c r="L109" s="2612"/>
      <c r="M109" s="2611"/>
      <c r="N109" s="2612"/>
      <c r="O109" s="2632"/>
      <c r="P109" s="2632"/>
      <c r="Q109" s="2632"/>
      <c r="R109" s="2632"/>
      <c r="S109" s="2632"/>
      <c r="T109" s="2632"/>
      <c r="U109" s="2632"/>
      <c r="V109" s="2632"/>
      <c r="W109" s="2632"/>
      <c r="X109" s="2632"/>
      <c r="Y109" s="2632"/>
    </row>
    <row r="110" spans="1:25" s="2551" customFormat="1">
      <c r="A110" s="4095" t="s">
        <v>3977</v>
      </c>
      <c r="B110" s="4095"/>
      <c r="C110" s="4095"/>
      <c r="D110" s="4095"/>
      <c r="E110" s="4095"/>
      <c r="F110" s="4095"/>
      <c r="G110" s="4095"/>
      <c r="H110" s="4095"/>
      <c r="I110" s="4095"/>
      <c r="J110" s="4095"/>
      <c r="K110" s="4095"/>
      <c r="L110" s="4095"/>
      <c r="M110" s="4095"/>
      <c r="N110" s="4095"/>
      <c r="O110" s="2632"/>
      <c r="P110" s="2632"/>
      <c r="Q110" s="2632"/>
      <c r="R110" s="2632"/>
      <c r="S110" s="2632"/>
      <c r="T110" s="2632"/>
      <c r="U110" s="2632"/>
      <c r="V110" s="2632"/>
      <c r="W110" s="2632"/>
      <c r="X110" s="2632"/>
      <c r="Y110" s="2632"/>
    </row>
    <row r="111" spans="1:25" s="2551" customFormat="1">
      <c r="A111" s="2616"/>
      <c r="B111" s="2567"/>
      <c r="C111" s="2567"/>
      <c r="D111" s="2567"/>
      <c r="E111" s="2567"/>
      <c r="F111" s="2567"/>
      <c r="G111" s="2567"/>
      <c r="H111" s="2567"/>
      <c r="I111" s="2567"/>
      <c r="J111" s="2567"/>
      <c r="K111" s="2567"/>
      <c r="L111" s="2567"/>
      <c r="M111" s="2567"/>
      <c r="N111" s="2567"/>
      <c r="O111" s="2567"/>
      <c r="P111" s="2567"/>
      <c r="Q111" s="2567"/>
      <c r="R111" s="2567"/>
      <c r="S111" s="2567"/>
      <c r="T111" s="2567"/>
      <c r="U111" s="2567"/>
      <c r="V111" s="2567"/>
      <c r="W111" s="2567"/>
      <c r="X111" s="2567"/>
      <c r="Y111" s="2567"/>
    </row>
    <row r="112" spans="1:25" s="2551" customFormat="1">
      <c r="A112" s="2616"/>
      <c r="B112" s="2567"/>
      <c r="C112" s="2567"/>
      <c r="D112" s="2567"/>
      <c r="E112" s="2567"/>
      <c r="F112" s="2567"/>
      <c r="G112" s="2567"/>
      <c r="H112" s="2567"/>
      <c r="I112" s="2567"/>
      <c r="J112" s="2567"/>
      <c r="K112" s="2567"/>
      <c r="L112" s="2567"/>
      <c r="M112" s="2567"/>
      <c r="N112" s="2567"/>
      <c r="O112" s="2567"/>
      <c r="P112" s="2567"/>
      <c r="Q112" s="2567"/>
      <c r="R112" s="2567"/>
      <c r="S112" s="2567"/>
      <c r="T112" s="2567"/>
      <c r="U112" s="2567"/>
      <c r="V112" s="2567"/>
      <c r="W112" s="2567"/>
      <c r="X112" s="2567"/>
      <c r="Y112" s="2567"/>
    </row>
    <row r="113" spans="1:25" s="2551" customFormat="1">
      <c r="A113" s="2616"/>
      <c r="B113" s="2567"/>
      <c r="C113" s="2567"/>
      <c r="D113" s="2567"/>
      <c r="E113" s="2567"/>
      <c r="F113" s="2567"/>
      <c r="G113" s="2567"/>
      <c r="H113" s="2567"/>
      <c r="I113" s="2567"/>
      <c r="J113" s="2567"/>
      <c r="K113" s="2567"/>
      <c r="L113" s="2567"/>
      <c r="M113" s="2567"/>
      <c r="N113" s="2567"/>
      <c r="O113" s="2567"/>
      <c r="P113" s="2567"/>
      <c r="Q113" s="2567"/>
      <c r="R113" s="2567"/>
      <c r="S113" s="2567"/>
      <c r="T113" s="2567"/>
      <c r="U113" s="2567"/>
      <c r="V113" s="2567"/>
      <c r="W113" s="2567"/>
      <c r="X113" s="2567"/>
      <c r="Y113" s="2567"/>
    </row>
    <row r="114" spans="1:25" s="2551" customFormat="1">
      <c r="A114" s="2616"/>
      <c r="B114" s="2567"/>
      <c r="C114" s="2567"/>
      <c r="D114" s="2567"/>
      <c r="E114" s="2567"/>
      <c r="F114" s="2567"/>
      <c r="G114" s="2567"/>
      <c r="H114" s="2567"/>
      <c r="I114" s="2567"/>
      <c r="J114" s="2567"/>
      <c r="K114" s="2567"/>
      <c r="L114" s="2567"/>
      <c r="M114" s="2567"/>
      <c r="N114" s="2567"/>
      <c r="O114" s="2567"/>
      <c r="P114" s="2567"/>
      <c r="Q114" s="2567"/>
      <c r="R114" s="2567"/>
      <c r="S114" s="2567"/>
      <c r="T114" s="2567"/>
      <c r="U114" s="2567"/>
      <c r="V114" s="2567"/>
      <c r="W114" s="2567"/>
      <c r="X114" s="2567"/>
      <c r="Y114" s="2567"/>
    </row>
    <row r="115" spans="1:25" s="2551" customFormat="1">
      <c r="A115" s="2616"/>
      <c r="B115" s="2567"/>
      <c r="C115" s="2567"/>
      <c r="D115" s="2567"/>
      <c r="E115" s="2567"/>
      <c r="F115" s="2567"/>
      <c r="G115" s="2567"/>
      <c r="H115" s="2567"/>
      <c r="I115" s="2567"/>
      <c r="J115" s="2567"/>
      <c r="K115" s="2567"/>
      <c r="L115" s="2567"/>
      <c r="M115" s="2567"/>
      <c r="N115" s="2567"/>
      <c r="O115" s="2567"/>
      <c r="P115" s="2567"/>
      <c r="Q115" s="2567"/>
      <c r="R115" s="2567"/>
      <c r="S115" s="2567"/>
      <c r="T115" s="2567"/>
      <c r="U115" s="2567"/>
      <c r="V115" s="2567"/>
      <c r="W115" s="2567"/>
      <c r="X115" s="2567"/>
      <c r="Y115" s="2567"/>
    </row>
    <row r="116" spans="1:25" s="2551" customFormat="1">
      <c r="A116" s="2616"/>
      <c r="B116" s="2567"/>
      <c r="C116" s="2567"/>
      <c r="D116" s="2567"/>
      <c r="E116" s="2567"/>
      <c r="F116" s="2567"/>
      <c r="G116" s="2567"/>
      <c r="H116" s="2567"/>
      <c r="I116" s="2567"/>
      <c r="J116" s="2567"/>
      <c r="K116" s="2567"/>
      <c r="L116" s="2567"/>
      <c r="M116" s="2567"/>
      <c r="N116" s="2567"/>
      <c r="O116" s="2567"/>
      <c r="P116" s="2567"/>
      <c r="Q116" s="2567"/>
      <c r="R116" s="2567"/>
      <c r="S116" s="2567"/>
      <c r="T116" s="2567"/>
      <c r="U116" s="2567"/>
      <c r="V116" s="2567"/>
      <c r="W116" s="2567"/>
      <c r="X116" s="2567"/>
      <c r="Y116" s="2567"/>
    </row>
    <row r="117" spans="1:25" s="2551" customFormat="1">
      <c r="A117" s="2616"/>
      <c r="B117" s="2567"/>
      <c r="C117" s="2567"/>
      <c r="D117" s="2567"/>
      <c r="E117" s="2567"/>
      <c r="F117" s="2567"/>
      <c r="G117" s="2567"/>
      <c r="H117" s="2567"/>
      <c r="I117" s="2567"/>
      <c r="J117" s="2567"/>
      <c r="K117" s="2567"/>
      <c r="L117" s="2567"/>
      <c r="M117" s="2567"/>
      <c r="N117" s="2567"/>
      <c r="O117" s="2567"/>
      <c r="P117" s="2567"/>
      <c r="Q117" s="2567"/>
      <c r="R117" s="2567"/>
      <c r="S117" s="2567"/>
      <c r="T117" s="2567"/>
      <c r="U117" s="2567"/>
      <c r="V117" s="2567"/>
      <c r="W117" s="2567"/>
      <c r="X117" s="2567"/>
      <c r="Y117" s="2567"/>
    </row>
    <row r="118" spans="1:25" s="2551" customFormat="1">
      <c r="A118" s="2616"/>
      <c r="B118" s="2567"/>
      <c r="C118" s="2567"/>
      <c r="D118" s="2567"/>
      <c r="E118" s="2567"/>
      <c r="F118" s="2567"/>
      <c r="G118" s="2567"/>
      <c r="H118" s="2567"/>
      <c r="I118" s="2567"/>
      <c r="J118" s="2567"/>
      <c r="K118" s="2567"/>
      <c r="L118" s="2567"/>
      <c r="M118" s="2567"/>
      <c r="N118" s="2567"/>
      <c r="O118" s="2567"/>
      <c r="P118" s="2567"/>
      <c r="Q118" s="2567"/>
      <c r="R118" s="2567"/>
      <c r="S118" s="2567"/>
      <c r="T118" s="2567"/>
      <c r="U118" s="2567"/>
      <c r="V118" s="2567"/>
      <c r="W118" s="2567"/>
      <c r="X118" s="2567"/>
      <c r="Y118" s="2567"/>
    </row>
    <row r="119" spans="1:25" s="2551" customFormat="1">
      <c r="A119" s="2616"/>
      <c r="B119" s="2567"/>
      <c r="C119" s="2567"/>
      <c r="D119" s="2567"/>
      <c r="E119" s="2567"/>
      <c r="F119" s="2567"/>
      <c r="G119" s="2567"/>
      <c r="H119" s="2567"/>
      <c r="I119" s="2567"/>
      <c r="J119" s="2567"/>
      <c r="K119" s="2567"/>
      <c r="L119" s="2567"/>
      <c r="M119" s="2567"/>
      <c r="N119" s="2567"/>
      <c r="O119" s="2567"/>
      <c r="P119" s="2567"/>
      <c r="Q119" s="2567"/>
      <c r="R119" s="2567"/>
      <c r="S119" s="2567"/>
      <c r="T119" s="2567"/>
      <c r="U119" s="2567"/>
      <c r="V119" s="2567"/>
      <c r="W119" s="2567"/>
      <c r="X119" s="2567"/>
      <c r="Y119" s="2567"/>
    </row>
    <row r="120" spans="1:25" s="2551" customFormat="1">
      <c r="A120" s="2616"/>
      <c r="B120" s="2567"/>
      <c r="C120" s="2567"/>
      <c r="D120" s="2567"/>
      <c r="E120" s="2567"/>
      <c r="F120" s="2567"/>
      <c r="G120" s="2567"/>
      <c r="H120" s="2567"/>
      <c r="I120" s="2567"/>
      <c r="J120" s="2567"/>
      <c r="K120" s="2567"/>
      <c r="L120" s="2567"/>
      <c r="M120" s="2567"/>
      <c r="N120" s="2567"/>
      <c r="O120" s="2567"/>
      <c r="P120" s="2567"/>
      <c r="Q120" s="2567"/>
      <c r="R120" s="2567"/>
      <c r="S120" s="2567"/>
      <c r="T120" s="2567"/>
      <c r="U120" s="2567"/>
      <c r="V120" s="2567"/>
      <c r="W120" s="2567"/>
      <c r="X120" s="2567"/>
      <c r="Y120" s="2567"/>
    </row>
    <row r="121" spans="1:25" s="2551" customFormat="1">
      <c r="A121" s="2616"/>
      <c r="B121" s="2567"/>
      <c r="C121" s="2567"/>
      <c r="D121" s="2567"/>
      <c r="E121" s="2567"/>
      <c r="F121" s="2567"/>
      <c r="G121" s="2567"/>
      <c r="H121" s="2567"/>
      <c r="I121" s="2567"/>
      <c r="J121" s="2567"/>
      <c r="K121" s="2567"/>
      <c r="L121" s="2567"/>
      <c r="M121" s="2567"/>
      <c r="N121" s="2567"/>
      <c r="O121" s="2567"/>
      <c r="P121" s="2567"/>
      <c r="Q121" s="2567"/>
      <c r="R121" s="2567"/>
      <c r="S121" s="2567"/>
      <c r="T121" s="2567"/>
      <c r="U121" s="2567"/>
      <c r="V121" s="2567"/>
      <c r="W121" s="2567"/>
      <c r="X121" s="2567"/>
      <c r="Y121" s="2567"/>
    </row>
    <row r="122" spans="1:25" s="2551" customFormat="1">
      <c r="A122" s="2616"/>
      <c r="B122" s="2567"/>
      <c r="C122" s="2567"/>
      <c r="D122" s="2567"/>
      <c r="E122" s="2567"/>
      <c r="F122" s="2567"/>
      <c r="G122" s="2567"/>
      <c r="H122" s="2567"/>
      <c r="I122" s="2567"/>
      <c r="J122" s="2567"/>
      <c r="K122" s="2567"/>
      <c r="L122" s="2567"/>
      <c r="M122" s="2567"/>
      <c r="N122" s="2567"/>
      <c r="O122" s="2567"/>
      <c r="P122" s="2567"/>
      <c r="Q122" s="2567"/>
      <c r="R122" s="2567"/>
      <c r="S122" s="2567"/>
      <c r="T122" s="2567"/>
      <c r="U122" s="2567"/>
      <c r="V122" s="2567"/>
      <c r="W122" s="2567"/>
      <c r="X122" s="2567"/>
      <c r="Y122" s="2567"/>
    </row>
    <row r="123" spans="1:25" s="2551" customFormat="1">
      <c r="A123" s="2616"/>
      <c r="B123" s="2567"/>
      <c r="C123" s="2567"/>
      <c r="D123" s="2567"/>
      <c r="E123" s="2567"/>
      <c r="F123" s="2567"/>
      <c r="G123" s="2567"/>
      <c r="H123" s="2567"/>
      <c r="I123" s="2567"/>
      <c r="J123" s="2567"/>
      <c r="K123" s="2567"/>
      <c r="L123" s="2567"/>
      <c r="M123" s="2567"/>
      <c r="N123" s="2567"/>
      <c r="O123" s="2567"/>
      <c r="P123" s="2567"/>
      <c r="Q123" s="2567"/>
      <c r="R123" s="2567"/>
      <c r="S123" s="2567"/>
      <c r="T123" s="2567"/>
      <c r="U123" s="2567"/>
      <c r="V123" s="2567"/>
      <c r="W123" s="2567"/>
      <c r="X123" s="2567"/>
      <c r="Y123" s="2567"/>
    </row>
    <row r="124" spans="1:25" s="2551" customFormat="1">
      <c r="A124" s="2616"/>
      <c r="B124" s="2567"/>
      <c r="C124" s="2567"/>
      <c r="D124" s="2567"/>
      <c r="E124" s="2567"/>
      <c r="F124" s="2567"/>
      <c r="G124" s="2567"/>
      <c r="H124" s="2567"/>
      <c r="I124" s="2567"/>
      <c r="J124" s="2567"/>
      <c r="K124" s="2567"/>
      <c r="L124" s="2567"/>
      <c r="M124" s="2567"/>
      <c r="N124" s="2567"/>
      <c r="O124" s="2567"/>
      <c r="P124" s="2567"/>
      <c r="Q124" s="2567"/>
      <c r="R124" s="2567"/>
      <c r="S124" s="2567"/>
      <c r="T124" s="2567"/>
      <c r="U124" s="2567"/>
      <c r="V124" s="2567"/>
      <c r="W124" s="2567"/>
      <c r="X124" s="2567"/>
      <c r="Y124" s="2567"/>
    </row>
    <row r="125" spans="1:25" s="2551" customFormat="1">
      <c r="A125" s="2616"/>
      <c r="B125" s="2567"/>
      <c r="C125" s="2567"/>
      <c r="D125" s="2567"/>
      <c r="E125" s="2567"/>
      <c r="F125" s="2567"/>
      <c r="G125" s="2567"/>
      <c r="H125" s="2567"/>
      <c r="I125" s="2567"/>
      <c r="J125" s="2567"/>
      <c r="K125" s="2567"/>
      <c r="L125" s="2567"/>
      <c r="M125" s="2567"/>
      <c r="N125" s="2567"/>
      <c r="O125" s="2567"/>
      <c r="P125" s="2567"/>
      <c r="Q125" s="2567"/>
      <c r="R125" s="2567"/>
      <c r="S125" s="2567"/>
      <c r="T125" s="2567"/>
      <c r="U125" s="2567"/>
      <c r="V125" s="2567"/>
      <c r="W125" s="2567"/>
      <c r="X125" s="2567"/>
      <c r="Y125" s="2567"/>
    </row>
    <row r="126" spans="1:25" s="2551" customFormat="1">
      <c r="A126" s="2616"/>
      <c r="B126" s="2567"/>
      <c r="C126" s="2567"/>
      <c r="D126" s="2567"/>
      <c r="E126" s="2567"/>
      <c r="F126" s="2567"/>
      <c r="G126" s="2567"/>
      <c r="H126" s="2567"/>
      <c r="I126" s="2567"/>
      <c r="J126" s="2567"/>
      <c r="K126" s="2567"/>
      <c r="L126" s="2567"/>
      <c r="M126" s="2567"/>
      <c r="N126" s="2567"/>
      <c r="O126" s="2567"/>
      <c r="P126" s="2567"/>
      <c r="Q126" s="2567"/>
      <c r="R126" s="2567"/>
      <c r="S126" s="2567"/>
      <c r="T126" s="2567"/>
      <c r="U126" s="2567"/>
      <c r="V126" s="2567"/>
      <c r="W126" s="2567"/>
      <c r="X126" s="2567"/>
      <c r="Y126" s="2567"/>
    </row>
    <row r="127" spans="1:25" s="2551" customFormat="1">
      <c r="A127" s="2616"/>
      <c r="B127" s="2567"/>
      <c r="C127" s="2567"/>
      <c r="D127" s="2567"/>
      <c r="E127" s="2567"/>
      <c r="F127" s="2567"/>
      <c r="G127" s="2567"/>
      <c r="H127" s="2567"/>
      <c r="I127" s="2567"/>
      <c r="J127" s="2567"/>
      <c r="K127" s="2567"/>
      <c r="L127" s="2567"/>
      <c r="M127" s="2567"/>
      <c r="N127" s="2567"/>
      <c r="O127" s="2567"/>
      <c r="P127" s="2567"/>
      <c r="Q127" s="2567"/>
      <c r="R127" s="2567"/>
      <c r="S127" s="2567"/>
      <c r="T127" s="2567"/>
      <c r="U127" s="2567"/>
      <c r="V127" s="2567"/>
      <c r="W127" s="2567"/>
      <c r="X127" s="2567"/>
      <c r="Y127" s="2567"/>
    </row>
    <row r="128" spans="1:25" s="2551" customFormat="1">
      <c r="A128" s="2616"/>
      <c r="B128" s="2567"/>
      <c r="C128" s="2567"/>
      <c r="D128" s="2567"/>
      <c r="E128" s="2567"/>
      <c r="F128" s="2567"/>
      <c r="G128" s="2567"/>
      <c r="H128" s="2567"/>
      <c r="I128" s="2567"/>
      <c r="J128" s="2567"/>
      <c r="K128" s="2567"/>
      <c r="L128" s="2567"/>
      <c r="M128" s="2567"/>
      <c r="N128" s="2567"/>
      <c r="O128" s="2567"/>
      <c r="P128" s="2567"/>
      <c r="Q128" s="2567"/>
      <c r="R128" s="2567"/>
      <c r="S128" s="2567"/>
      <c r="T128" s="2567"/>
      <c r="U128" s="2567"/>
      <c r="V128" s="2567"/>
      <c r="W128" s="2567"/>
      <c r="X128" s="2567"/>
      <c r="Y128" s="2567"/>
    </row>
    <row r="129" spans="1:25" s="2551" customFormat="1">
      <c r="A129" s="2616"/>
      <c r="B129" s="2567"/>
      <c r="C129" s="2567"/>
      <c r="D129" s="2567"/>
      <c r="E129" s="2567"/>
      <c r="F129" s="2567"/>
      <c r="G129" s="2567"/>
      <c r="H129" s="2567"/>
      <c r="I129" s="2567"/>
      <c r="J129" s="2567"/>
      <c r="K129" s="2567"/>
      <c r="L129" s="2567"/>
      <c r="M129" s="2567"/>
      <c r="N129" s="2567"/>
      <c r="O129" s="2567"/>
      <c r="P129" s="2567"/>
      <c r="Q129" s="2567"/>
      <c r="R129" s="2567"/>
      <c r="S129" s="2567"/>
      <c r="T129" s="2567"/>
      <c r="U129" s="2567"/>
      <c r="V129" s="2567"/>
      <c r="W129" s="2567"/>
      <c r="X129" s="2567"/>
      <c r="Y129" s="2567"/>
    </row>
    <row r="130" spans="1:25" s="2551" customFormat="1">
      <c r="A130" s="2616"/>
      <c r="B130" s="2567"/>
      <c r="C130" s="2567"/>
      <c r="D130" s="2567"/>
      <c r="E130" s="2567"/>
      <c r="F130" s="2567"/>
      <c r="G130" s="2567"/>
      <c r="H130" s="2567"/>
      <c r="I130" s="2567"/>
      <c r="J130" s="2567"/>
      <c r="K130" s="2567"/>
      <c r="L130" s="2567"/>
      <c r="M130" s="2567"/>
      <c r="N130" s="2567"/>
      <c r="O130" s="2567"/>
      <c r="P130" s="2567"/>
      <c r="Q130" s="2567"/>
      <c r="R130" s="2567"/>
      <c r="S130" s="2567"/>
      <c r="T130" s="2567"/>
      <c r="U130" s="2567"/>
      <c r="V130" s="2567"/>
      <c r="W130" s="2567"/>
      <c r="X130" s="2567"/>
      <c r="Y130" s="2567"/>
    </row>
    <row r="131" spans="1:25" s="2551" customFormat="1">
      <c r="A131" s="2616"/>
      <c r="B131" s="2567"/>
      <c r="C131" s="2567"/>
      <c r="D131" s="2567"/>
      <c r="E131" s="2567"/>
      <c r="F131" s="2567"/>
      <c r="G131" s="2567"/>
      <c r="H131" s="2567"/>
      <c r="I131" s="2567"/>
      <c r="J131" s="2567"/>
      <c r="K131" s="2567"/>
      <c r="L131" s="2567"/>
      <c r="M131" s="2567"/>
      <c r="N131" s="2567"/>
      <c r="O131" s="2567"/>
      <c r="P131" s="2567"/>
      <c r="Q131" s="2567"/>
      <c r="R131" s="2567"/>
      <c r="S131" s="2567"/>
      <c r="T131" s="2567"/>
      <c r="U131" s="2567"/>
      <c r="V131" s="2567"/>
      <c r="W131" s="2567"/>
      <c r="X131" s="2567"/>
      <c r="Y131" s="2567"/>
    </row>
    <row r="132" spans="1:25" s="2551" customFormat="1">
      <c r="A132" s="2616"/>
      <c r="B132" s="2567"/>
      <c r="C132" s="2567"/>
      <c r="D132" s="2567"/>
      <c r="E132" s="2567"/>
      <c r="F132" s="2567"/>
      <c r="G132" s="2567"/>
      <c r="H132" s="2567"/>
      <c r="I132" s="2567"/>
      <c r="J132" s="2567"/>
      <c r="K132" s="2567"/>
      <c r="L132" s="2567"/>
      <c r="M132" s="2567"/>
      <c r="N132" s="2567"/>
      <c r="O132" s="2567"/>
      <c r="P132" s="2567"/>
      <c r="Q132" s="2567"/>
      <c r="R132" s="2567"/>
      <c r="S132" s="2567"/>
      <c r="T132" s="2567"/>
      <c r="U132" s="2567"/>
      <c r="V132" s="2567"/>
      <c r="W132" s="2567"/>
      <c r="X132" s="2567"/>
      <c r="Y132" s="2567"/>
    </row>
    <row r="133" spans="1:25" s="2551" customFormat="1">
      <c r="A133" s="2616"/>
      <c r="B133" s="2567"/>
      <c r="C133" s="2567"/>
      <c r="D133" s="2567"/>
      <c r="E133" s="2567"/>
      <c r="F133" s="2567"/>
      <c r="G133" s="2567"/>
      <c r="H133" s="2567"/>
      <c r="I133" s="2567"/>
      <c r="J133" s="2567"/>
      <c r="K133" s="2567"/>
      <c r="L133" s="2567"/>
      <c r="M133" s="2567"/>
      <c r="N133" s="2567"/>
      <c r="O133" s="2567"/>
      <c r="P133" s="2567"/>
      <c r="Q133" s="2567"/>
      <c r="R133" s="2567"/>
      <c r="S133" s="2567"/>
      <c r="T133" s="2567"/>
      <c r="U133" s="2567"/>
      <c r="V133" s="2567"/>
      <c r="W133" s="2567"/>
      <c r="X133" s="2567"/>
      <c r="Y133" s="2567"/>
    </row>
    <row r="134" spans="1:25" s="2551" customFormat="1">
      <c r="A134" s="2616"/>
      <c r="B134" s="2567"/>
      <c r="C134" s="2567"/>
      <c r="D134" s="2567"/>
      <c r="E134" s="2567"/>
      <c r="F134" s="2567"/>
      <c r="G134" s="2567"/>
      <c r="H134" s="2567"/>
      <c r="I134" s="2567"/>
      <c r="J134" s="2567"/>
      <c r="K134" s="2567"/>
      <c r="L134" s="2567"/>
      <c r="M134" s="2567"/>
      <c r="N134" s="2567"/>
      <c r="O134" s="2567"/>
      <c r="P134" s="2567"/>
      <c r="Q134" s="2567"/>
      <c r="R134" s="2567"/>
      <c r="S134" s="2567"/>
      <c r="T134" s="2567"/>
      <c r="U134" s="2567"/>
      <c r="V134" s="2567"/>
      <c r="W134" s="2567"/>
      <c r="X134" s="2567"/>
      <c r="Y134" s="2567"/>
    </row>
    <row r="135" spans="1:25" s="2551" customFormat="1">
      <c r="A135" s="2616"/>
      <c r="B135" s="2567"/>
      <c r="C135" s="2567"/>
      <c r="D135" s="2567"/>
      <c r="E135" s="2567"/>
      <c r="F135" s="2567"/>
      <c r="G135" s="2567"/>
      <c r="H135" s="2567"/>
      <c r="I135" s="2567"/>
      <c r="J135" s="2567"/>
      <c r="K135" s="2567"/>
      <c r="L135" s="2567"/>
      <c r="M135" s="2567"/>
      <c r="N135" s="2567"/>
      <c r="O135" s="2567"/>
      <c r="P135" s="2567"/>
      <c r="Q135" s="2567"/>
      <c r="R135" s="2567"/>
      <c r="S135" s="2567"/>
      <c r="T135" s="2567"/>
      <c r="U135" s="2567"/>
      <c r="V135" s="2567"/>
      <c r="W135" s="2567"/>
      <c r="X135" s="2567"/>
      <c r="Y135" s="2567"/>
    </row>
    <row r="136" spans="1:25" s="2551" customFormat="1">
      <c r="A136" s="2616"/>
      <c r="B136" s="2567"/>
      <c r="C136" s="2567"/>
      <c r="D136" s="2567"/>
      <c r="E136" s="2567"/>
      <c r="F136" s="2567"/>
      <c r="G136" s="2567"/>
      <c r="H136" s="2567"/>
      <c r="I136" s="2567"/>
      <c r="J136" s="2567"/>
      <c r="K136" s="2567"/>
      <c r="L136" s="2567"/>
      <c r="M136" s="2567"/>
      <c r="N136" s="2567"/>
      <c r="O136" s="2567"/>
      <c r="P136" s="2567"/>
      <c r="Q136" s="2567"/>
      <c r="R136" s="2567"/>
      <c r="S136" s="2567"/>
      <c r="T136" s="2567"/>
      <c r="U136" s="2567"/>
      <c r="V136" s="2567"/>
      <c r="W136" s="2567"/>
      <c r="X136" s="2567"/>
      <c r="Y136" s="2567"/>
    </row>
    <row r="137" spans="1:25" s="2551" customFormat="1">
      <c r="A137" s="2616"/>
      <c r="B137" s="2567"/>
      <c r="C137" s="2567"/>
      <c r="D137" s="2567"/>
      <c r="E137" s="2567"/>
      <c r="F137" s="2567"/>
      <c r="G137" s="2567"/>
      <c r="H137" s="2567"/>
      <c r="I137" s="2567"/>
      <c r="J137" s="2567"/>
      <c r="K137" s="2567"/>
      <c r="L137" s="2567"/>
      <c r="M137" s="2567"/>
      <c r="N137" s="2567"/>
      <c r="O137" s="2567"/>
      <c r="P137" s="2567"/>
      <c r="Q137" s="2567"/>
      <c r="R137" s="2567"/>
      <c r="S137" s="2567"/>
      <c r="T137" s="2567"/>
      <c r="U137" s="2567"/>
      <c r="V137" s="2567"/>
      <c r="W137" s="2567"/>
      <c r="X137" s="2567"/>
      <c r="Y137" s="2567"/>
    </row>
    <row r="138" spans="1:25" s="2551" customFormat="1">
      <c r="A138" s="2616"/>
      <c r="B138" s="2567"/>
      <c r="C138" s="2567"/>
      <c r="D138" s="2567"/>
      <c r="E138" s="2567"/>
      <c r="F138" s="2567"/>
      <c r="G138" s="2567"/>
      <c r="H138" s="2567"/>
      <c r="I138" s="2567"/>
      <c r="J138" s="2567"/>
      <c r="K138" s="2567"/>
      <c r="L138" s="2567"/>
      <c r="M138" s="2567"/>
      <c r="N138" s="2567"/>
      <c r="O138" s="2567"/>
      <c r="P138" s="2567"/>
      <c r="Q138" s="2567"/>
      <c r="R138" s="2567"/>
      <c r="S138" s="2567"/>
      <c r="T138" s="2567"/>
      <c r="U138" s="2567"/>
      <c r="V138" s="2567"/>
      <c r="W138" s="2567"/>
      <c r="X138" s="2567"/>
      <c r="Y138" s="2567"/>
    </row>
    <row r="139" spans="1:25" s="2551" customFormat="1">
      <c r="A139" s="2616"/>
      <c r="B139" s="2567"/>
      <c r="C139" s="2567"/>
      <c r="D139" s="2567"/>
      <c r="E139" s="2567"/>
      <c r="F139" s="2567"/>
      <c r="G139" s="2567"/>
      <c r="H139" s="2567"/>
      <c r="I139" s="2567"/>
      <c r="J139" s="2567"/>
      <c r="K139" s="2567"/>
      <c r="L139" s="2567"/>
      <c r="M139" s="2567"/>
      <c r="N139" s="2567"/>
      <c r="O139" s="2567"/>
      <c r="P139" s="2567"/>
      <c r="Q139" s="2567"/>
      <c r="R139" s="2567"/>
      <c r="S139" s="2567"/>
      <c r="T139" s="2567"/>
      <c r="U139" s="2567"/>
      <c r="V139" s="2567"/>
      <c r="W139" s="2567"/>
      <c r="X139" s="2567"/>
      <c r="Y139" s="2567"/>
    </row>
    <row r="140" spans="1:25" s="2551" customFormat="1">
      <c r="A140" s="2616"/>
      <c r="B140" s="2567"/>
      <c r="C140" s="2567"/>
      <c r="D140" s="2567"/>
      <c r="E140" s="2567"/>
      <c r="F140" s="2567"/>
      <c r="G140" s="2567"/>
      <c r="H140" s="2567"/>
      <c r="I140" s="2567"/>
      <c r="J140" s="2567"/>
      <c r="K140" s="2567"/>
      <c r="L140" s="2567"/>
      <c r="M140" s="2567"/>
      <c r="N140" s="2567"/>
      <c r="O140" s="2567"/>
      <c r="P140" s="2567"/>
      <c r="Q140" s="2567"/>
      <c r="R140" s="2567"/>
      <c r="S140" s="2567"/>
      <c r="T140" s="2567"/>
      <c r="U140" s="2567"/>
      <c r="V140" s="2567"/>
      <c r="W140" s="2567"/>
      <c r="X140" s="2567"/>
      <c r="Y140" s="2567"/>
    </row>
    <row r="141" spans="1:25" s="2551" customFormat="1">
      <c r="A141" s="2616"/>
      <c r="B141" s="2567"/>
      <c r="C141" s="2567"/>
      <c r="D141" s="2567"/>
      <c r="E141" s="2567"/>
      <c r="F141" s="2567"/>
      <c r="G141" s="2567"/>
      <c r="H141" s="2567"/>
      <c r="I141" s="2567"/>
      <c r="J141" s="2567"/>
      <c r="K141" s="2567"/>
      <c r="L141" s="2567"/>
      <c r="M141" s="2567"/>
      <c r="N141" s="2567"/>
      <c r="O141" s="2567"/>
      <c r="P141" s="2567"/>
      <c r="Q141" s="2567"/>
      <c r="R141" s="2567"/>
      <c r="S141" s="2567"/>
      <c r="T141" s="2567"/>
      <c r="U141" s="2567"/>
      <c r="V141" s="2567"/>
      <c r="W141" s="2567"/>
      <c r="X141" s="2567"/>
      <c r="Y141" s="2567"/>
    </row>
    <row r="142" spans="1:25" s="2551" customFormat="1">
      <c r="A142" s="2616"/>
      <c r="B142" s="2567"/>
      <c r="C142" s="2567"/>
      <c r="D142" s="2567"/>
      <c r="E142" s="2567"/>
      <c r="F142" s="2567"/>
      <c r="G142" s="2567"/>
      <c r="H142" s="2567"/>
      <c r="I142" s="2567"/>
      <c r="J142" s="2567"/>
      <c r="K142" s="2567"/>
      <c r="L142" s="2567"/>
      <c r="M142" s="2567"/>
      <c r="N142" s="2567"/>
      <c r="O142" s="2567"/>
      <c r="P142" s="2567"/>
      <c r="Q142" s="2567"/>
      <c r="R142" s="2567"/>
      <c r="S142" s="2567"/>
      <c r="T142" s="2567"/>
      <c r="U142" s="2567"/>
      <c r="V142" s="2567"/>
      <c r="W142" s="2567"/>
      <c r="X142" s="2567"/>
      <c r="Y142" s="2567"/>
    </row>
    <row r="143" spans="1:25" s="2551" customFormat="1">
      <c r="A143" s="2616"/>
      <c r="B143" s="2567"/>
      <c r="C143" s="2567"/>
      <c r="D143" s="2567"/>
      <c r="E143" s="2567"/>
      <c r="F143" s="2567"/>
      <c r="G143" s="2567"/>
      <c r="H143" s="2567"/>
      <c r="I143" s="2567"/>
      <c r="J143" s="2567"/>
      <c r="K143" s="2567"/>
      <c r="L143" s="2567"/>
      <c r="M143" s="2567"/>
      <c r="N143" s="2567"/>
      <c r="O143" s="2567"/>
      <c r="P143" s="2567"/>
      <c r="Q143" s="2567"/>
      <c r="R143" s="2567"/>
      <c r="S143" s="2567"/>
      <c r="T143" s="2567"/>
      <c r="U143" s="2567"/>
      <c r="V143" s="2567"/>
      <c r="W143" s="2567"/>
      <c r="X143" s="2567"/>
      <c r="Y143" s="2567"/>
    </row>
    <row r="144" spans="1:25" s="2551" customFormat="1">
      <c r="A144" s="2616"/>
      <c r="B144" s="2567"/>
      <c r="C144" s="2567"/>
      <c r="D144" s="2567"/>
      <c r="E144" s="2567"/>
      <c r="F144" s="2567"/>
      <c r="G144" s="2567"/>
      <c r="H144" s="2567"/>
      <c r="I144" s="2567"/>
      <c r="J144" s="2567"/>
      <c r="K144" s="2567"/>
      <c r="L144" s="2567"/>
      <c r="M144" s="2567"/>
      <c r="N144" s="2567"/>
      <c r="O144" s="2567"/>
      <c r="P144" s="2567"/>
      <c r="Q144" s="2567"/>
      <c r="R144" s="2567"/>
      <c r="S144" s="2567"/>
      <c r="T144" s="2567"/>
      <c r="U144" s="2567"/>
      <c r="V144" s="2567"/>
      <c r="W144" s="2567"/>
      <c r="X144" s="2567"/>
      <c r="Y144" s="2567"/>
    </row>
    <row r="145" spans="1:25" s="2551" customFormat="1">
      <c r="A145" s="2616"/>
      <c r="B145" s="2567"/>
      <c r="C145" s="2567"/>
      <c r="D145" s="2567"/>
      <c r="E145" s="2567"/>
      <c r="F145" s="2567"/>
      <c r="G145" s="2567"/>
      <c r="H145" s="2567"/>
      <c r="I145" s="2567"/>
      <c r="J145" s="2567"/>
      <c r="K145" s="2567"/>
      <c r="L145" s="2567"/>
      <c r="M145" s="2567"/>
      <c r="N145" s="2567"/>
      <c r="O145" s="2567"/>
      <c r="P145" s="2567"/>
      <c r="Q145" s="2567"/>
      <c r="R145" s="2567"/>
      <c r="S145" s="2567"/>
      <c r="T145" s="2567"/>
      <c r="U145" s="2567"/>
      <c r="V145" s="2567"/>
      <c r="W145" s="2567"/>
      <c r="X145" s="2567"/>
      <c r="Y145" s="2567"/>
    </row>
    <row r="146" spans="1:25" s="2551" customFormat="1">
      <c r="A146" s="2616"/>
      <c r="B146" s="2567"/>
      <c r="C146" s="2567"/>
      <c r="D146" s="2567"/>
      <c r="E146" s="2567"/>
      <c r="F146" s="2567"/>
      <c r="G146" s="2567"/>
      <c r="H146" s="2567"/>
      <c r="I146" s="2567"/>
      <c r="J146" s="2567"/>
      <c r="K146" s="2567"/>
      <c r="L146" s="2567"/>
      <c r="M146" s="2567"/>
      <c r="N146" s="2567"/>
      <c r="O146" s="2567"/>
      <c r="P146" s="2567"/>
      <c r="Q146" s="2567"/>
      <c r="R146" s="2567"/>
      <c r="S146" s="2567"/>
      <c r="T146" s="2567"/>
      <c r="U146" s="2567"/>
      <c r="V146" s="2567"/>
      <c r="W146" s="2567"/>
      <c r="X146" s="2567"/>
      <c r="Y146" s="2567"/>
    </row>
    <row r="147" spans="1:25" s="2551" customFormat="1">
      <c r="A147" s="2616"/>
      <c r="B147" s="2567"/>
      <c r="C147" s="2567"/>
      <c r="D147" s="2567"/>
      <c r="E147" s="2567"/>
      <c r="F147" s="2567"/>
      <c r="G147" s="2567"/>
      <c r="H147" s="2567"/>
      <c r="I147" s="2567"/>
      <c r="J147" s="2567"/>
      <c r="K147" s="2567"/>
      <c r="L147" s="2567"/>
      <c r="M147" s="2567"/>
      <c r="N147" s="2567"/>
      <c r="O147" s="2567"/>
      <c r="P147" s="2567"/>
      <c r="Q147" s="2567"/>
      <c r="R147" s="2567"/>
      <c r="S147" s="2567"/>
      <c r="T147" s="2567"/>
      <c r="U147" s="2567"/>
      <c r="V147" s="2567"/>
      <c r="W147" s="2567"/>
      <c r="X147" s="2567"/>
      <c r="Y147" s="2567"/>
    </row>
    <row r="148" spans="1:25" s="2551" customFormat="1">
      <c r="A148" s="2616"/>
      <c r="B148" s="2567"/>
      <c r="C148" s="2567"/>
      <c r="D148" s="2567"/>
      <c r="E148" s="2567"/>
      <c r="F148" s="2567"/>
      <c r="G148" s="2567"/>
      <c r="H148" s="2567"/>
      <c r="I148" s="2567"/>
      <c r="J148" s="2567"/>
      <c r="K148" s="2567"/>
      <c r="L148" s="2567"/>
      <c r="M148" s="2567"/>
      <c r="N148" s="2567"/>
      <c r="O148" s="2567"/>
      <c r="P148" s="2567"/>
      <c r="Q148" s="2567"/>
      <c r="R148" s="2567"/>
      <c r="S148" s="2567"/>
      <c r="T148" s="2567"/>
      <c r="U148" s="2567"/>
      <c r="V148" s="2567"/>
      <c r="W148" s="2567"/>
      <c r="X148" s="2567"/>
      <c r="Y148" s="2567"/>
    </row>
    <row r="149" spans="1:25" s="2551" customFormat="1">
      <c r="A149" s="2616"/>
      <c r="B149" s="2567"/>
      <c r="C149" s="2567"/>
      <c r="D149" s="2567"/>
      <c r="E149" s="2567"/>
      <c r="F149" s="2567"/>
      <c r="G149" s="2567"/>
      <c r="H149" s="2567"/>
      <c r="I149" s="2567"/>
      <c r="J149" s="2567"/>
      <c r="K149" s="2567"/>
      <c r="L149" s="2567"/>
      <c r="M149" s="2567"/>
      <c r="N149" s="2567"/>
      <c r="O149" s="2567"/>
      <c r="P149" s="2567"/>
      <c r="Q149" s="2567"/>
      <c r="R149" s="2567"/>
      <c r="S149" s="2567"/>
      <c r="T149" s="2567"/>
      <c r="U149" s="2567"/>
      <c r="V149" s="2567"/>
      <c r="W149" s="2567"/>
      <c r="X149" s="2567"/>
      <c r="Y149" s="2567"/>
    </row>
    <row r="150" spans="1:25" s="2551" customFormat="1">
      <c r="A150" s="2616"/>
      <c r="B150" s="2567"/>
      <c r="C150" s="2567"/>
      <c r="D150" s="2567"/>
      <c r="E150" s="2567"/>
      <c r="F150" s="2567"/>
      <c r="G150" s="2567"/>
      <c r="H150" s="2567"/>
      <c r="I150" s="2567"/>
      <c r="J150" s="2567"/>
      <c r="K150" s="2567"/>
      <c r="L150" s="2567"/>
      <c r="M150" s="2567"/>
      <c r="N150" s="2567"/>
      <c r="O150" s="2567"/>
      <c r="P150" s="2567"/>
      <c r="Q150" s="2567"/>
      <c r="R150" s="2567"/>
      <c r="S150" s="2567"/>
      <c r="T150" s="2567"/>
      <c r="U150" s="2567"/>
      <c r="V150" s="2567"/>
      <c r="W150" s="2567"/>
      <c r="X150" s="2567"/>
      <c r="Y150" s="2567"/>
    </row>
    <row r="151" spans="1:25" s="2551" customFormat="1">
      <c r="A151" s="2616"/>
      <c r="B151" s="2567"/>
      <c r="C151" s="2567"/>
      <c r="D151" s="2567"/>
      <c r="E151" s="2567"/>
      <c r="F151" s="2567"/>
      <c r="G151" s="2567"/>
      <c r="H151" s="2567"/>
      <c r="I151" s="2567"/>
      <c r="J151" s="2567"/>
      <c r="K151" s="2567"/>
      <c r="L151" s="2567"/>
      <c r="M151" s="2567"/>
      <c r="N151" s="2567"/>
      <c r="O151" s="2567"/>
      <c r="P151" s="2567"/>
      <c r="Q151" s="2567"/>
      <c r="R151" s="2567"/>
      <c r="S151" s="2567"/>
      <c r="T151" s="2567"/>
      <c r="U151" s="2567"/>
      <c r="V151" s="2567"/>
      <c r="W151" s="2567"/>
      <c r="X151" s="2567"/>
      <c r="Y151" s="2567"/>
    </row>
    <row r="152" spans="1:25" s="2551" customFormat="1">
      <c r="A152" s="2616"/>
      <c r="B152" s="2567"/>
      <c r="C152" s="2567"/>
      <c r="D152" s="2567"/>
      <c r="E152" s="2567"/>
      <c r="F152" s="2567"/>
      <c r="G152" s="2567"/>
      <c r="H152" s="2567"/>
      <c r="I152" s="2567"/>
      <c r="J152" s="2567"/>
      <c r="K152" s="2567"/>
      <c r="L152" s="2567"/>
      <c r="M152" s="2567"/>
      <c r="N152" s="2567"/>
      <c r="O152" s="2567"/>
      <c r="P152" s="2567"/>
      <c r="Q152" s="2567"/>
      <c r="R152" s="2567"/>
      <c r="S152" s="2567"/>
      <c r="T152" s="2567"/>
      <c r="U152" s="2567"/>
      <c r="V152" s="2567"/>
      <c r="W152" s="2567"/>
      <c r="X152" s="2567"/>
      <c r="Y152" s="2567"/>
    </row>
    <row r="153" spans="1:25" s="2551" customFormat="1">
      <c r="A153" s="2616"/>
      <c r="B153" s="2567"/>
      <c r="C153" s="2567"/>
      <c r="D153" s="2567"/>
      <c r="E153" s="2567"/>
      <c r="F153" s="2567"/>
      <c r="G153" s="2567"/>
      <c r="H153" s="2567"/>
      <c r="I153" s="2567"/>
      <c r="J153" s="2567"/>
      <c r="K153" s="2567"/>
      <c r="L153" s="2567"/>
      <c r="M153" s="2567"/>
      <c r="N153" s="2567"/>
      <c r="O153" s="2567"/>
      <c r="P153" s="2567"/>
      <c r="Q153" s="2567"/>
      <c r="R153" s="2567"/>
      <c r="S153" s="2567"/>
      <c r="T153" s="2567"/>
      <c r="U153" s="2567"/>
      <c r="V153" s="2567"/>
      <c r="W153" s="2567"/>
      <c r="X153" s="2567"/>
      <c r="Y153" s="2567"/>
    </row>
    <row r="154" spans="1:25" s="2551" customFormat="1">
      <c r="A154" s="2616"/>
      <c r="B154" s="2567"/>
      <c r="C154" s="2567"/>
      <c r="D154" s="2567"/>
      <c r="E154" s="2567"/>
      <c r="F154" s="2567"/>
      <c r="G154" s="2567"/>
      <c r="H154" s="2567"/>
      <c r="I154" s="2567"/>
      <c r="J154" s="2567"/>
      <c r="K154" s="2567"/>
      <c r="L154" s="2567"/>
      <c r="M154" s="2567"/>
      <c r="N154" s="2567"/>
      <c r="O154" s="2567"/>
      <c r="P154" s="2567"/>
      <c r="Q154" s="2567"/>
      <c r="R154" s="2567"/>
      <c r="S154" s="2567"/>
      <c r="T154" s="2567"/>
      <c r="U154" s="2567"/>
      <c r="V154" s="2567"/>
      <c r="W154" s="2567"/>
      <c r="X154" s="2567"/>
      <c r="Y154" s="2567"/>
    </row>
    <row r="155" spans="1:25" s="2551" customFormat="1">
      <c r="A155" s="2616"/>
      <c r="B155" s="2567"/>
      <c r="C155" s="2567"/>
      <c r="D155" s="2567"/>
      <c r="E155" s="2567"/>
      <c r="F155" s="2567"/>
      <c r="G155" s="2567"/>
      <c r="H155" s="2567"/>
      <c r="I155" s="2567"/>
      <c r="J155" s="2567"/>
      <c r="K155" s="2567"/>
      <c r="L155" s="2567"/>
      <c r="M155" s="2567"/>
      <c r="N155" s="2567"/>
      <c r="O155" s="2567"/>
      <c r="P155" s="2567"/>
      <c r="Q155" s="2567"/>
      <c r="R155" s="2567"/>
      <c r="S155" s="2567"/>
      <c r="T155" s="2567"/>
      <c r="U155" s="2567"/>
      <c r="V155" s="2567"/>
      <c r="W155" s="2567"/>
      <c r="X155" s="2567"/>
      <c r="Y155" s="2567"/>
    </row>
    <row r="156" spans="1:25" s="2551" customFormat="1">
      <c r="A156" s="2616"/>
      <c r="B156" s="2567"/>
      <c r="C156" s="2567"/>
      <c r="D156" s="2567"/>
      <c r="E156" s="2567"/>
      <c r="F156" s="2567"/>
      <c r="G156" s="2567"/>
      <c r="H156" s="2567"/>
      <c r="I156" s="2567"/>
      <c r="J156" s="2567"/>
      <c r="K156" s="2567"/>
      <c r="L156" s="2567"/>
      <c r="M156" s="2567"/>
      <c r="N156" s="2567"/>
      <c r="O156" s="2567"/>
      <c r="P156" s="2567"/>
      <c r="Q156" s="2567"/>
      <c r="R156" s="2567"/>
      <c r="S156" s="2567"/>
      <c r="T156" s="2567"/>
      <c r="U156" s="2567"/>
      <c r="V156" s="2567"/>
      <c r="W156" s="2567"/>
      <c r="X156" s="2567"/>
      <c r="Y156" s="2567"/>
    </row>
    <row r="157" spans="1:25" s="2551" customFormat="1">
      <c r="A157" s="2616"/>
      <c r="B157" s="2567"/>
      <c r="C157" s="2567"/>
      <c r="D157" s="2567"/>
      <c r="E157" s="2567"/>
      <c r="F157" s="2567"/>
      <c r="G157" s="2567"/>
      <c r="H157" s="2567"/>
      <c r="I157" s="2567"/>
      <c r="J157" s="2567"/>
      <c r="K157" s="2567"/>
      <c r="L157" s="2567"/>
      <c r="M157" s="2567"/>
      <c r="N157" s="2567"/>
      <c r="O157" s="2567"/>
      <c r="P157" s="2567"/>
      <c r="Q157" s="2567"/>
      <c r="R157" s="2567"/>
      <c r="S157" s="2567"/>
      <c r="T157" s="2567"/>
      <c r="U157" s="2567"/>
      <c r="V157" s="2567"/>
      <c r="W157" s="2567"/>
      <c r="X157" s="2567"/>
      <c r="Y157" s="2567"/>
    </row>
    <row r="158" spans="1:25" s="2551" customFormat="1">
      <c r="A158" s="2616"/>
      <c r="B158" s="2567"/>
      <c r="C158" s="2567"/>
      <c r="D158" s="2567"/>
      <c r="E158" s="2567"/>
      <c r="F158" s="2567"/>
      <c r="G158" s="2567"/>
      <c r="H158" s="2567"/>
      <c r="I158" s="2567"/>
      <c r="J158" s="2567"/>
      <c r="K158" s="2567"/>
      <c r="L158" s="2567"/>
      <c r="M158" s="2567"/>
      <c r="N158" s="2567"/>
      <c r="O158" s="2567"/>
      <c r="P158" s="2567"/>
      <c r="Q158" s="2567"/>
      <c r="R158" s="2567"/>
      <c r="S158" s="2567"/>
      <c r="T158" s="2567"/>
      <c r="U158" s="2567"/>
      <c r="V158" s="2567"/>
      <c r="W158" s="2567"/>
      <c r="X158" s="2567"/>
      <c r="Y158" s="2567"/>
    </row>
    <row r="159" spans="1:25" s="2551" customFormat="1">
      <c r="A159" s="2616"/>
      <c r="B159" s="2567"/>
      <c r="C159" s="2567"/>
      <c r="D159" s="2567"/>
      <c r="E159" s="2567"/>
      <c r="F159" s="2567"/>
      <c r="G159" s="2567"/>
      <c r="H159" s="2567"/>
      <c r="I159" s="2567"/>
      <c r="J159" s="2567"/>
      <c r="K159" s="2567"/>
      <c r="L159" s="2567"/>
      <c r="M159" s="2567"/>
      <c r="N159" s="2567"/>
      <c r="O159" s="2567"/>
      <c r="P159" s="2567"/>
      <c r="Q159" s="2567"/>
      <c r="R159" s="2567"/>
      <c r="S159" s="2567"/>
      <c r="T159" s="2567"/>
      <c r="U159" s="2567"/>
      <c r="V159" s="2567"/>
      <c r="W159" s="2567"/>
      <c r="X159" s="2567"/>
      <c r="Y159" s="2567"/>
    </row>
    <row r="160" spans="1:25" s="2551" customFormat="1">
      <c r="A160" s="2616"/>
      <c r="B160" s="2567"/>
      <c r="C160" s="2567"/>
      <c r="D160" s="2567"/>
      <c r="E160" s="2567"/>
      <c r="F160" s="2567"/>
      <c r="G160" s="2567"/>
      <c r="H160" s="2567"/>
      <c r="I160" s="2567"/>
      <c r="J160" s="2567"/>
      <c r="K160" s="2567"/>
      <c r="L160" s="2567"/>
      <c r="M160" s="2567"/>
      <c r="N160" s="2567"/>
      <c r="O160" s="2567"/>
      <c r="P160" s="2567"/>
      <c r="Q160" s="2567"/>
      <c r="R160" s="2567"/>
      <c r="S160" s="2567"/>
      <c r="T160" s="2567"/>
      <c r="U160" s="2567"/>
      <c r="V160" s="2567"/>
      <c r="W160" s="2567"/>
      <c r="X160" s="2567"/>
      <c r="Y160" s="2567"/>
    </row>
    <row r="161" spans="1:25" s="2551" customFormat="1">
      <c r="A161" s="2616"/>
      <c r="B161" s="2567"/>
      <c r="C161" s="2567"/>
      <c r="D161" s="2567"/>
      <c r="E161" s="2567"/>
      <c r="F161" s="2567"/>
      <c r="G161" s="2567"/>
      <c r="H161" s="2567"/>
      <c r="I161" s="2567"/>
      <c r="J161" s="2567"/>
      <c r="K161" s="2567"/>
      <c r="L161" s="2567"/>
      <c r="M161" s="2567"/>
      <c r="N161" s="2567"/>
      <c r="O161" s="2567"/>
      <c r="P161" s="2567"/>
      <c r="Q161" s="2567"/>
      <c r="R161" s="2567"/>
      <c r="S161" s="2567"/>
      <c r="T161" s="2567"/>
      <c r="U161" s="2567"/>
      <c r="V161" s="2567"/>
      <c r="W161" s="2567"/>
      <c r="X161" s="2567"/>
      <c r="Y161" s="2567"/>
    </row>
    <row r="162" spans="1:25" s="2551" customFormat="1">
      <c r="A162" s="2616"/>
      <c r="B162" s="2567"/>
      <c r="C162" s="2567"/>
      <c r="D162" s="2567"/>
      <c r="E162" s="2567"/>
      <c r="F162" s="2567"/>
      <c r="G162" s="2567"/>
      <c r="H162" s="2567"/>
      <c r="I162" s="2567"/>
      <c r="J162" s="2567"/>
      <c r="K162" s="2567"/>
      <c r="L162" s="2567"/>
      <c r="M162" s="2567"/>
      <c r="N162" s="2567"/>
      <c r="O162" s="2567"/>
      <c r="P162" s="2567"/>
      <c r="Q162" s="2567"/>
      <c r="R162" s="2567"/>
      <c r="S162" s="2567"/>
      <c r="T162" s="2567"/>
      <c r="U162" s="2567"/>
      <c r="V162" s="2567"/>
      <c r="W162" s="2567"/>
      <c r="X162" s="2567"/>
      <c r="Y162" s="2567"/>
    </row>
    <row r="163" spans="1:25" s="2551" customFormat="1">
      <c r="A163" s="2616"/>
      <c r="B163" s="2567"/>
      <c r="C163" s="2567"/>
      <c r="D163" s="2567"/>
      <c r="E163" s="2567"/>
      <c r="F163" s="2567"/>
      <c r="G163" s="2567"/>
      <c r="H163" s="2567"/>
      <c r="I163" s="2567"/>
      <c r="J163" s="2567"/>
      <c r="K163" s="2567"/>
      <c r="L163" s="2567"/>
      <c r="M163" s="2567"/>
      <c r="N163" s="2567"/>
      <c r="O163" s="2567"/>
      <c r="P163" s="2567"/>
      <c r="Q163" s="2567"/>
      <c r="R163" s="2567"/>
      <c r="S163" s="2567"/>
      <c r="T163" s="2567"/>
      <c r="U163" s="2567"/>
      <c r="V163" s="2567"/>
      <c r="W163" s="2567"/>
      <c r="X163" s="2567"/>
      <c r="Y163" s="2567"/>
    </row>
    <row r="164" spans="1:25" s="2551" customFormat="1">
      <c r="A164" s="2616"/>
      <c r="B164" s="2567"/>
      <c r="C164" s="2567"/>
      <c r="D164" s="2567"/>
      <c r="E164" s="2567"/>
      <c r="F164" s="2567"/>
      <c r="G164" s="2567"/>
      <c r="H164" s="2567"/>
      <c r="I164" s="2567"/>
      <c r="J164" s="2567"/>
      <c r="K164" s="2567"/>
      <c r="L164" s="2567"/>
      <c r="M164" s="2567"/>
      <c r="N164" s="2567"/>
      <c r="O164" s="2567"/>
      <c r="P164" s="2567"/>
      <c r="Q164" s="2567"/>
      <c r="R164" s="2567"/>
      <c r="S164" s="2567"/>
      <c r="T164" s="2567"/>
      <c r="U164" s="2567"/>
      <c r="V164" s="2567"/>
      <c r="W164" s="2567"/>
      <c r="X164" s="2567"/>
      <c r="Y164" s="2567"/>
    </row>
    <row r="165" spans="1:25" s="2551" customFormat="1">
      <c r="A165" s="2616"/>
      <c r="B165" s="2567"/>
      <c r="C165" s="2567"/>
      <c r="D165" s="2567"/>
      <c r="E165" s="2567"/>
      <c r="F165" s="2567"/>
      <c r="G165" s="2567"/>
      <c r="H165" s="2567"/>
      <c r="I165" s="2567"/>
      <c r="J165" s="2567"/>
      <c r="K165" s="2567"/>
      <c r="L165" s="2567"/>
      <c r="M165" s="2567"/>
      <c r="N165" s="2567"/>
      <c r="O165" s="2567"/>
      <c r="P165" s="2567"/>
      <c r="Q165" s="2567"/>
      <c r="R165" s="2567"/>
      <c r="S165" s="2567"/>
      <c r="T165" s="2567"/>
      <c r="U165" s="2567"/>
      <c r="V165" s="2567"/>
      <c r="W165" s="2567"/>
      <c r="X165" s="2567"/>
      <c r="Y165" s="2567"/>
    </row>
    <row r="166" spans="1:25" s="2551" customFormat="1">
      <c r="A166" s="2616"/>
      <c r="B166" s="2567"/>
      <c r="C166" s="2567"/>
      <c r="D166" s="2567"/>
      <c r="E166" s="2567"/>
      <c r="F166" s="2567"/>
      <c r="G166" s="2567"/>
      <c r="H166" s="2567"/>
      <c r="I166" s="2567"/>
      <c r="J166" s="2567"/>
      <c r="K166" s="2567"/>
      <c r="L166" s="2567"/>
      <c r="M166" s="2567"/>
      <c r="N166" s="2567"/>
      <c r="O166" s="2567"/>
      <c r="P166" s="2567"/>
      <c r="Q166" s="2567"/>
      <c r="R166" s="2567"/>
      <c r="S166" s="2567"/>
      <c r="T166" s="2567"/>
      <c r="U166" s="2567"/>
      <c r="V166" s="2567"/>
      <c r="W166" s="2567"/>
      <c r="X166" s="2567"/>
      <c r="Y166" s="2567"/>
    </row>
    <row r="167" spans="1:25" s="2551" customFormat="1">
      <c r="A167" s="2616"/>
      <c r="B167" s="2567"/>
      <c r="C167" s="2567"/>
      <c r="D167" s="2567"/>
      <c r="E167" s="2567"/>
      <c r="F167" s="2567"/>
      <c r="G167" s="2567"/>
      <c r="H167" s="2567"/>
      <c r="I167" s="2567"/>
      <c r="J167" s="2567"/>
      <c r="K167" s="2567"/>
      <c r="L167" s="2567"/>
      <c r="M167" s="2567"/>
      <c r="N167" s="2567"/>
      <c r="O167" s="2567"/>
      <c r="P167" s="2567"/>
      <c r="Q167" s="2567"/>
      <c r="R167" s="2567"/>
      <c r="S167" s="2567"/>
      <c r="T167" s="2567"/>
      <c r="U167" s="2567"/>
      <c r="V167" s="2567"/>
      <c r="W167" s="2567"/>
      <c r="X167" s="2567"/>
      <c r="Y167" s="2567"/>
    </row>
    <row r="168" spans="1:25" s="2551" customFormat="1">
      <c r="A168" s="2616"/>
      <c r="B168" s="2567"/>
      <c r="C168" s="2567"/>
      <c r="D168" s="2567"/>
      <c r="E168" s="2567"/>
      <c r="F168" s="2567"/>
      <c r="G168" s="2567"/>
      <c r="H168" s="2567"/>
      <c r="I168" s="2567"/>
      <c r="J168" s="2567"/>
      <c r="K168" s="2567"/>
      <c r="L168" s="2567"/>
      <c r="M168" s="2567"/>
      <c r="N168" s="2567"/>
      <c r="O168" s="2567"/>
      <c r="P168" s="2567"/>
      <c r="Q168" s="2567"/>
      <c r="R168" s="2567"/>
      <c r="S168" s="2567"/>
      <c r="T168" s="2567"/>
      <c r="U168" s="2567"/>
      <c r="V168" s="2567"/>
      <c r="W168" s="2567"/>
      <c r="X168" s="2567"/>
      <c r="Y168" s="2567"/>
    </row>
    <row r="169" spans="1:25" s="2551" customFormat="1">
      <c r="A169" s="2616"/>
      <c r="B169" s="2567"/>
      <c r="C169" s="2567"/>
      <c r="D169" s="2567"/>
      <c r="E169" s="2567"/>
      <c r="F169" s="2567"/>
      <c r="G169" s="2567"/>
      <c r="H169" s="2567"/>
      <c r="I169" s="2567"/>
      <c r="J169" s="2567"/>
      <c r="K169" s="2567"/>
      <c r="L169" s="2567"/>
      <c r="M169" s="2567"/>
      <c r="N169" s="2567"/>
      <c r="O169" s="2567"/>
      <c r="P169" s="2567"/>
      <c r="Q169" s="2567"/>
      <c r="R169" s="2567"/>
      <c r="S169" s="2567"/>
      <c r="T169" s="2567"/>
      <c r="U169" s="2567"/>
      <c r="V169" s="2567"/>
      <c r="W169" s="2567"/>
      <c r="X169" s="2567"/>
      <c r="Y169" s="2567"/>
    </row>
    <row r="170" spans="1:25" s="2551" customFormat="1">
      <c r="A170" s="2616"/>
      <c r="B170" s="2567"/>
      <c r="C170" s="2567"/>
      <c r="D170" s="2567"/>
      <c r="E170" s="2567"/>
      <c r="F170" s="2567"/>
      <c r="G170" s="2567"/>
      <c r="H170" s="2567"/>
      <c r="I170" s="2567"/>
      <c r="J170" s="2567"/>
      <c r="K170" s="2567"/>
      <c r="L170" s="2567"/>
      <c r="M170" s="2567"/>
      <c r="N170" s="2567"/>
      <c r="O170" s="2567"/>
      <c r="P170" s="2567"/>
      <c r="Q170" s="2567"/>
      <c r="R170" s="2567"/>
      <c r="S170" s="2567"/>
      <c r="T170" s="2567"/>
      <c r="U170" s="2567"/>
      <c r="V170" s="2567"/>
      <c r="W170" s="2567"/>
      <c r="X170" s="2567"/>
      <c r="Y170" s="2567"/>
    </row>
    <row r="171" spans="1:25" s="2551" customFormat="1">
      <c r="A171" s="2616"/>
      <c r="B171" s="2567"/>
      <c r="C171" s="2567"/>
      <c r="D171" s="2567"/>
      <c r="E171" s="2567"/>
      <c r="F171" s="2567"/>
      <c r="G171" s="2567"/>
      <c r="H171" s="2567"/>
      <c r="I171" s="2567"/>
      <c r="J171" s="2567"/>
      <c r="K171" s="2567"/>
      <c r="L171" s="2567"/>
      <c r="M171" s="2567"/>
      <c r="N171" s="2567"/>
      <c r="O171" s="2567"/>
      <c r="P171" s="2567"/>
      <c r="Q171" s="2567"/>
      <c r="R171" s="2567"/>
      <c r="S171" s="2567"/>
      <c r="T171" s="2567"/>
      <c r="U171" s="2567"/>
      <c r="V171" s="2567"/>
      <c r="W171" s="2567"/>
      <c r="X171" s="2567"/>
      <c r="Y171" s="2567"/>
    </row>
    <row r="172" spans="1:25" s="2551" customFormat="1">
      <c r="A172" s="2616"/>
      <c r="B172" s="2567"/>
      <c r="C172" s="2567"/>
      <c r="D172" s="2567"/>
      <c r="E172" s="2567"/>
      <c r="F172" s="2567"/>
      <c r="G172" s="2567"/>
      <c r="H172" s="2567"/>
      <c r="I172" s="2567"/>
      <c r="J172" s="2567"/>
      <c r="K172" s="2567"/>
      <c r="L172" s="2567"/>
      <c r="M172" s="2567"/>
      <c r="N172" s="2567"/>
      <c r="O172" s="2567"/>
      <c r="P172" s="2567"/>
      <c r="Q172" s="2567"/>
      <c r="R172" s="2567"/>
      <c r="S172" s="2567"/>
      <c r="T172" s="2567"/>
      <c r="U172" s="2567"/>
      <c r="V172" s="2567"/>
      <c r="W172" s="2567"/>
      <c r="X172" s="2567"/>
      <c r="Y172" s="2567"/>
    </row>
    <row r="173" spans="1:25" s="2551" customFormat="1">
      <c r="A173" s="2616"/>
      <c r="B173" s="2567"/>
      <c r="C173" s="2567"/>
      <c r="D173" s="2567"/>
      <c r="E173" s="2567"/>
      <c r="F173" s="2567"/>
      <c r="G173" s="2567"/>
      <c r="H173" s="2567"/>
      <c r="I173" s="2567"/>
      <c r="J173" s="2567"/>
      <c r="K173" s="2567"/>
      <c r="L173" s="2567"/>
      <c r="M173" s="2567"/>
      <c r="N173" s="2567"/>
      <c r="O173" s="2567"/>
      <c r="P173" s="2567"/>
      <c r="Q173" s="2567"/>
      <c r="R173" s="2567"/>
      <c r="S173" s="2567"/>
      <c r="T173" s="2567"/>
      <c r="U173" s="2567"/>
      <c r="V173" s="2567"/>
      <c r="W173" s="2567"/>
      <c r="X173" s="2567"/>
      <c r="Y173" s="2567"/>
    </row>
    <row r="174" spans="1:25" s="2551" customFormat="1">
      <c r="A174" s="2616"/>
      <c r="B174" s="2567"/>
      <c r="C174" s="2567"/>
      <c r="D174" s="2567"/>
      <c r="E174" s="2567"/>
      <c r="F174" s="2567"/>
      <c r="G174" s="2567"/>
      <c r="H174" s="2567"/>
      <c r="I174" s="2567"/>
      <c r="J174" s="2567"/>
      <c r="K174" s="2567"/>
      <c r="L174" s="2567"/>
      <c r="M174" s="2567"/>
      <c r="N174" s="2567"/>
      <c r="O174" s="2567"/>
      <c r="P174" s="2567"/>
      <c r="Q174" s="2567"/>
      <c r="R174" s="2567"/>
      <c r="S174" s="2567"/>
      <c r="T174" s="2567"/>
      <c r="U174" s="2567"/>
      <c r="V174" s="2567"/>
      <c r="W174" s="2567"/>
      <c r="X174" s="2567"/>
      <c r="Y174" s="2567"/>
    </row>
    <row r="175" spans="1:25" s="2551" customFormat="1">
      <c r="A175" s="2616"/>
      <c r="B175" s="2567"/>
      <c r="C175" s="2567"/>
      <c r="D175" s="2567"/>
      <c r="E175" s="2567"/>
      <c r="F175" s="2567"/>
      <c r="G175" s="2567"/>
      <c r="H175" s="2567"/>
      <c r="I175" s="2567"/>
      <c r="J175" s="2567"/>
      <c r="K175" s="2567"/>
      <c r="L175" s="2567"/>
      <c r="M175" s="2567"/>
      <c r="N175" s="2567"/>
      <c r="O175" s="2567"/>
      <c r="P175" s="2567"/>
      <c r="Q175" s="2567"/>
      <c r="R175" s="2567"/>
      <c r="S175" s="2567"/>
      <c r="T175" s="2567"/>
      <c r="U175" s="2567"/>
      <c r="V175" s="2567"/>
      <c r="W175" s="2567"/>
      <c r="X175" s="2567"/>
      <c r="Y175" s="2567"/>
    </row>
    <row r="176" spans="1:25" s="2551" customFormat="1">
      <c r="A176" s="2616"/>
      <c r="B176" s="2567"/>
      <c r="C176" s="2567"/>
      <c r="D176" s="2567"/>
      <c r="E176" s="2567"/>
      <c r="F176" s="2567"/>
      <c r="G176" s="2567"/>
      <c r="H176" s="2567"/>
      <c r="I176" s="2567"/>
      <c r="J176" s="2567"/>
      <c r="K176" s="2567"/>
      <c r="L176" s="2567"/>
      <c r="M176" s="2567"/>
      <c r="N176" s="2567"/>
      <c r="O176" s="2567"/>
      <c r="P176" s="2567"/>
      <c r="Q176" s="2567"/>
      <c r="R176" s="2567"/>
      <c r="S176" s="2567"/>
      <c r="T176" s="2567"/>
      <c r="U176" s="2567"/>
      <c r="V176" s="2567"/>
      <c r="W176" s="2567"/>
      <c r="X176" s="2567"/>
      <c r="Y176" s="2567"/>
    </row>
    <row r="177" spans="1:25" s="2551" customFormat="1">
      <c r="A177" s="2616"/>
      <c r="B177" s="2567"/>
      <c r="C177" s="2567"/>
      <c r="D177" s="2567"/>
      <c r="E177" s="2567"/>
      <c r="F177" s="2567"/>
      <c r="G177" s="2567"/>
      <c r="H177" s="2567"/>
      <c r="I177" s="2567"/>
      <c r="J177" s="2567"/>
      <c r="K177" s="2567"/>
      <c r="L177" s="2567"/>
      <c r="M177" s="2567"/>
      <c r="N177" s="2567"/>
      <c r="O177" s="2567"/>
      <c r="P177" s="2567"/>
      <c r="Q177" s="2567"/>
      <c r="R177" s="2567"/>
      <c r="S177" s="2567"/>
      <c r="T177" s="2567"/>
      <c r="U177" s="2567"/>
      <c r="V177" s="2567"/>
      <c r="W177" s="2567"/>
      <c r="X177" s="2567"/>
      <c r="Y177" s="2567"/>
    </row>
    <row r="178" spans="1:25" s="2551" customFormat="1">
      <c r="A178" s="2616"/>
      <c r="B178" s="2567"/>
      <c r="C178" s="2567"/>
      <c r="D178" s="2567"/>
      <c r="E178" s="2567"/>
      <c r="F178" s="2567"/>
      <c r="G178" s="2567"/>
      <c r="H178" s="2567"/>
      <c r="I178" s="2567"/>
      <c r="J178" s="2567"/>
      <c r="K178" s="2567"/>
      <c r="L178" s="2567"/>
      <c r="M178" s="2567"/>
      <c r="N178" s="2567"/>
      <c r="O178" s="2567"/>
      <c r="P178" s="2567"/>
      <c r="Q178" s="2567"/>
      <c r="R178" s="2567"/>
      <c r="S178" s="2567"/>
      <c r="T178" s="2567"/>
      <c r="U178" s="2567"/>
      <c r="V178" s="2567"/>
      <c r="W178" s="2567"/>
      <c r="X178" s="2567"/>
      <c r="Y178" s="2567"/>
    </row>
    <row r="179" spans="1:25" s="2551" customFormat="1">
      <c r="A179" s="2616"/>
      <c r="B179" s="2567"/>
      <c r="C179" s="2567"/>
      <c r="D179" s="2567"/>
      <c r="E179" s="2567"/>
      <c r="F179" s="2567"/>
      <c r="G179" s="2567"/>
      <c r="H179" s="2567"/>
      <c r="I179" s="2567"/>
      <c r="J179" s="2567"/>
      <c r="K179" s="2567"/>
      <c r="L179" s="2567"/>
      <c r="M179" s="2567"/>
      <c r="N179" s="2567"/>
      <c r="O179" s="2567"/>
      <c r="P179" s="2567"/>
      <c r="Q179" s="2567"/>
      <c r="R179" s="2567"/>
      <c r="S179" s="2567"/>
      <c r="T179" s="2567"/>
      <c r="U179" s="2567"/>
      <c r="V179" s="2567"/>
      <c r="W179" s="2567"/>
      <c r="X179" s="2567"/>
      <c r="Y179" s="2567"/>
    </row>
    <row r="180" spans="1:25" s="2551" customFormat="1">
      <c r="A180" s="2616"/>
      <c r="B180" s="2567"/>
      <c r="C180" s="2567"/>
      <c r="D180" s="2567"/>
      <c r="E180" s="2567"/>
      <c r="F180" s="2567"/>
      <c r="G180" s="2567"/>
      <c r="H180" s="2567"/>
      <c r="I180" s="2567"/>
      <c r="J180" s="2567"/>
      <c r="K180" s="2567"/>
      <c r="L180" s="2567"/>
      <c r="M180" s="2567"/>
      <c r="N180" s="2567"/>
      <c r="O180" s="2567"/>
      <c r="P180" s="2567"/>
      <c r="Q180" s="2567"/>
      <c r="R180" s="2567"/>
      <c r="S180" s="2567"/>
      <c r="T180" s="2567"/>
      <c r="U180" s="2567"/>
      <c r="V180" s="2567"/>
      <c r="W180" s="2567"/>
      <c r="X180" s="2567"/>
      <c r="Y180" s="2567"/>
    </row>
    <row r="181" spans="1:25" s="2551" customFormat="1">
      <c r="A181" s="2616"/>
      <c r="B181" s="2567"/>
      <c r="C181" s="2567"/>
      <c r="D181" s="2567"/>
      <c r="E181" s="2567"/>
      <c r="F181" s="2567"/>
      <c r="G181" s="2567"/>
      <c r="H181" s="2567"/>
      <c r="I181" s="2567"/>
      <c r="J181" s="2567"/>
      <c r="K181" s="2567"/>
      <c r="L181" s="2567"/>
      <c r="M181" s="2567"/>
      <c r="N181" s="2567"/>
      <c r="O181" s="2567"/>
      <c r="P181" s="2567"/>
      <c r="Q181" s="2567"/>
      <c r="R181" s="2567"/>
      <c r="S181" s="2567"/>
      <c r="T181" s="2567"/>
      <c r="U181" s="2567"/>
      <c r="V181" s="2567"/>
      <c r="W181" s="2567"/>
      <c r="X181" s="2567"/>
      <c r="Y181" s="2567"/>
    </row>
    <row r="182" spans="1:25" s="2551" customFormat="1">
      <c r="A182" s="2616"/>
      <c r="B182" s="2567"/>
      <c r="C182" s="2567"/>
      <c r="D182" s="2567"/>
      <c r="E182" s="2567"/>
      <c r="F182" s="2567"/>
      <c r="G182" s="2567"/>
      <c r="H182" s="2567"/>
      <c r="I182" s="2567"/>
      <c r="J182" s="2567"/>
      <c r="K182" s="2567"/>
      <c r="L182" s="2567"/>
      <c r="M182" s="2567"/>
      <c r="N182" s="2567"/>
      <c r="O182" s="2567"/>
      <c r="P182" s="2567"/>
      <c r="Q182" s="2567"/>
      <c r="R182" s="2567"/>
      <c r="S182" s="2567"/>
      <c r="T182" s="2567"/>
      <c r="U182" s="2567"/>
      <c r="V182" s="2567"/>
      <c r="W182" s="2567"/>
      <c r="X182" s="2567"/>
      <c r="Y182" s="2567"/>
    </row>
    <row r="183" spans="1:25" s="2551" customFormat="1">
      <c r="A183" s="2616"/>
      <c r="B183" s="2567"/>
      <c r="C183" s="2567"/>
      <c r="D183" s="2567"/>
      <c r="E183" s="2567"/>
      <c r="F183" s="2567"/>
      <c r="G183" s="2567"/>
      <c r="H183" s="2567"/>
      <c r="I183" s="2567"/>
      <c r="J183" s="2567"/>
      <c r="K183" s="2567"/>
      <c r="L183" s="2567"/>
      <c r="M183" s="2567"/>
      <c r="N183" s="2567"/>
      <c r="O183" s="2567"/>
      <c r="P183" s="2567"/>
      <c r="Q183" s="2567"/>
      <c r="R183" s="2567"/>
      <c r="S183" s="2567"/>
      <c r="T183" s="2567"/>
      <c r="U183" s="2567"/>
      <c r="V183" s="2567"/>
      <c r="W183" s="2567"/>
      <c r="X183" s="2567"/>
      <c r="Y183" s="2567"/>
    </row>
    <row r="184" spans="1:25" s="2551" customFormat="1">
      <c r="A184" s="2616"/>
      <c r="B184" s="2567"/>
      <c r="C184" s="2567"/>
      <c r="D184" s="2567"/>
      <c r="E184" s="2567"/>
      <c r="F184" s="2567"/>
      <c r="G184" s="2567"/>
      <c r="H184" s="2567"/>
      <c r="I184" s="2567"/>
      <c r="J184" s="2567"/>
      <c r="K184" s="2567"/>
      <c r="L184" s="2567"/>
      <c r="M184" s="2567"/>
      <c r="N184" s="2567"/>
      <c r="O184" s="2567"/>
      <c r="P184" s="2567"/>
      <c r="Q184" s="2567"/>
      <c r="R184" s="2567"/>
      <c r="S184" s="2567"/>
      <c r="T184" s="2567"/>
      <c r="U184" s="2567"/>
      <c r="V184" s="2567"/>
      <c r="W184" s="2567"/>
      <c r="X184" s="2567"/>
      <c r="Y184" s="2567"/>
    </row>
    <row r="185" spans="1:25" s="2551" customFormat="1">
      <c r="A185" s="2616"/>
      <c r="B185" s="2567"/>
      <c r="C185" s="2567"/>
      <c r="D185" s="2567"/>
      <c r="E185" s="2567"/>
      <c r="F185" s="2567"/>
      <c r="G185" s="2567"/>
      <c r="H185" s="2567"/>
      <c r="I185" s="2567"/>
      <c r="J185" s="2567"/>
      <c r="K185" s="2567"/>
      <c r="L185" s="2567"/>
      <c r="M185" s="2567"/>
      <c r="N185" s="2567"/>
      <c r="O185" s="2567"/>
      <c r="P185" s="2567"/>
      <c r="Q185" s="2567"/>
      <c r="R185" s="2567"/>
      <c r="S185" s="2567"/>
      <c r="T185" s="2567"/>
      <c r="U185" s="2567"/>
      <c r="V185" s="2567"/>
      <c r="W185" s="2567"/>
      <c r="X185" s="2567"/>
      <c r="Y185" s="2567"/>
    </row>
    <row r="186" spans="1:25" s="2551" customFormat="1">
      <c r="A186" s="2616"/>
      <c r="B186" s="2567"/>
      <c r="C186" s="2567"/>
      <c r="D186" s="2567"/>
      <c r="E186" s="2567"/>
      <c r="F186" s="2567"/>
      <c r="G186" s="2567"/>
      <c r="H186" s="2567"/>
      <c r="I186" s="2567"/>
      <c r="J186" s="2567"/>
      <c r="K186" s="2567"/>
      <c r="L186" s="2567"/>
      <c r="M186" s="2567"/>
      <c r="N186" s="2567"/>
      <c r="O186" s="2567"/>
      <c r="P186" s="2567"/>
      <c r="Q186" s="2567"/>
      <c r="R186" s="2567"/>
      <c r="S186" s="2567"/>
      <c r="T186" s="2567"/>
      <c r="U186" s="2567"/>
      <c r="V186" s="2567"/>
      <c r="W186" s="2567"/>
      <c r="X186" s="2567"/>
      <c r="Y186" s="2567"/>
    </row>
    <row r="187" spans="1:25" s="2551" customFormat="1">
      <c r="A187" s="2616"/>
      <c r="B187" s="2567"/>
      <c r="C187" s="2567"/>
      <c r="D187" s="2567"/>
      <c r="E187" s="2567"/>
      <c r="F187" s="2567"/>
      <c r="G187" s="2567"/>
      <c r="H187" s="2567"/>
      <c r="I187" s="2567"/>
      <c r="J187" s="2567"/>
      <c r="K187" s="2567"/>
      <c r="L187" s="2567"/>
      <c r="M187" s="2567"/>
      <c r="N187" s="2567"/>
      <c r="O187" s="2567"/>
      <c r="P187" s="2567"/>
      <c r="Q187" s="2567"/>
      <c r="R187" s="2567"/>
      <c r="S187" s="2567"/>
      <c r="T187" s="2567"/>
      <c r="U187" s="2567"/>
      <c r="V187" s="2567"/>
      <c r="W187" s="2567"/>
      <c r="X187" s="2567"/>
      <c r="Y187" s="2567"/>
    </row>
    <row r="188" spans="1:25" s="2551" customFormat="1">
      <c r="A188" s="2616"/>
      <c r="B188" s="2567"/>
      <c r="C188" s="2567"/>
      <c r="D188" s="2567"/>
      <c r="E188" s="2567"/>
      <c r="F188" s="2567"/>
      <c r="G188" s="2567"/>
      <c r="H188" s="2567"/>
      <c r="I188" s="2567"/>
      <c r="J188" s="2567"/>
      <c r="K188" s="2567"/>
      <c r="L188" s="2567"/>
      <c r="M188" s="2567"/>
      <c r="N188" s="2567"/>
      <c r="O188" s="2567"/>
      <c r="P188" s="2567"/>
      <c r="Q188" s="2567"/>
      <c r="R188" s="2567"/>
      <c r="S188" s="2567"/>
      <c r="T188" s="2567"/>
      <c r="U188" s="2567"/>
      <c r="V188" s="2567"/>
      <c r="W188" s="2567"/>
      <c r="X188" s="2567"/>
      <c r="Y188" s="2567"/>
    </row>
    <row r="189" spans="1:25" s="2551" customFormat="1">
      <c r="A189" s="2616"/>
      <c r="B189" s="2567"/>
      <c r="C189" s="2567"/>
      <c r="D189" s="2567"/>
      <c r="E189" s="2567"/>
      <c r="F189" s="2567"/>
      <c r="G189" s="2567"/>
      <c r="H189" s="2567"/>
      <c r="I189" s="2567"/>
      <c r="J189" s="2567"/>
      <c r="K189" s="2567"/>
      <c r="L189" s="2567"/>
      <c r="M189" s="2567"/>
      <c r="N189" s="2567"/>
      <c r="O189" s="2567"/>
      <c r="P189" s="2567"/>
      <c r="Q189" s="2567"/>
      <c r="R189" s="2567"/>
      <c r="S189" s="2567"/>
      <c r="T189" s="2567"/>
      <c r="U189" s="2567"/>
      <c r="V189" s="2567"/>
      <c r="W189" s="2567"/>
      <c r="X189" s="2567"/>
      <c r="Y189" s="2567"/>
    </row>
    <row r="190" spans="1:25" s="2551" customFormat="1">
      <c r="A190" s="2616"/>
      <c r="B190" s="2567"/>
      <c r="C190" s="2567"/>
      <c r="D190" s="2567"/>
      <c r="E190" s="2567"/>
      <c r="F190" s="2567"/>
      <c r="G190" s="2567"/>
      <c r="H190" s="2567"/>
      <c r="I190" s="2567"/>
      <c r="J190" s="2567"/>
      <c r="K190" s="2567"/>
      <c r="L190" s="2567"/>
      <c r="M190" s="2567"/>
      <c r="N190" s="2567"/>
      <c r="O190" s="2567"/>
      <c r="P190" s="2567"/>
      <c r="Q190" s="2567"/>
      <c r="R190" s="2567"/>
      <c r="S190" s="2567"/>
      <c r="T190" s="2567"/>
      <c r="U190" s="2567"/>
      <c r="V190" s="2567"/>
      <c r="W190" s="2567"/>
      <c r="X190" s="2567"/>
      <c r="Y190" s="2567"/>
    </row>
    <row r="191" spans="1:25" s="2551" customFormat="1">
      <c r="A191" s="2616"/>
      <c r="B191" s="2567"/>
      <c r="C191" s="2567"/>
      <c r="D191" s="2567"/>
      <c r="E191" s="2567"/>
      <c r="F191" s="2567"/>
      <c r="G191" s="2567"/>
      <c r="H191" s="2567"/>
      <c r="I191" s="2567"/>
      <c r="J191" s="2567"/>
      <c r="K191" s="2567"/>
      <c r="L191" s="2567"/>
      <c r="M191" s="2567"/>
      <c r="N191" s="2567"/>
      <c r="O191" s="2567"/>
      <c r="P191" s="2567"/>
      <c r="Q191" s="2567"/>
      <c r="R191" s="2567"/>
      <c r="S191" s="2567"/>
      <c r="T191" s="2567"/>
      <c r="U191" s="2567"/>
      <c r="V191" s="2567"/>
      <c r="W191" s="2567"/>
      <c r="X191" s="2567"/>
      <c r="Y191" s="2567"/>
    </row>
    <row r="192" spans="1:25" s="2551" customFormat="1">
      <c r="A192" s="2616"/>
      <c r="B192" s="2567"/>
      <c r="C192" s="2567"/>
      <c r="D192" s="2567"/>
      <c r="E192" s="2567"/>
      <c r="F192" s="2567"/>
      <c r="G192" s="2567"/>
      <c r="H192" s="2567"/>
      <c r="I192" s="2567"/>
      <c r="J192" s="2567"/>
      <c r="K192" s="2567"/>
      <c r="L192" s="2567"/>
      <c r="M192" s="2567"/>
      <c r="N192" s="2567"/>
      <c r="O192" s="2567"/>
      <c r="P192" s="2567"/>
      <c r="Q192" s="2567"/>
      <c r="R192" s="2567"/>
      <c r="S192" s="2567"/>
      <c r="T192" s="2567"/>
      <c r="U192" s="2567"/>
      <c r="V192" s="2567"/>
      <c r="W192" s="2567"/>
      <c r="X192" s="2567"/>
      <c r="Y192" s="2567"/>
    </row>
    <row r="193" spans="1:25" s="2551" customFormat="1">
      <c r="A193" s="2616"/>
      <c r="B193" s="2567"/>
      <c r="C193" s="2567"/>
      <c r="D193" s="2567"/>
      <c r="E193" s="2567"/>
      <c r="F193" s="2567"/>
      <c r="G193" s="2567"/>
      <c r="H193" s="2567"/>
      <c r="I193" s="2567"/>
      <c r="J193" s="2567"/>
      <c r="K193" s="2567"/>
      <c r="L193" s="2567"/>
      <c r="M193" s="2567"/>
      <c r="N193" s="2567"/>
      <c r="O193" s="2567"/>
      <c r="P193" s="2567"/>
      <c r="Q193" s="2567"/>
      <c r="R193" s="2567"/>
      <c r="S193" s="2567"/>
      <c r="T193" s="2567"/>
      <c r="U193" s="2567"/>
      <c r="V193" s="2567"/>
      <c r="W193" s="2567"/>
      <c r="X193" s="2567"/>
      <c r="Y193" s="2567"/>
    </row>
    <row r="194" spans="1:25" s="2551" customFormat="1">
      <c r="A194" s="2616"/>
      <c r="B194" s="2567"/>
      <c r="C194" s="2567"/>
      <c r="D194" s="2567"/>
      <c r="E194" s="2567"/>
      <c r="F194" s="2567"/>
      <c r="G194" s="2567"/>
      <c r="H194" s="2567"/>
      <c r="I194" s="2567"/>
      <c r="J194" s="2567"/>
      <c r="K194" s="2567"/>
      <c r="L194" s="2567"/>
      <c r="M194" s="2567"/>
      <c r="N194" s="2567"/>
      <c r="O194" s="2567"/>
      <c r="P194" s="2567"/>
      <c r="Q194" s="2567"/>
      <c r="R194" s="2567"/>
      <c r="S194" s="2567"/>
      <c r="T194" s="2567"/>
      <c r="U194" s="2567"/>
      <c r="V194" s="2567"/>
      <c r="W194" s="2567"/>
      <c r="X194" s="2567"/>
      <c r="Y194" s="2567"/>
    </row>
    <row r="195" spans="1:25" s="2551" customFormat="1">
      <c r="A195" s="2616"/>
      <c r="B195" s="2567"/>
      <c r="C195" s="2567"/>
      <c r="D195" s="2567"/>
      <c r="E195" s="2567"/>
      <c r="F195" s="2567"/>
      <c r="G195" s="2567"/>
      <c r="H195" s="2567"/>
      <c r="I195" s="2567"/>
      <c r="J195" s="2567"/>
      <c r="K195" s="2567"/>
      <c r="L195" s="2567"/>
      <c r="M195" s="2567"/>
      <c r="N195" s="2567"/>
      <c r="O195" s="2567"/>
      <c r="P195" s="2567"/>
      <c r="Q195" s="2567"/>
      <c r="R195" s="2567"/>
      <c r="S195" s="2567"/>
      <c r="T195" s="2567"/>
      <c r="U195" s="2567"/>
      <c r="V195" s="2567"/>
      <c r="W195" s="2567"/>
      <c r="X195" s="2567"/>
      <c r="Y195" s="2567"/>
    </row>
    <row r="196" spans="1:25" s="2551" customFormat="1">
      <c r="A196" s="2616"/>
      <c r="B196" s="2567"/>
      <c r="C196" s="2567"/>
      <c r="D196" s="2567"/>
      <c r="E196" s="2567"/>
      <c r="F196" s="2567"/>
      <c r="G196" s="2567"/>
      <c r="H196" s="2567"/>
      <c r="I196" s="2567"/>
      <c r="J196" s="2567"/>
      <c r="K196" s="2567"/>
      <c r="L196" s="2567"/>
      <c r="M196" s="2567"/>
      <c r="N196" s="2567"/>
      <c r="O196" s="2567"/>
      <c r="P196" s="2567"/>
      <c r="Q196" s="2567"/>
      <c r="R196" s="2567"/>
      <c r="S196" s="2567"/>
      <c r="T196" s="2567"/>
      <c r="U196" s="2567"/>
      <c r="V196" s="2567"/>
      <c r="W196" s="2567"/>
      <c r="X196" s="2567"/>
      <c r="Y196" s="2567"/>
    </row>
    <row r="197" spans="1:25" s="2551" customFormat="1">
      <c r="A197" s="2616"/>
      <c r="B197" s="2567"/>
      <c r="C197" s="2567"/>
      <c r="D197" s="2567"/>
      <c r="E197" s="2567"/>
      <c r="F197" s="2567"/>
      <c r="G197" s="2567"/>
      <c r="H197" s="2567"/>
      <c r="I197" s="2567"/>
      <c r="J197" s="2567"/>
      <c r="K197" s="2567"/>
      <c r="L197" s="2567"/>
      <c r="M197" s="2567"/>
      <c r="N197" s="2567"/>
      <c r="O197" s="2567"/>
      <c r="P197" s="2567"/>
      <c r="Q197" s="2567"/>
      <c r="R197" s="2567"/>
      <c r="S197" s="2567"/>
      <c r="T197" s="2567"/>
      <c r="U197" s="2567"/>
      <c r="V197" s="2567"/>
      <c r="W197" s="2567"/>
      <c r="X197" s="2567"/>
      <c r="Y197" s="2567"/>
    </row>
    <row r="198" spans="1:25" s="2551" customFormat="1">
      <c r="A198" s="2616"/>
      <c r="B198" s="2567"/>
      <c r="C198" s="2567"/>
      <c r="D198" s="2567"/>
      <c r="E198" s="2567"/>
      <c r="F198" s="2567"/>
      <c r="G198" s="2567"/>
      <c r="H198" s="2567"/>
      <c r="I198" s="2567"/>
      <c r="J198" s="2567"/>
      <c r="K198" s="2567"/>
      <c r="L198" s="2567"/>
      <c r="M198" s="2567"/>
      <c r="N198" s="2567"/>
      <c r="O198" s="2567"/>
      <c r="P198" s="2567"/>
      <c r="Q198" s="2567"/>
      <c r="R198" s="2567"/>
      <c r="S198" s="2567"/>
      <c r="T198" s="2567"/>
      <c r="U198" s="2567"/>
      <c r="V198" s="2567"/>
      <c r="W198" s="2567"/>
      <c r="X198" s="2567"/>
      <c r="Y198" s="2567"/>
    </row>
    <row r="199" spans="1:25" s="2551" customFormat="1">
      <c r="A199" s="2616"/>
      <c r="B199" s="2567"/>
      <c r="C199" s="2567"/>
      <c r="D199" s="2567"/>
      <c r="E199" s="2567"/>
      <c r="F199" s="2567"/>
      <c r="G199" s="2567"/>
      <c r="H199" s="2567"/>
      <c r="I199" s="2567"/>
      <c r="J199" s="2567"/>
      <c r="K199" s="2567"/>
      <c r="L199" s="2567"/>
      <c r="M199" s="2567"/>
      <c r="N199" s="2567"/>
      <c r="O199" s="2567"/>
      <c r="P199" s="2567"/>
      <c r="Q199" s="2567"/>
      <c r="R199" s="2567"/>
      <c r="S199" s="2567"/>
      <c r="T199" s="2567"/>
      <c r="U199" s="2567"/>
      <c r="V199" s="2567"/>
      <c r="W199" s="2567"/>
      <c r="X199" s="2567"/>
      <c r="Y199" s="2567"/>
    </row>
    <row r="200" spans="1:25" s="2551" customFormat="1">
      <c r="A200" s="2616"/>
      <c r="B200" s="2567"/>
      <c r="C200" s="2567"/>
      <c r="D200" s="2567"/>
      <c r="E200" s="2567"/>
      <c r="F200" s="2567"/>
      <c r="G200" s="2567"/>
      <c r="H200" s="2567"/>
      <c r="I200" s="2567"/>
      <c r="J200" s="2567"/>
      <c r="K200" s="2567"/>
      <c r="L200" s="2567"/>
      <c r="M200" s="2567"/>
      <c r="N200" s="2567"/>
      <c r="O200" s="2567"/>
      <c r="P200" s="2567"/>
      <c r="Q200" s="2567"/>
      <c r="R200" s="2567"/>
      <c r="S200" s="2567"/>
      <c r="T200" s="2567"/>
      <c r="U200" s="2567"/>
      <c r="V200" s="2567"/>
      <c r="W200" s="2567"/>
      <c r="X200" s="2567"/>
      <c r="Y200" s="2567"/>
    </row>
    <row r="201" spans="1:25" s="2551" customFormat="1">
      <c r="A201" s="2616"/>
      <c r="B201" s="2567"/>
      <c r="C201" s="2567"/>
      <c r="D201" s="2567"/>
      <c r="E201" s="2567"/>
      <c r="F201" s="2567"/>
      <c r="G201" s="2567"/>
      <c r="H201" s="2567"/>
      <c r="I201" s="2567"/>
      <c r="J201" s="2567"/>
      <c r="K201" s="2567"/>
      <c r="L201" s="2567"/>
      <c r="M201" s="2567"/>
      <c r="N201" s="2567"/>
      <c r="O201" s="2567"/>
      <c r="P201" s="2567"/>
      <c r="Q201" s="2567"/>
      <c r="R201" s="2567"/>
      <c r="S201" s="2567"/>
      <c r="T201" s="2567"/>
      <c r="U201" s="2567"/>
      <c r="V201" s="2567"/>
      <c r="W201" s="2567"/>
      <c r="X201" s="2567"/>
      <c r="Y201" s="2567"/>
    </row>
    <row r="202" spans="1:25" s="2551" customFormat="1">
      <c r="A202" s="2616"/>
      <c r="B202" s="2567"/>
      <c r="C202" s="2567"/>
      <c r="D202" s="2567"/>
      <c r="E202" s="2567"/>
      <c r="F202" s="2567"/>
      <c r="G202" s="2567"/>
      <c r="H202" s="2567"/>
      <c r="I202" s="2567"/>
      <c r="J202" s="2567"/>
      <c r="K202" s="2567"/>
      <c r="L202" s="2567"/>
      <c r="M202" s="2567"/>
      <c r="N202" s="2567"/>
      <c r="O202" s="2567"/>
      <c r="P202" s="2567"/>
      <c r="Q202" s="2567"/>
      <c r="R202" s="2567"/>
      <c r="S202" s="2567"/>
      <c r="T202" s="2567"/>
      <c r="U202" s="2567"/>
      <c r="V202" s="2567"/>
      <c r="W202" s="2567"/>
      <c r="X202" s="2567"/>
      <c r="Y202" s="2567"/>
    </row>
    <row r="203" spans="1:25" s="2551" customFormat="1">
      <c r="A203" s="2616"/>
      <c r="B203" s="2567"/>
      <c r="C203" s="2567"/>
      <c r="D203" s="2567"/>
      <c r="E203" s="2567"/>
      <c r="F203" s="2567"/>
      <c r="G203" s="2567"/>
      <c r="H203" s="2567"/>
      <c r="I203" s="2567"/>
      <c r="J203" s="2567"/>
      <c r="K203" s="2567"/>
      <c r="L203" s="2567"/>
      <c r="M203" s="2567"/>
      <c r="N203" s="2567"/>
      <c r="O203" s="2567"/>
      <c r="P203" s="2567"/>
      <c r="Q203" s="2567"/>
      <c r="R203" s="2567"/>
      <c r="S203" s="2567"/>
      <c r="T203" s="2567"/>
      <c r="U203" s="2567"/>
      <c r="V203" s="2567"/>
      <c r="W203" s="2567"/>
      <c r="X203" s="2567"/>
      <c r="Y203" s="2567"/>
    </row>
    <row r="204" spans="1:25" s="2551" customFormat="1">
      <c r="A204" s="2616"/>
      <c r="B204" s="2567"/>
      <c r="C204" s="2567"/>
      <c r="D204" s="2567"/>
      <c r="E204" s="2567"/>
      <c r="F204" s="2567"/>
      <c r="G204" s="2567"/>
      <c r="H204" s="2567"/>
      <c r="I204" s="2567"/>
      <c r="J204" s="2567"/>
      <c r="K204" s="2567"/>
      <c r="L204" s="2567"/>
      <c r="M204" s="2567"/>
      <c r="N204" s="2567"/>
      <c r="O204" s="2567"/>
      <c r="P204" s="2567"/>
      <c r="Q204" s="2567"/>
      <c r="R204" s="2567"/>
      <c r="S204" s="2567"/>
      <c r="T204" s="2567"/>
      <c r="U204" s="2567"/>
      <c r="V204" s="2567"/>
      <c r="W204" s="2567"/>
      <c r="X204" s="2567"/>
      <c r="Y204" s="2567"/>
    </row>
    <row r="205" spans="1:25" s="2551" customFormat="1">
      <c r="A205" s="2616"/>
      <c r="B205" s="2567"/>
      <c r="C205" s="2567"/>
      <c r="D205" s="2567"/>
      <c r="E205" s="2567"/>
      <c r="F205" s="2567"/>
      <c r="G205" s="2567"/>
      <c r="H205" s="2567"/>
      <c r="I205" s="2567"/>
      <c r="J205" s="2567"/>
      <c r="K205" s="2567"/>
      <c r="L205" s="2567"/>
      <c r="M205" s="2567"/>
      <c r="N205" s="2567"/>
      <c r="O205" s="2567"/>
      <c r="P205" s="2567"/>
      <c r="Q205" s="2567"/>
      <c r="R205" s="2567"/>
      <c r="S205" s="2567"/>
      <c r="T205" s="2567"/>
      <c r="U205" s="2567"/>
      <c r="V205" s="2567"/>
      <c r="W205" s="2567"/>
      <c r="X205" s="2567"/>
      <c r="Y205" s="2567"/>
    </row>
    <row r="206" spans="1:25" s="2551" customFormat="1">
      <c r="A206" s="2616"/>
      <c r="B206" s="2567"/>
      <c r="C206" s="2567"/>
      <c r="D206" s="2567"/>
      <c r="E206" s="2567"/>
      <c r="F206" s="2567"/>
      <c r="G206" s="2567"/>
      <c r="H206" s="2567"/>
      <c r="I206" s="2567"/>
      <c r="J206" s="2567"/>
      <c r="K206" s="2567"/>
      <c r="L206" s="2567"/>
      <c r="M206" s="2567"/>
      <c r="N206" s="2567"/>
      <c r="O206" s="2567"/>
      <c r="P206" s="2567"/>
      <c r="Q206" s="2567"/>
      <c r="R206" s="2567"/>
      <c r="S206" s="2567"/>
      <c r="T206" s="2567"/>
      <c r="U206" s="2567"/>
      <c r="V206" s="2567"/>
      <c r="W206" s="2567"/>
      <c r="X206" s="2567"/>
      <c r="Y206" s="2567"/>
    </row>
    <row r="207" spans="1:25" s="2551" customFormat="1">
      <c r="A207" s="2616"/>
      <c r="B207" s="2567"/>
      <c r="C207" s="2567"/>
      <c r="D207" s="2567"/>
      <c r="E207" s="2567"/>
      <c r="F207" s="2567"/>
      <c r="G207" s="2567"/>
      <c r="H207" s="2567"/>
      <c r="I207" s="2567"/>
      <c r="J207" s="2567"/>
      <c r="K207" s="2567"/>
      <c r="L207" s="2567"/>
      <c r="M207" s="2567"/>
      <c r="N207" s="2567"/>
      <c r="O207" s="2567"/>
      <c r="P207" s="2567"/>
      <c r="Q207" s="2567"/>
      <c r="R207" s="2567"/>
      <c r="S207" s="2567"/>
      <c r="T207" s="2567"/>
      <c r="U207" s="2567"/>
      <c r="V207" s="2567"/>
      <c r="W207" s="2567"/>
      <c r="X207" s="2567"/>
      <c r="Y207" s="2567"/>
    </row>
    <row r="208" spans="1:25" s="2551" customFormat="1">
      <c r="A208" s="2616"/>
      <c r="B208" s="2567"/>
      <c r="C208" s="2567"/>
      <c r="D208" s="2567"/>
      <c r="E208" s="2567"/>
      <c r="F208" s="2567"/>
      <c r="G208" s="2567"/>
      <c r="H208" s="2567"/>
      <c r="I208" s="2567"/>
      <c r="J208" s="2567"/>
      <c r="K208" s="2567"/>
      <c r="L208" s="2567"/>
      <c r="M208" s="2567"/>
      <c r="N208" s="2567"/>
      <c r="O208" s="2567"/>
      <c r="P208" s="2567"/>
      <c r="Q208" s="2567"/>
      <c r="R208" s="2567"/>
      <c r="S208" s="2567"/>
      <c r="T208" s="2567"/>
      <c r="U208" s="2567"/>
      <c r="V208" s="2567"/>
      <c r="W208" s="2567"/>
      <c r="X208" s="2567"/>
      <c r="Y208" s="2567"/>
    </row>
    <row r="209" spans="1:25" s="2551" customFormat="1">
      <c r="A209" s="2616"/>
      <c r="B209" s="2567"/>
      <c r="C209" s="2567"/>
      <c r="D209" s="2567"/>
      <c r="E209" s="2567"/>
      <c r="F209" s="2567"/>
      <c r="G209" s="2567"/>
      <c r="H209" s="2567"/>
      <c r="I209" s="2567"/>
      <c r="J209" s="2567"/>
      <c r="K209" s="2567"/>
      <c r="L209" s="2567"/>
      <c r="M209" s="2567"/>
      <c r="N209" s="2567"/>
      <c r="O209" s="2567"/>
      <c r="P209" s="2567"/>
      <c r="Q209" s="2567"/>
      <c r="R209" s="2567"/>
      <c r="S209" s="2567"/>
      <c r="T209" s="2567"/>
      <c r="U209" s="2567"/>
      <c r="V209" s="2567"/>
      <c r="W209" s="2567"/>
      <c r="X209" s="2567"/>
      <c r="Y209" s="2567"/>
    </row>
    <row r="210" spans="1:25" s="2551" customFormat="1">
      <c r="A210" s="2616"/>
      <c r="B210" s="2567"/>
      <c r="C210" s="2567"/>
      <c r="D210" s="2567"/>
      <c r="E210" s="2567"/>
      <c r="F210" s="2567"/>
      <c r="G210" s="2567"/>
      <c r="H210" s="2567"/>
      <c r="I210" s="2567"/>
      <c r="J210" s="2567"/>
      <c r="K210" s="2567"/>
      <c r="L210" s="2567"/>
      <c r="M210" s="2567"/>
      <c r="N210" s="2567"/>
      <c r="O210" s="2567"/>
      <c r="P210" s="2567"/>
      <c r="Q210" s="2567"/>
      <c r="R210" s="2567"/>
      <c r="S210" s="2567"/>
      <c r="T210" s="2567"/>
      <c r="U210" s="2567"/>
      <c r="V210" s="2567"/>
      <c r="W210" s="2567"/>
      <c r="X210" s="2567"/>
      <c r="Y210" s="2567"/>
    </row>
    <row r="211" spans="1:25" s="2551" customFormat="1">
      <c r="A211" s="2616"/>
      <c r="B211" s="2567"/>
      <c r="C211" s="2567"/>
      <c r="D211" s="2567"/>
      <c r="E211" s="2567"/>
      <c r="F211" s="2567"/>
      <c r="G211" s="2567"/>
      <c r="H211" s="2567"/>
      <c r="I211" s="2567"/>
      <c r="J211" s="2567"/>
      <c r="K211" s="2567"/>
      <c r="L211" s="2567"/>
      <c r="M211" s="2567"/>
      <c r="N211" s="2567"/>
      <c r="O211" s="2567"/>
      <c r="P211" s="2567"/>
      <c r="Q211" s="2567"/>
      <c r="R211" s="2567"/>
      <c r="S211" s="2567"/>
      <c r="T211" s="2567"/>
      <c r="U211" s="2567"/>
      <c r="V211" s="2567"/>
      <c r="W211" s="2567"/>
      <c r="X211" s="2567"/>
      <c r="Y211" s="2567"/>
    </row>
    <row r="212" spans="1:25" s="2551" customFormat="1">
      <c r="A212" s="2616"/>
      <c r="B212" s="2567"/>
      <c r="C212" s="2567"/>
      <c r="D212" s="2567"/>
      <c r="E212" s="2567"/>
      <c r="F212" s="2567"/>
      <c r="G212" s="2567"/>
      <c r="H212" s="2567"/>
      <c r="I212" s="2567"/>
      <c r="J212" s="2567"/>
      <c r="K212" s="2567"/>
      <c r="L212" s="2567"/>
      <c r="M212" s="2567"/>
      <c r="N212" s="2567"/>
      <c r="O212" s="2567"/>
      <c r="P212" s="2567"/>
      <c r="Q212" s="2567"/>
      <c r="R212" s="2567"/>
      <c r="S212" s="2567"/>
      <c r="T212" s="2567"/>
      <c r="U212" s="2567"/>
      <c r="V212" s="2567"/>
      <c r="W212" s="2567"/>
      <c r="X212" s="2567"/>
      <c r="Y212" s="2567"/>
    </row>
    <row r="213" spans="1:25" s="2551" customFormat="1">
      <c r="A213" s="2616"/>
      <c r="B213" s="2567"/>
      <c r="C213" s="2567"/>
      <c r="D213" s="2567"/>
      <c r="E213" s="2567"/>
      <c r="F213" s="2567"/>
      <c r="G213" s="2567"/>
      <c r="H213" s="2567"/>
      <c r="I213" s="2567"/>
      <c r="J213" s="2567"/>
      <c r="K213" s="2567"/>
      <c r="L213" s="2567"/>
      <c r="M213" s="2567"/>
      <c r="N213" s="2567"/>
      <c r="O213" s="2567"/>
      <c r="P213" s="2567"/>
      <c r="Q213" s="2567"/>
      <c r="R213" s="2567"/>
      <c r="S213" s="2567"/>
      <c r="T213" s="2567"/>
      <c r="U213" s="2567"/>
      <c r="V213" s="2567"/>
      <c r="W213" s="2567"/>
      <c r="X213" s="2567"/>
      <c r="Y213" s="2567"/>
    </row>
    <row r="214" spans="1:25" s="2551" customFormat="1">
      <c r="A214" s="2616"/>
      <c r="B214" s="2567"/>
      <c r="C214" s="2567"/>
      <c r="D214" s="2567"/>
      <c r="E214" s="2567"/>
      <c r="F214" s="2567"/>
      <c r="G214" s="2567"/>
      <c r="H214" s="2567"/>
      <c r="I214" s="2567"/>
      <c r="J214" s="2567"/>
      <c r="K214" s="2567"/>
      <c r="L214" s="2567"/>
      <c r="M214" s="2567"/>
      <c r="N214" s="2567"/>
      <c r="O214" s="2567"/>
      <c r="P214" s="2567"/>
      <c r="Q214" s="2567"/>
      <c r="R214" s="2567"/>
      <c r="S214" s="2567"/>
      <c r="T214" s="2567"/>
      <c r="U214" s="2567"/>
      <c r="V214" s="2567"/>
      <c r="W214" s="2567"/>
      <c r="X214" s="2567"/>
      <c r="Y214" s="2567"/>
    </row>
    <row r="217" spans="1:25" ht="15.75" customHeight="1"/>
  </sheetData>
  <mergeCells count="20">
    <mergeCell ref="A109:H109"/>
    <mergeCell ref="A110:N110"/>
    <mergeCell ref="J4:K4"/>
    <mergeCell ref="L4:M4"/>
    <mergeCell ref="N4:O4"/>
    <mergeCell ref="A1:Y1"/>
    <mergeCell ref="A3:A4"/>
    <mergeCell ref="B3:G3"/>
    <mergeCell ref="H3:M3"/>
    <mergeCell ref="N3:S3"/>
    <mergeCell ref="T3:Y3"/>
    <mergeCell ref="B4:C4"/>
    <mergeCell ref="D4:E4"/>
    <mergeCell ref="F4:G4"/>
    <mergeCell ref="H4:I4"/>
    <mergeCell ref="V4:W4"/>
    <mergeCell ref="X4:Y4"/>
    <mergeCell ref="P4:Q4"/>
    <mergeCell ref="R4:S4"/>
    <mergeCell ref="T4:U4"/>
  </mergeCells>
  <phoneticPr fontId="61" type="noConversion"/>
  <printOptions horizontalCentered="1" verticalCentered="1"/>
  <pageMargins left="0.70866141732283472" right="0.70866141732283472" top="0.74803149606299213" bottom="0.74803149606299213" header="0.31496062992125984" footer="0.31496062992125984"/>
  <pageSetup paperSize="11" scale="42" orientation="landscape" r:id="rId1"/>
  <headerFooter differentOddEven="1" scaleWithDoc="0">
    <oddHeader>&amp;L&amp;"Times New Roman,標準"&amp;8 107&amp;"標楷體,標準"年犯罪狀況及其分析</oddHeader>
    <evenHeader>&amp;R&amp;"標楷體,標準"&amp;8第五篇　犯罪被害趨勢、保護與補償</evenHead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S16"/>
  <sheetViews>
    <sheetView showGridLines="0" zoomScale="90" zoomScaleNormal="90" zoomScalePageLayoutView="90" workbookViewId="0">
      <selection activeCell="A155" sqref="A155:B155"/>
    </sheetView>
  </sheetViews>
  <sheetFormatPr defaultColWidth="9" defaultRowHeight="15.75"/>
  <cols>
    <col min="1" max="1" width="7.375" style="2633" customWidth="1"/>
    <col min="2" max="2" width="9.125" style="2633" bestFit="1" customWidth="1"/>
    <col min="3" max="3" width="9.125" style="2633" customWidth="1"/>
    <col min="4" max="18" width="9.375" style="2633" customWidth="1"/>
    <col min="19" max="16384" width="9" style="2633"/>
  </cols>
  <sheetData>
    <row r="1" spans="1:19" ht="20.25">
      <c r="A1" s="4100" t="s">
        <v>3978</v>
      </c>
      <c r="B1" s="4100"/>
      <c r="C1" s="4100"/>
      <c r="D1" s="4100"/>
      <c r="E1" s="4100"/>
      <c r="F1" s="4100"/>
      <c r="G1" s="4100"/>
      <c r="H1" s="4100"/>
      <c r="I1" s="4100"/>
      <c r="J1" s="4100"/>
      <c r="K1" s="4100"/>
      <c r="L1" s="4100"/>
      <c r="M1" s="4100"/>
      <c r="N1" s="4100"/>
      <c r="O1" s="4100"/>
      <c r="P1" s="4100"/>
      <c r="Q1" s="4100"/>
      <c r="R1" s="4100"/>
    </row>
    <row r="2" spans="1:19">
      <c r="A2" s="2634"/>
      <c r="B2" s="2634"/>
      <c r="C2" s="2634"/>
      <c r="D2" s="2634"/>
      <c r="E2" s="2634"/>
      <c r="F2" s="2634"/>
      <c r="G2" s="2634"/>
      <c r="H2" s="2634"/>
      <c r="I2" s="2634"/>
      <c r="J2" s="2634"/>
      <c r="K2" s="2634"/>
      <c r="L2" s="2634"/>
      <c r="M2" s="2634"/>
      <c r="N2" s="2634"/>
      <c r="O2" s="2634"/>
      <c r="P2" s="2634"/>
      <c r="Q2" s="4101" t="s">
        <v>3979</v>
      </c>
      <c r="R2" s="4101"/>
    </row>
    <row r="3" spans="1:19" ht="31.5" customHeight="1">
      <c r="A3" s="4102"/>
      <c r="B3" s="4104" t="s">
        <v>2234</v>
      </c>
      <c r="C3" s="4104" t="s">
        <v>3980</v>
      </c>
      <c r="D3" s="4104"/>
      <c r="E3" s="4104"/>
      <c r="F3" s="4106"/>
      <c r="G3" s="4107" t="s">
        <v>3981</v>
      </c>
      <c r="H3" s="4108"/>
      <c r="I3" s="4108"/>
      <c r="J3" s="4109"/>
      <c r="K3" s="4107" t="s">
        <v>3982</v>
      </c>
      <c r="L3" s="4108"/>
      <c r="M3" s="4108"/>
      <c r="N3" s="4109"/>
      <c r="O3" s="4107" t="s">
        <v>3983</v>
      </c>
      <c r="P3" s="4108"/>
      <c r="Q3" s="4108"/>
      <c r="R3" s="4108"/>
    </row>
    <row r="4" spans="1:19" ht="16.5" customHeight="1">
      <c r="A4" s="4103"/>
      <c r="B4" s="4105"/>
      <c r="C4" s="2635" t="s">
        <v>3984</v>
      </c>
      <c r="D4" s="2636" t="s">
        <v>170</v>
      </c>
      <c r="E4" s="2637" t="s">
        <v>171</v>
      </c>
      <c r="F4" s="2637" t="s">
        <v>3985</v>
      </c>
      <c r="G4" s="2638" t="s">
        <v>3986</v>
      </c>
      <c r="H4" s="2636" t="s">
        <v>170</v>
      </c>
      <c r="I4" s="2637" t="s">
        <v>171</v>
      </c>
      <c r="J4" s="2637" t="s">
        <v>3985</v>
      </c>
      <c r="K4" s="2638" t="s">
        <v>3984</v>
      </c>
      <c r="L4" s="2636" t="s">
        <v>170</v>
      </c>
      <c r="M4" s="2637" t="s">
        <v>171</v>
      </c>
      <c r="N4" s="2637" t="s">
        <v>3985</v>
      </c>
      <c r="O4" s="2638" t="s">
        <v>3987</v>
      </c>
      <c r="P4" s="2636" t="s">
        <v>170</v>
      </c>
      <c r="Q4" s="2637" t="s">
        <v>171</v>
      </c>
      <c r="R4" s="2639" t="s">
        <v>3988</v>
      </c>
    </row>
    <row r="5" spans="1:19" ht="20.100000000000001" customHeight="1">
      <c r="A5" s="2640" t="s">
        <v>17</v>
      </c>
      <c r="B5" s="2641">
        <v>98720</v>
      </c>
      <c r="C5" s="2642">
        <f>SUM(D5:F5)</f>
        <v>54921</v>
      </c>
      <c r="D5" s="2642">
        <v>5287</v>
      </c>
      <c r="E5" s="2642">
        <v>49163</v>
      </c>
      <c r="F5" s="2642">
        <v>471</v>
      </c>
      <c r="G5" s="2641">
        <f>SUM(H5:J5)</f>
        <v>21734</v>
      </c>
      <c r="H5" s="2642">
        <v>10679</v>
      </c>
      <c r="I5" s="2642">
        <v>10234</v>
      </c>
      <c r="J5" s="2642">
        <v>821</v>
      </c>
      <c r="K5" s="2641">
        <f>SUM(L5:N5)</f>
        <v>3122</v>
      </c>
      <c r="L5" s="2642">
        <v>1215</v>
      </c>
      <c r="M5" s="2642">
        <v>1868</v>
      </c>
      <c r="N5" s="2642">
        <v>39</v>
      </c>
      <c r="O5" s="2641">
        <f>SUM(P5:R5)</f>
        <v>18943</v>
      </c>
      <c r="P5" s="2642">
        <v>5818</v>
      </c>
      <c r="Q5" s="2642">
        <v>12850</v>
      </c>
      <c r="R5" s="2641">
        <v>275</v>
      </c>
    </row>
    <row r="6" spans="1:19" ht="20.100000000000001" customHeight="1">
      <c r="A6" s="2640" t="s">
        <v>18</v>
      </c>
      <c r="B6" s="2641">
        <v>94150</v>
      </c>
      <c r="C6" s="2641">
        <f>SUM(D6:F6)</f>
        <v>49894</v>
      </c>
      <c r="D6" s="2642">
        <v>5672</v>
      </c>
      <c r="E6" s="2642">
        <v>43562</v>
      </c>
      <c r="F6" s="2642">
        <v>660</v>
      </c>
      <c r="G6" s="2641">
        <f>SUM(H6:J6)</f>
        <v>23986</v>
      </c>
      <c r="H6" s="2642">
        <v>11763</v>
      </c>
      <c r="I6" s="2642">
        <v>11889</v>
      </c>
      <c r="J6" s="2642">
        <v>334</v>
      </c>
      <c r="K6" s="2641">
        <f>SUM(L6:N6)</f>
        <v>2910</v>
      </c>
      <c r="L6" s="2642">
        <v>1096</v>
      </c>
      <c r="M6" s="2642">
        <v>1766</v>
      </c>
      <c r="N6" s="2642">
        <v>48</v>
      </c>
      <c r="O6" s="2641">
        <f>SUM(P6:R6)</f>
        <v>17360</v>
      </c>
      <c r="P6" s="2642">
        <v>5617</v>
      </c>
      <c r="Q6" s="2642">
        <v>11368</v>
      </c>
      <c r="R6" s="2641">
        <v>375</v>
      </c>
    </row>
    <row r="7" spans="1:19" ht="20.100000000000001" customHeight="1">
      <c r="A7" s="2640" t="s">
        <v>19</v>
      </c>
      <c r="B7" s="2641">
        <v>98399</v>
      </c>
      <c r="C7" s="2641">
        <f t="shared" ref="C7:C14" si="0">SUM(D7:F7)</f>
        <v>50615</v>
      </c>
      <c r="D7" s="2642">
        <v>6512</v>
      </c>
      <c r="E7" s="2642">
        <v>43492</v>
      </c>
      <c r="F7" s="2642">
        <v>611</v>
      </c>
      <c r="G7" s="2641">
        <f t="shared" ref="G7:G14" si="1">SUM(H7:J7)</f>
        <v>27936</v>
      </c>
      <c r="H7" s="2642">
        <v>13877</v>
      </c>
      <c r="I7" s="2642">
        <v>13605</v>
      </c>
      <c r="J7" s="2642">
        <v>454</v>
      </c>
      <c r="K7" s="2641">
        <f t="shared" ref="K7:K14" si="2">SUM(L7:N7)</f>
        <v>3090</v>
      </c>
      <c r="L7" s="2642">
        <v>1169</v>
      </c>
      <c r="M7" s="2642">
        <v>1871</v>
      </c>
      <c r="N7" s="2642">
        <v>50</v>
      </c>
      <c r="O7" s="2641">
        <f t="shared" ref="O7:O14" si="3">SUM(P7:R7)</f>
        <v>16758</v>
      </c>
      <c r="P7" s="2642">
        <v>5860</v>
      </c>
      <c r="Q7" s="2642">
        <v>10575</v>
      </c>
      <c r="R7" s="2641">
        <v>323</v>
      </c>
    </row>
    <row r="8" spans="1:19" ht="20.100000000000001" customHeight="1">
      <c r="A8" s="2640" t="s">
        <v>3989</v>
      </c>
      <c r="B8" s="2641">
        <v>110103</v>
      </c>
      <c r="C8" s="2641">
        <f t="shared" si="0"/>
        <v>49633</v>
      </c>
      <c r="D8" s="2642">
        <v>5824</v>
      </c>
      <c r="E8" s="2642">
        <v>43112</v>
      </c>
      <c r="F8" s="2642">
        <v>697</v>
      </c>
      <c r="G8" s="2641">
        <f t="shared" si="1"/>
        <v>34855</v>
      </c>
      <c r="H8" s="2642">
        <v>16540</v>
      </c>
      <c r="I8" s="2642">
        <v>17653</v>
      </c>
      <c r="J8" s="2642">
        <v>662</v>
      </c>
      <c r="K8" s="2641">
        <f t="shared" si="2"/>
        <v>3115</v>
      </c>
      <c r="L8" s="2642">
        <v>1171</v>
      </c>
      <c r="M8" s="2642">
        <v>1889</v>
      </c>
      <c r="N8" s="2642">
        <v>55</v>
      </c>
      <c r="O8" s="2641">
        <f t="shared" si="3"/>
        <v>22500</v>
      </c>
      <c r="P8" s="2642">
        <v>8261</v>
      </c>
      <c r="Q8" s="2642">
        <v>13742</v>
      </c>
      <c r="R8" s="2641">
        <v>497</v>
      </c>
    </row>
    <row r="9" spans="1:19" ht="20.100000000000001" customHeight="1">
      <c r="A9" s="2640" t="s">
        <v>3990</v>
      </c>
      <c r="B9" s="2641">
        <v>95663</v>
      </c>
      <c r="C9" s="2641">
        <f t="shared" si="0"/>
        <v>49560</v>
      </c>
      <c r="D9" s="2642">
        <v>6009</v>
      </c>
      <c r="E9" s="2642">
        <v>42903</v>
      </c>
      <c r="F9" s="2642">
        <v>648</v>
      </c>
      <c r="G9" s="2641">
        <f t="shared" si="1"/>
        <v>18737</v>
      </c>
      <c r="H9" s="2642">
        <v>9835</v>
      </c>
      <c r="I9" s="2642">
        <v>8648</v>
      </c>
      <c r="J9" s="2642">
        <v>254</v>
      </c>
      <c r="K9" s="2641">
        <f t="shared" si="2"/>
        <v>2851</v>
      </c>
      <c r="L9" s="2642">
        <v>1049</v>
      </c>
      <c r="M9" s="2642">
        <v>1758</v>
      </c>
      <c r="N9" s="2642">
        <v>44</v>
      </c>
      <c r="O9" s="2641">
        <f t="shared" si="3"/>
        <v>24515</v>
      </c>
      <c r="P9" s="2642">
        <v>9419</v>
      </c>
      <c r="Q9" s="2642">
        <v>14721</v>
      </c>
      <c r="R9" s="2641">
        <v>375</v>
      </c>
    </row>
    <row r="10" spans="1:19" ht="20.100000000000001" customHeight="1">
      <c r="A10" s="2640" t="s">
        <v>3991</v>
      </c>
      <c r="B10" s="2642">
        <v>95818</v>
      </c>
      <c r="C10" s="2641">
        <f t="shared" si="0"/>
        <v>49709</v>
      </c>
      <c r="D10" s="2643">
        <v>6342</v>
      </c>
      <c r="E10" s="2643">
        <v>42725</v>
      </c>
      <c r="F10" s="2643">
        <v>642</v>
      </c>
      <c r="G10" s="2641">
        <f t="shared" si="1"/>
        <v>17386</v>
      </c>
      <c r="H10" s="2643">
        <v>9241</v>
      </c>
      <c r="I10" s="2644">
        <v>7938</v>
      </c>
      <c r="J10" s="2643">
        <v>207</v>
      </c>
      <c r="K10" s="2641">
        <f t="shared" si="2"/>
        <v>4884</v>
      </c>
      <c r="L10" s="2643">
        <v>1874</v>
      </c>
      <c r="M10" s="2643">
        <v>2948</v>
      </c>
      <c r="N10" s="2643">
        <v>62</v>
      </c>
      <c r="O10" s="2641">
        <f t="shared" si="3"/>
        <v>23839</v>
      </c>
      <c r="P10" s="2645">
        <v>9425</v>
      </c>
      <c r="Q10" s="2645">
        <v>14005</v>
      </c>
      <c r="R10" s="2646">
        <v>409</v>
      </c>
    </row>
    <row r="11" spans="1:19" ht="20.100000000000001" customHeight="1">
      <c r="A11" s="2647" t="s">
        <v>3992</v>
      </c>
      <c r="B11" s="2642">
        <v>95175</v>
      </c>
      <c r="C11" s="2641">
        <f t="shared" si="0"/>
        <v>50918</v>
      </c>
      <c r="D11" s="2643">
        <v>7282</v>
      </c>
      <c r="E11" s="2643">
        <v>42944</v>
      </c>
      <c r="F11" s="2643">
        <v>692</v>
      </c>
      <c r="G11" s="2641">
        <f t="shared" si="1"/>
        <v>13573</v>
      </c>
      <c r="H11" s="2643">
        <v>7392</v>
      </c>
      <c r="I11" s="2644">
        <v>6057</v>
      </c>
      <c r="J11" s="2643">
        <v>124</v>
      </c>
      <c r="K11" s="2641">
        <f t="shared" si="2"/>
        <v>5648</v>
      </c>
      <c r="L11" s="2643">
        <v>2132</v>
      </c>
      <c r="M11" s="2643">
        <v>3437</v>
      </c>
      <c r="N11" s="2643">
        <v>79</v>
      </c>
      <c r="O11" s="2641">
        <f t="shared" si="3"/>
        <v>16951</v>
      </c>
      <c r="P11" s="2645">
        <v>7239</v>
      </c>
      <c r="Q11" s="2645">
        <v>9476</v>
      </c>
      <c r="R11" s="2646">
        <v>236</v>
      </c>
    </row>
    <row r="12" spans="1:19" s="2649" customFormat="1" ht="20.100000000000001" customHeight="1">
      <c r="A12" s="2647" t="s">
        <v>3993</v>
      </c>
      <c r="B12" s="2642">
        <v>95402</v>
      </c>
      <c r="C12" s="2641">
        <f t="shared" si="0"/>
        <v>50430</v>
      </c>
      <c r="D12" s="2643">
        <v>7815</v>
      </c>
      <c r="E12" s="2643">
        <v>41912</v>
      </c>
      <c r="F12" s="2643">
        <v>703</v>
      </c>
      <c r="G12" s="2641">
        <f t="shared" si="1"/>
        <v>13138</v>
      </c>
      <c r="H12" s="2643">
        <v>7112</v>
      </c>
      <c r="I12" s="2643">
        <v>5894</v>
      </c>
      <c r="J12" s="2643">
        <v>132</v>
      </c>
      <c r="K12" s="2641">
        <f t="shared" si="2"/>
        <v>5967</v>
      </c>
      <c r="L12" s="2643">
        <v>2279</v>
      </c>
      <c r="M12" s="2643">
        <v>3607</v>
      </c>
      <c r="N12" s="2643">
        <v>81</v>
      </c>
      <c r="O12" s="2641">
        <f t="shared" si="3"/>
        <v>17772</v>
      </c>
      <c r="P12" s="2645">
        <v>7703</v>
      </c>
      <c r="Q12" s="2645">
        <v>9797</v>
      </c>
      <c r="R12" s="2646">
        <v>272</v>
      </c>
      <c r="S12" s="2648"/>
    </row>
    <row r="13" spans="1:19" s="2649" customFormat="1" ht="20.100000000000001" customHeight="1">
      <c r="A13" s="2640" t="s">
        <v>3994</v>
      </c>
      <c r="B13" s="2642">
        <v>96693</v>
      </c>
      <c r="C13" s="2641">
        <f t="shared" si="0"/>
        <v>50688</v>
      </c>
      <c r="D13" s="2643">
        <v>8358</v>
      </c>
      <c r="E13" s="2643">
        <v>41604</v>
      </c>
      <c r="F13" s="2643">
        <v>726</v>
      </c>
      <c r="G13" s="2641">
        <f t="shared" si="1"/>
        <v>12668</v>
      </c>
      <c r="H13" s="2643">
        <v>6919</v>
      </c>
      <c r="I13" s="2643">
        <v>5606</v>
      </c>
      <c r="J13" s="2643">
        <v>143</v>
      </c>
      <c r="K13" s="2641">
        <f t="shared" si="2"/>
        <v>6172</v>
      </c>
      <c r="L13" s="2643">
        <v>2330</v>
      </c>
      <c r="M13" s="2643">
        <v>3754</v>
      </c>
      <c r="N13" s="2643">
        <v>88</v>
      </c>
      <c r="O13" s="2641">
        <f t="shared" si="3"/>
        <v>27165</v>
      </c>
      <c r="P13" s="2645">
        <v>11356</v>
      </c>
      <c r="Q13" s="2645">
        <v>15390</v>
      </c>
      <c r="R13" s="2646">
        <v>419</v>
      </c>
      <c r="S13" s="2648"/>
    </row>
    <row r="14" spans="1:19" s="2649" customFormat="1" ht="20.100000000000001" customHeight="1">
      <c r="A14" s="2650" t="s">
        <v>3995</v>
      </c>
      <c r="B14" s="2651">
        <f>SUM(D14,E14,F14,H14,I14,J14,L14,M14,N14,P14,Q14,R14)</f>
        <v>103930</v>
      </c>
      <c r="C14" s="2651">
        <f t="shared" si="0"/>
        <v>50174</v>
      </c>
      <c r="D14" s="2652">
        <v>9121</v>
      </c>
      <c r="E14" s="2652">
        <v>41039</v>
      </c>
      <c r="F14" s="2652">
        <v>14</v>
      </c>
      <c r="G14" s="2651">
        <f t="shared" si="1"/>
        <v>17345</v>
      </c>
      <c r="H14" s="2652">
        <v>9370</v>
      </c>
      <c r="I14" s="2652">
        <v>7927</v>
      </c>
      <c r="J14" s="2652">
        <v>48</v>
      </c>
      <c r="K14" s="2651">
        <f t="shared" si="2"/>
        <v>5517</v>
      </c>
      <c r="L14" s="2652">
        <v>2085</v>
      </c>
      <c r="M14" s="2652">
        <v>3432</v>
      </c>
      <c r="N14" s="2652" t="s">
        <v>3996</v>
      </c>
      <c r="O14" s="2651">
        <f t="shared" si="3"/>
        <v>30894</v>
      </c>
      <c r="P14" s="2653">
        <v>12922</v>
      </c>
      <c r="Q14" s="2653">
        <v>17964</v>
      </c>
      <c r="R14" s="2654">
        <v>8</v>
      </c>
      <c r="S14" s="2648"/>
    </row>
    <row r="15" spans="1:19">
      <c r="A15" s="4096" t="s">
        <v>3997</v>
      </c>
      <c r="B15" s="4096"/>
      <c r="C15" s="4096"/>
      <c r="D15" s="4096"/>
      <c r="E15" s="4096"/>
      <c r="F15" s="2655"/>
      <c r="G15" s="2655"/>
      <c r="H15" s="2655"/>
      <c r="I15" s="2655"/>
      <c r="J15" s="2655"/>
      <c r="K15" s="2655"/>
      <c r="L15" s="2655"/>
      <c r="M15" s="2655"/>
      <c r="P15" s="2634"/>
      <c r="Q15" s="2634"/>
      <c r="R15" s="2634"/>
    </row>
    <row r="16" spans="1:19" ht="50.25" customHeight="1">
      <c r="A16" s="4097" t="s">
        <v>3998</v>
      </c>
      <c r="B16" s="4098"/>
      <c r="C16" s="4098"/>
      <c r="D16" s="4098"/>
      <c r="E16" s="4098"/>
      <c r="F16" s="4098"/>
      <c r="G16" s="4098"/>
      <c r="H16" s="4098"/>
      <c r="I16" s="4098"/>
      <c r="J16" s="4098"/>
      <c r="K16" s="4098"/>
      <c r="L16" s="4098"/>
      <c r="M16" s="4099"/>
      <c r="N16" s="4099"/>
      <c r="O16" s="4099"/>
      <c r="P16" s="4099"/>
      <c r="Q16" s="4099"/>
      <c r="R16" s="4099"/>
    </row>
  </sheetData>
  <mergeCells count="10">
    <mergeCell ref="A15:E15"/>
    <mergeCell ref="A16:R16"/>
    <mergeCell ref="A1:R1"/>
    <mergeCell ref="Q2:R2"/>
    <mergeCell ref="A3:A4"/>
    <mergeCell ref="B3:B4"/>
    <mergeCell ref="C3:F3"/>
    <mergeCell ref="G3:J3"/>
    <mergeCell ref="K3:N3"/>
    <mergeCell ref="O3:R3"/>
  </mergeCells>
  <phoneticPr fontId="61" type="noConversion"/>
  <printOptions horizontalCentered="1" verticalCentered="1"/>
  <pageMargins left="0.98425196850393704" right="0.98425196850393704" top="0.98425196850393704" bottom="0.98425196850393704" header="0.51181102362204722" footer="0.51181102362204722"/>
  <pageSetup paperSize="9" scale="74" orientation="landscape"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B1:M32"/>
  <sheetViews>
    <sheetView showGridLines="0" topLeftCell="B1" zoomScale="115" zoomScaleNormal="115" workbookViewId="0">
      <pane xSplit="2" topLeftCell="D1" activePane="topRight" state="frozen"/>
      <selection activeCell="A155" sqref="A155:B155"/>
      <selection pane="topRight" activeCell="A155" sqref="A155:B155"/>
    </sheetView>
  </sheetViews>
  <sheetFormatPr defaultColWidth="8.875" defaultRowHeight="15.75"/>
  <cols>
    <col min="1" max="1" width="4.375" style="2500" customWidth="1"/>
    <col min="2" max="2" width="19.75" style="2500" bestFit="1" customWidth="1"/>
    <col min="3" max="3" width="13.375" style="2500" bestFit="1" customWidth="1"/>
    <col min="4" max="12" width="10.625" style="2500" customWidth="1"/>
    <col min="13" max="13" width="10.625" style="2669" customWidth="1"/>
    <col min="14" max="16384" width="8.875" style="2500"/>
  </cols>
  <sheetData>
    <row r="1" spans="2:13" ht="28.5" customHeight="1">
      <c r="B1" s="4111" t="s">
        <v>3999</v>
      </c>
      <c r="C1" s="4111"/>
      <c r="D1" s="4111"/>
      <c r="E1" s="4111"/>
      <c r="F1" s="4111"/>
      <c r="G1" s="4111"/>
      <c r="H1" s="4111"/>
      <c r="I1" s="4111"/>
      <c r="J1" s="4111"/>
      <c r="K1" s="4111"/>
      <c r="L1" s="4111"/>
      <c r="M1" s="4111"/>
    </row>
    <row r="2" spans="2:13" ht="16.5">
      <c r="B2" s="4112" t="s">
        <v>4000</v>
      </c>
      <c r="C2" s="4112"/>
      <c r="D2" s="2656" t="s">
        <v>355</v>
      </c>
      <c r="E2" s="2657" t="s">
        <v>356</v>
      </c>
      <c r="F2" s="2658" t="s">
        <v>357</v>
      </c>
      <c r="G2" s="2658" t="s">
        <v>358</v>
      </c>
      <c r="H2" s="2658" t="s">
        <v>4001</v>
      </c>
      <c r="I2" s="2658" t="s">
        <v>3566</v>
      </c>
      <c r="J2" s="2658" t="s">
        <v>3567</v>
      </c>
      <c r="K2" s="2658" t="s">
        <v>362</v>
      </c>
      <c r="L2" s="2658" t="s">
        <v>363</v>
      </c>
      <c r="M2" s="2282" t="s">
        <v>4002</v>
      </c>
    </row>
    <row r="3" spans="2:13" ht="16.5" customHeight="1">
      <c r="B3" s="4113" t="s">
        <v>4003</v>
      </c>
      <c r="C3" s="2659"/>
      <c r="D3" s="2660">
        <v>2882</v>
      </c>
      <c r="E3" s="2660">
        <v>2698</v>
      </c>
      <c r="F3" s="2660">
        <v>2453</v>
      </c>
      <c r="G3" s="2660">
        <v>2394</v>
      </c>
      <c r="H3" s="2660">
        <v>2319</v>
      </c>
      <c r="I3" s="2660">
        <v>2407</v>
      </c>
      <c r="J3" s="2660">
        <v>2236</v>
      </c>
      <c r="K3" s="2660">
        <v>1916</v>
      </c>
      <c r="L3" s="2660">
        <v>1687</v>
      </c>
      <c r="M3" s="2661">
        <v>1828</v>
      </c>
    </row>
    <row r="4" spans="2:13" ht="16.5">
      <c r="B4" s="4114"/>
      <c r="C4" s="2662" t="s">
        <v>4004</v>
      </c>
      <c r="D4" s="2663">
        <v>697</v>
      </c>
      <c r="E4" s="2663">
        <v>666</v>
      </c>
      <c r="F4" s="2663">
        <v>541</v>
      </c>
      <c r="G4" s="2663">
        <v>576</v>
      </c>
      <c r="H4" s="2663">
        <v>523</v>
      </c>
      <c r="I4" s="2663">
        <v>570</v>
      </c>
      <c r="J4" s="2663">
        <v>451</v>
      </c>
      <c r="K4" s="2663">
        <v>404</v>
      </c>
      <c r="L4" s="2663">
        <v>401</v>
      </c>
      <c r="M4" s="2661">
        <v>376</v>
      </c>
    </row>
    <row r="5" spans="2:13" ht="16.5">
      <c r="B5" s="4114"/>
      <c r="C5" s="2662" t="s">
        <v>4005</v>
      </c>
      <c r="D5" s="2663">
        <v>1804</v>
      </c>
      <c r="E5" s="2663">
        <v>1676</v>
      </c>
      <c r="F5" s="2663">
        <v>1621</v>
      </c>
      <c r="G5" s="2663">
        <v>1624</v>
      </c>
      <c r="H5" s="2663">
        <v>1585</v>
      </c>
      <c r="I5" s="2663">
        <v>1653</v>
      </c>
      <c r="J5" s="2663">
        <v>1651</v>
      </c>
      <c r="K5" s="2663">
        <v>1340</v>
      </c>
      <c r="L5" s="2663">
        <v>1059</v>
      </c>
      <c r="M5" s="2661">
        <v>959</v>
      </c>
    </row>
    <row r="6" spans="2:13" ht="16.5">
      <c r="B6" s="4114"/>
      <c r="C6" s="2662" t="s">
        <v>4006</v>
      </c>
      <c r="D6" s="2663">
        <v>381</v>
      </c>
      <c r="E6" s="2663">
        <v>356</v>
      </c>
      <c r="F6" s="2663">
        <v>291</v>
      </c>
      <c r="G6" s="2663">
        <v>194</v>
      </c>
      <c r="H6" s="2663">
        <v>211</v>
      </c>
      <c r="I6" s="2663">
        <v>184</v>
      </c>
      <c r="J6" s="2663">
        <v>134</v>
      </c>
      <c r="K6" s="2663">
        <v>172</v>
      </c>
      <c r="L6" s="2663">
        <v>227</v>
      </c>
      <c r="M6" s="2661">
        <v>493</v>
      </c>
    </row>
    <row r="7" spans="2:13" ht="16.5" customHeight="1">
      <c r="B7" s="4114" t="s">
        <v>4007</v>
      </c>
      <c r="C7" s="2659"/>
      <c r="D7" s="2663">
        <v>7022</v>
      </c>
      <c r="E7" s="2663">
        <v>6443</v>
      </c>
      <c r="F7" s="2663">
        <v>5978</v>
      </c>
      <c r="G7" s="2663">
        <v>5715</v>
      </c>
      <c r="H7" s="2663">
        <v>5065</v>
      </c>
      <c r="I7" s="2663">
        <v>4783</v>
      </c>
      <c r="J7" s="2663">
        <v>4229</v>
      </c>
      <c r="K7" s="2663">
        <v>4137</v>
      </c>
      <c r="L7" s="2663">
        <v>4582</v>
      </c>
      <c r="M7" s="2661">
        <v>4407</v>
      </c>
    </row>
    <row r="8" spans="2:13" ht="16.5">
      <c r="B8" s="4114"/>
      <c r="C8" s="2662" t="s">
        <v>4008</v>
      </c>
      <c r="D8" s="2663">
        <v>991</v>
      </c>
      <c r="E8" s="2663">
        <v>885</v>
      </c>
      <c r="F8" s="2663">
        <v>752</v>
      </c>
      <c r="G8" s="2663">
        <v>785</v>
      </c>
      <c r="H8" s="2663">
        <v>620</v>
      </c>
      <c r="I8" s="2663">
        <v>734</v>
      </c>
      <c r="J8" s="2663">
        <v>704</v>
      </c>
      <c r="K8" s="2663">
        <v>548</v>
      </c>
      <c r="L8" s="2663">
        <v>683</v>
      </c>
      <c r="M8" s="2661">
        <v>419</v>
      </c>
    </row>
    <row r="9" spans="2:13" ht="16.5">
      <c r="B9" s="4114"/>
      <c r="C9" s="2662" t="s">
        <v>4009</v>
      </c>
      <c r="D9" s="2663">
        <v>6031</v>
      </c>
      <c r="E9" s="2663">
        <v>5558</v>
      </c>
      <c r="F9" s="2663">
        <v>5226</v>
      </c>
      <c r="G9" s="2663">
        <v>4930</v>
      </c>
      <c r="H9" s="2663">
        <v>4445</v>
      </c>
      <c r="I9" s="2663">
        <v>4049</v>
      </c>
      <c r="J9" s="2663">
        <v>3525</v>
      </c>
      <c r="K9" s="2663">
        <v>3589</v>
      </c>
      <c r="L9" s="2663">
        <v>3899</v>
      </c>
      <c r="M9" s="2661">
        <v>3988</v>
      </c>
    </row>
    <row r="10" spans="2:13" ht="16.5" customHeight="1">
      <c r="B10" s="4114" t="s">
        <v>4010</v>
      </c>
      <c r="C10" s="2662"/>
      <c r="D10" s="2663">
        <v>2882</v>
      </c>
      <c r="E10" s="2663">
        <v>2698</v>
      </c>
      <c r="F10" s="2663">
        <v>2453</v>
      </c>
      <c r="G10" s="2663">
        <v>2394</v>
      </c>
      <c r="H10" s="2663">
        <v>2319</v>
      </c>
      <c r="I10" s="2663">
        <v>2407</v>
      </c>
      <c r="J10" s="2663">
        <v>2236</v>
      </c>
      <c r="K10" s="2663">
        <v>1916</v>
      </c>
      <c r="L10" s="2663">
        <v>1687</v>
      </c>
      <c r="M10" s="2661">
        <v>1828</v>
      </c>
    </row>
    <row r="11" spans="2:13" ht="16.5">
      <c r="B11" s="4114"/>
      <c r="C11" s="2662" t="s">
        <v>4011</v>
      </c>
      <c r="D11" s="2663">
        <v>1965</v>
      </c>
      <c r="E11" s="2663">
        <v>1813</v>
      </c>
      <c r="F11" s="2663">
        <v>1706</v>
      </c>
      <c r="G11" s="2663">
        <v>1601</v>
      </c>
      <c r="H11" s="2663">
        <v>1699</v>
      </c>
      <c r="I11" s="2663">
        <v>1672</v>
      </c>
      <c r="J11" s="2663">
        <v>1532</v>
      </c>
      <c r="K11" s="2663">
        <v>1370</v>
      </c>
      <c r="L11" s="2663">
        <v>1205</v>
      </c>
      <c r="M11" s="2661">
        <v>1281</v>
      </c>
    </row>
    <row r="12" spans="2:13" ht="16.5">
      <c r="B12" s="4114"/>
      <c r="C12" s="2662" t="s">
        <v>4012</v>
      </c>
      <c r="D12" s="2663">
        <v>383</v>
      </c>
      <c r="E12" s="2663">
        <v>349</v>
      </c>
      <c r="F12" s="2663">
        <v>287</v>
      </c>
      <c r="G12" s="2663">
        <v>265</v>
      </c>
      <c r="H12" s="2663">
        <v>223</v>
      </c>
      <c r="I12" s="2663">
        <v>370</v>
      </c>
      <c r="J12" s="2663">
        <v>377</v>
      </c>
      <c r="K12" s="2663">
        <v>239</v>
      </c>
      <c r="L12" s="2663">
        <v>198</v>
      </c>
      <c r="M12" s="2661">
        <v>245</v>
      </c>
    </row>
    <row r="13" spans="2:13" ht="16.5">
      <c r="B13" s="4114"/>
      <c r="C13" s="2662" t="s">
        <v>4013</v>
      </c>
      <c r="D13" s="2663">
        <v>286</v>
      </c>
      <c r="E13" s="2663">
        <v>381</v>
      </c>
      <c r="F13" s="2663">
        <v>361</v>
      </c>
      <c r="G13" s="2663">
        <v>409</v>
      </c>
      <c r="H13" s="2663">
        <v>323</v>
      </c>
      <c r="I13" s="2663">
        <v>277</v>
      </c>
      <c r="J13" s="2663">
        <v>269</v>
      </c>
      <c r="K13" s="2663">
        <v>267</v>
      </c>
      <c r="L13" s="2663">
        <v>241</v>
      </c>
      <c r="M13" s="2661">
        <v>289</v>
      </c>
    </row>
    <row r="14" spans="2:13" ht="16.5">
      <c r="B14" s="4114"/>
      <c r="C14" s="2662" t="s">
        <v>4014</v>
      </c>
      <c r="D14" s="2663">
        <v>153</v>
      </c>
      <c r="E14" s="2663">
        <v>94</v>
      </c>
      <c r="F14" s="2663">
        <v>49</v>
      </c>
      <c r="G14" s="2663">
        <v>30</v>
      </c>
      <c r="H14" s="2663">
        <v>27</v>
      </c>
      <c r="I14" s="2663">
        <v>11</v>
      </c>
      <c r="J14" s="2663">
        <v>11</v>
      </c>
      <c r="K14" s="2663">
        <v>5</v>
      </c>
      <c r="L14" s="2663">
        <v>6</v>
      </c>
      <c r="M14" s="2661">
        <v>4</v>
      </c>
    </row>
    <row r="15" spans="2:13" ht="16.5">
      <c r="B15" s="4114"/>
      <c r="C15" s="2662" t="s">
        <v>4015</v>
      </c>
      <c r="D15" s="2663">
        <v>95</v>
      </c>
      <c r="E15" s="2663">
        <v>61</v>
      </c>
      <c r="F15" s="2663">
        <v>50</v>
      </c>
      <c r="G15" s="2663">
        <v>89</v>
      </c>
      <c r="H15" s="2663">
        <v>47</v>
      </c>
      <c r="I15" s="2663">
        <v>77</v>
      </c>
      <c r="J15" s="2663">
        <v>47</v>
      </c>
      <c r="K15" s="2663">
        <v>35</v>
      </c>
      <c r="L15" s="2663">
        <v>37</v>
      </c>
      <c r="M15" s="2661">
        <v>9</v>
      </c>
    </row>
    <row r="16" spans="2:13" ht="16.5" customHeight="1">
      <c r="B16" s="2664" t="s">
        <v>4016</v>
      </c>
      <c r="C16" s="2665"/>
      <c r="D16" s="2663">
        <v>106852</v>
      </c>
      <c r="E16" s="2663">
        <v>92882</v>
      </c>
      <c r="F16" s="2663">
        <v>97501</v>
      </c>
      <c r="G16" s="2663">
        <v>90292</v>
      </c>
      <c r="H16" s="2663">
        <v>91065</v>
      </c>
      <c r="I16" s="2663">
        <v>87601</v>
      </c>
      <c r="J16" s="2663">
        <v>67547</v>
      </c>
      <c r="K16" s="2663">
        <v>63623</v>
      </c>
      <c r="L16" s="2663">
        <v>65663</v>
      </c>
      <c r="M16" s="2661">
        <v>73394</v>
      </c>
    </row>
    <row r="17" spans="2:13">
      <c r="B17" s="4110" t="s">
        <v>4017</v>
      </c>
      <c r="C17" s="2662" t="s">
        <v>4018</v>
      </c>
      <c r="D17" s="2663">
        <v>10793</v>
      </c>
      <c r="E17" s="2663">
        <v>11470</v>
      </c>
      <c r="F17" s="2663">
        <v>12048</v>
      </c>
      <c r="G17" s="2663">
        <v>11222</v>
      </c>
      <c r="H17" s="2663">
        <v>11365</v>
      </c>
      <c r="I17" s="2663">
        <v>11502</v>
      </c>
      <c r="J17" s="2663">
        <v>16703</v>
      </c>
      <c r="K17" s="2663">
        <v>18000</v>
      </c>
      <c r="L17" s="2663">
        <v>10469</v>
      </c>
      <c r="M17" s="2661">
        <v>23909</v>
      </c>
    </row>
    <row r="18" spans="2:13">
      <c r="B18" s="4110"/>
      <c r="C18" s="2662" t="s">
        <v>4019</v>
      </c>
      <c r="D18" s="2666" t="s">
        <v>4020</v>
      </c>
      <c r="E18" s="2666" t="s">
        <v>3242</v>
      </c>
      <c r="F18" s="2666" t="s">
        <v>3305</v>
      </c>
      <c r="G18" s="2666" t="s">
        <v>3249</v>
      </c>
      <c r="H18" s="2666" t="s">
        <v>3249</v>
      </c>
      <c r="I18" s="2666" t="s">
        <v>3242</v>
      </c>
      <c r="J18" s="2666" t="s">
        <v>4021</v>
      </c>
      <c r="K18" s="2666" t="s">
        <v>3305</v>
      </c>
      <c r="L18" s="2666" t="s">
        <v>3249</v>
      </c>
      <c r="M18" s="2661">
        <v>5665</v>
      </c>
    </row>
    <row r="19" spans="2:13">
      <c r="B19" s="4110" t="s">
        <v>4022</v>
      </c>
      <c r="C19" s="2662" t="s">
        <v>4023</v>
      </c>
      <c r="D19" s="2663">
        <v>1342</v>
      </c>
      <c r="E19" s="2663">
        <v>1030</v>
      </c>
      <c r="F19" s="2663" t="s">
        <v>4024</v>
      </c>
      <c r="G19" s="2663">
        <v>792</v>
      </c>
      <c r="H19" s="2663">
        <v>785</v>
      </c>
      <c r="I19" s="2663">
        <v>687</v>
      </c>
      <c r="J19" s="2663">
        <v>607</v>
      </c>
      <c r="K19" s="2663">
        <v>587</v>
      </c>
      <c r="L19" s="2663">
        <v>404</v>
      </c>
      <c r="M19" s="2661">
        <v>1205</v>
      </c>
    </row>
    <row r="20" spans="2:13">
      <c r="B20" s="4110"/>
      <c r="C20" s="2662" t="s">
        <v>4025</v>
      </c>
      <c r="D20" s="2663" t="s">
        <v>4026</v>
      </c>
      <c r="E20" s="2663" t="s">
        <v>4027</v>
      </c>
      <c r="F20" s="2663" t="s">
        <v>4028</v>
      </c>
      <c r="G20" s="2663">
        <v>141</v>
      </c>
      <c r="H20" s="2663">
        <v>88</v>
      </c>
      <c r="I20" s="2663">
        <v>8</v>
      </c>
      <c r="J20" s="2663">
        <v>2</v>
      </c>
      <c r="K20" s="2663">
        <v>7</v>
      </c>
      <c r="L20" s="2663">
        <v>9</v>
      </c>
      <c r="M20" s="2661">
        <v>24</v>
      </c>
    </row>
    <row r="21" spans="2:13">
      <c r="B21" s="4110" t="s">
        <v>4029</v>
      </c>
      <c r="C21" s="2662" t="s">
        <v>4030</v>
      </c>
      <c r="D21" s="2663" t="s">
        <v>3928</v>
      </c>
      <c r="E21" s="2663" t="s">
        <v>3242</v>
      </c>
      <c r="F21" s="2663" t="s">
        <v>3242</v>
      </c>
      <c r="G21" s="2663" t="s">
        <v>4020</v>
      </c>
      <c r="H21" s="2663" t="s">
        <v>3249</v>
      </c>
      <c r="I21" s="2663" t="s">
        <v>3928</v>
      </c>
      <c r="J21" s="2663" t="s">
        <v>3242</v>
      </c>
      <c r="K21" s="2663" t="s">
        <v>3249</v>
      </c>
      <c r="L21" s="2663" t="s">
        <v>3249</v>
      </c>
      <c r="M21" s="2661">
        <v>17102</v>
      </c>
    </row>
    <row r="22" spans="2:13">
      <c r="B22" s="4110"/>
      <c r="C22" s="2662" t="s">
        <v>4031</v>
      </c>
      <c r="D22" s="2663" t="s">
        <v>3249</v>
      </c>
      <c r="E22" s="2663" t="s">
        <v>4020</v>
      </c>
      <c r="F22" s="2663" t="s">
        <v>3242</v>
      </c>
      <c r="G22" s="2663" t="s">
        <v>3242</v>
      </c>
      <c r="H22" s="2663" t="s">
        <v>3242</v>
      </c>
      <c r="I22" s="2663" t="s">
        <v>3242</v>
      </c>
      <c r="J22" s="2663" t="s">
        <v>3242</v>
      </c>
      <c r="K22" s="2663" t="s">
        <v>3928</v>
      </c>
      <c r="L22" s="2663" t="s">
        <v>3242</v>
      </c>
      <c r="M22" s="2661">
        <v>4196</v>
      </c>
    </row>
    <row r="23" spans="2:13">
      <c r="B23" s="4110"/>
      <c r="C23" s="2662" t="s">
        <v>4032</v>
      </c>
      <c r="D23" s="2663" t="s">
        <v>3249</v>
      </c>
      <c r="E23" s="2663" t="s">
        <v>3249</v>
      </c>
      <c r="F23" s="2663" t="s">
        <v>4020</v>
      </c>
      <c r="G23" s="2663" t="s">
        <v>3249</v>
      </c>
      <c r="H23" s="2663" t="s">
        <v>3242</v>
      </c>
      <c r="I23" s="2663" t="s">
        <v>3852</v>
      </c>
      <c r="J23" s="2663" t="s">
        <v>3928</v>
      </c>
      <c r="K23" s="2663" t="s">
        <v>3996</v>
      </c>
      <c r="L23" s="2663" t="s">
        <v>3928</v>
      </c>
      <c r="M23" s="2661">
        <v>1748</v>
      </c>
    </row>
    <row r="24" spans="2:13">
      <c r="B24" s="4110"/>
      <c r="C24" s="2662" t="s">
        <v>4033</v>
      </c>
      <c r="D24" s="2663" t="s">
        <v>3242</v>
      </c>
      <c r="E24" s="2663" t="s">
        <v>4020</v>
      </c>
      <c r="F24" s="2663" t="s">
        <v>3242</v>
      </c>
      <c r="G24" s="2663" t="s">
        <v>3242</v>
      </c>
      <c r="H24" s="2663" t="s">
        <v>4020</v>
      </c>
      <c r="I24" s="2663" t="s">
        <v>3928</v>
      </c>
      <c r="J24" s="2663" t="s">
        <v>3242</v>
      </c>
      <c r="K24" s="2663" t="s">
        <v>3242</v>
      </c>
      <c r="L24" s="2663" t="s">
        <v>3242</v>
      </c>
      <c r="M24" s="2661">
        <v>4568</v>
      </c>
    </row>
    <row r="25" spans="2:13">
      <c r="B25" s="4110" t="s">
        <v>4034</v>
      </c>
      <c r="C25" s="2662" t="s">
        <v>4035</v>
      </c>
      <c r="D25" s="2663" t="s">
        <v>4036</v>
      </c>
      <c r="E25" s="2663" t="s">
        <v>4037</v>
      </c>
      <c r="F25" s="2663" t="s">
        <v>4038</v>
      </c>
      <c r="G25" s="2663">
        <v>700</v>
      </c>
      <c r="H25" s="2663">
        <v>969</v>
      </c>
      <c r="I25" s="2663">
        <v>846</v>
      </c>
      <c r="J25" s="2663">
        <v>415</v>
      </c>
      <c r="K25" s="2663">
        <v>516</v>
      </c>
      <c r="L25" s="2663">
        <v>566</v>
      </c>
      <c r="M25" s="2661">
        <v>1053</v>
      </c>
    </row>
    <row r="26" spans="2:13">
      <c r="B26" s="4110"/>
      <c r="C26" s="2662" t="s">
        <v>4039</v>
      </c>
      <c r="D26" s="2663">
        <v>13861</v>
      </c>
      <c r="E26" s="2663">
        <v>14733</v>
      </c>
      <c r="F26" s="2663">
        <v>14351</v>
      </c>
      <c r="G26" s="2663">
        <v>16045</v>
      </c>
      <c r="H26" s="2663">
        <v>16371</v>
      </c>
      <c r="I26" s="2663">
        <v>14460</v>
      </c>
      <c r="J26" s="2663">
        <v>9410</v>
      </c>
      <c r="K26" s="2663">
        <v>7812</v>
      </c>
      <c r="L26" s="2663">
        <v>8427</v>
      </c>
      <c r="M26" s="2661">
        <v>4065</v>
      </c>
    </row>
    <row r="27" spans="2:13" ht="16.5" customHeight="1">
      <c r="B27" s="4115" t="s">
        <v>4040</v>
      </c>
      <c r="C27" s="4116"/>
      <c r="D27" s="2663" t="s">
        <v>3242</v>
      </c>
      <c r="E27" s="2663" t="s">
        <v>3928</v>
      </c>
      <c r="F27" s="2663" t="s">
        <v>3242</v>
      </c>
      <c r="G27" s="2663" t="s">
        <v>3242</v>
      </c>
      <c r="H27" s="2663" t="s">
        <v>3242</v>
      </c>
      <c r="I27" s="2663" t="s">
        <v>3242</v>
      </c>
      <c r="J27" s="2663" t="s">
        <v>3928</v>
      </c>
      <c r="K27" s="2663" t="s">
        <v>3928</v>
      </c>
      <c r="L27" s="2663" t="s">
        <v>3242</v>
      </c>
      <c r="M27" s="2661">
        <v>9859</v>
      </c>
    </row>
    <row r="28" spans="2:13" ht="16.5" customHeight="1">
      <c r="B28" s="4115" t="s">
        <v>4041</v>
      </c>
      <c r="C28" s="4116"/>
      <c r="D28" s="2663">
        <v>19255</v>
      </c>
      <c r="E28" s="2663">
        <v>17872</v>
      </c>
      <c r="F28" s="2663">
        <v>18832</v>
      </c>
      <c r="G28" s="2663">
        <v>17725</v>
      </c>
      <c r="H28" s="2663">
        <v>17002</v>
      </c>
      <c r="I28" s="2663">
        <v>18220</v>
      </c>
      <c r="J28" s="2663">
        <v>14834</v>
      </c>
      <c r="K28" s="2663">
        <v>12619</v>
      </c>
      <c r="L28" s="2663">
        <v>13647</v>
      </c>
      <c r="M28" s="2661" t="s">
        <v>3242</v>
      </c>
    </row>
    <row r="29" spans="2:13" ht="16.5" customHeight="1">
      <c r="B29" s="4115" t="s">
        <v>4042</v>
      </c>
      <c r="C29" s="4116"/>
      <c r="D29" s="2663">
        <v>3946</v>
      </c>
      <c r="E29" s="2663">
        <v>3264</v>
      </c>
      <c r="F29" s="2663">
        <v>2558</v>
      </c>
      <c r="G29" s="2663">
        <v>1758</v>
      </c>
      <c r="H29" s="2663">
        <v>1595</v>
      </c>
      <c r="I29" s="2663">
        <v>1431</v>
      </c>
      <c r="J29" s="2663">
        <v>1028</v>
      </c>
      <c r="K29" s="2663">
        <v>1302</v>
      </c>
      <c r="L29" s="2663">
        <v>1182</v>
      </c>
      <c r="M29" s="2661" t="s">
        <v>3928</v>
      </c>
    </row>
    <row r="30" spans="2:13" ht="16.5" customHeight="1">
      <c r="B30" s="4115" t="s">
        <v>4043</v>
      </c>
      <c r="C30" s="4116"/>
      <c r="D30" s="2667">
        <v>57123</v>
      </c>
      <c r="E30" s="2667">
        <v>44024</v>
      </c>
      <c r="F30" s="2667">
        <v>48386</v>
      </c>
      <c r="G30" s="2667">
        <v>41909</v>
      </c>
      <c r="H30" s="2667">
        <v>42890</v>
      </c>
      <c r="I30" s="2667">
        <v>40447</v>
      </c>
      <c r="J30" s="2667">
        <v>24548</v>
      </c>
      <c r="K30" s="2667">
        <v>22780</v>
      </c>
      <c r="L30" s="2667">
        <v>30959</v>
      </c>
      <c r="M30" s="2668" t="s">
        <v>3242</v>
      </c>
    </row>
    <row r="31" spans="2:13" ht="15.75" customHeight="1">
      <c r="B31" s="4117" t="s">
        <v>4044</v>
      </c>
      <c r="C31" s="4117"/>
      <c r="D31" s="4117"/>
      <c r="E31" s="4117"/>
      <c r="F31" s="4117"/>
      <c r="G31" s="4117"/>
      <c r="H31" s="4117"/>
      <c r="I31" s="4117"/>
      <c r="J31" s="4117"/>
      <c r="K31" s="4117"/>
      <c r="L31" s="4117"/>
      <c r="M31" s="4117"/>
    </row>
    <row r="32" spans="2:13" ht="103.5" customHeight="1">
      <c r="B32" s="4118" t="s">
        <v>4045</v>
      </c>
      <c r="C32" s="4118"/>
      <c r="D32" s="4118"/>
      <c r="E32" s="4118"/>
      <c r="F32" s="4118"/>
      <c r="G32" s="4118"/>
      <c r="H32" s="4118"/>
      <c r="I32" s="4118"/>
      <c r="J32" s="4118"/>
      <c r="K32" s="4118"/>
      <c r="L32" s="4118"/>
      <c r="M32" s="4118"/>
    </row>
  </sheetData>
  <mergeCells count="15">
    <mergeCell ref="B30:C30"/>
    <mergeCell ref="B31:M31"/>
    <mergeCell ref="B32:M32"/>
    <mergeCell ref="B19:B20"/>
    <mergeCell ref="B21:B24"/>
    <mergeCell ref="B25:B26"/>
    <mergeCell ref="B27:C27"/>
    <mergeCell ref="B28:C28"/>
    <mergeCell ref="B29:C29"/>
    <mergeCell ref="B17:B18"/>
    <mergeCell ref="B1:M1"/>
    <mergeCell ref="B2:C2"/>
    <mergeCell ref="B3:B6"/>
    <mergeCell ref="B7:B9"/>
    <mergeCell ref="B10:B15"/>
  </mergeCells>
  <phoneticPr fontId="61" type="noConversion"/>
  <printOptions horizontalCentered="1" verticalCentered="1"/>
  <pageMargins left="0.70866141732283472" right="0.70866141732283472" top="0.74803149606299213" bottom="0.74803149606299213" header="0.31496062992125984" footer="0.31496062992125984"/>
  <pageSetup paperSize="11" scale="53" orientation="landscape" r:id="rId1"/>
  <headerFooter differentOddEven="1" scaleWithDoc="0">
    <oddHeader>&amp;L&amp;"Times New Roman,標準"&amp;8 107&amp;"標楷體,標準"年犯罪狀況及其分析</oddHeader>
    <evenHeader>&amp;R&amp;"標楷體,標準"&amp;8第五篇　犯罪被害趨勢、保護與補償</evenHeader>
  </headerFooter>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IT27"/>
  <sheetViews>
    <sheetView showGridLines="0" workbookViewId="0">
      <selection activeCell="A155" sqref="A155:B155"/>
    </sheetView>
  </sheetViews>
  <sheetFormatPr defaultRowHeight="15.75"/>
  <cols>
    <col min="1" max="1" width="29.625" style="2673" customWidth="1"/>
    <col min="2" max="11" width="9.625" style="2673" customWidth="1"/>
    <col min="12" max="256" width="9" style="2673"/>
    <col min="257" max="257" width="29.625" style="2673" customWidth="1"/>
    <col min="258" max="267" width="9.625" style="2673" customWidth="1"/>
    <col min="268" max="512" width="9" style="2673"/>
    <col min="513" max="513" width="29.625" style="2673" customWidth="1"/>
    <col min="514" max="523" width="9.625" style="2673" customWidth="1"/>
    <col min="524" max="768" width="9" style="2673"/>
    <col min="769" max="769" width="29.625" style="2673" customWidth="1"/>
    <col min="770" max="779" width="9.625" style="2673" customWidth="1"/>
    <col min="780" max="1024" width="9" style="2673"/>
    <col min="1025" max="1025" width="29.625" style="2673" customWidth="1"/>
    <col min="1026" max="1035" width="9.625" style="2673" customWidth="1"/>
    <col min="1036" max="1280" width="9" style="2673"/>
    <col min="1281" max="1281" width="29.625" style="2673" customWidth="1"/>
    <col min="1282" max="1291" width="9.625" style="2673" customWidth="1"/>
    <col min="1292" max="1536" width="9" style="2673"/>
    <col min="1537" max="1537" width="29.625" style="2673" customWidth="1"/>
    <col min="1538" max="1547" width="9.625" style="2673" customWidth="1"/>
    <col min="1548" max="1792" width="9" style="2673"/>
    <col min="1793" max="1793" width="29.625" style="2673" customWidth="1"/>
    <col min="1794" max="1803" width="9.625" style="2673" customWidth="1"/>
    <col min="1804" max="2048" width="9" style="2673"/>
    <col min="2049" max="2049" width="29.625" style="2673" customWidth="1"/>
    <col min="2050" max="2059" width="9.625" style="2673" customWidth="1"/>
    <col min="2060" max="2304" width="9" style="2673"/>
    <col min="2305" max="2305" width="29.625" style="2673" customWidth="1"/>
    <col min="2306" max="2315" width="9.625" style="2673" customWidth="1"/>
    <col min="2316" max="2560" width="9" style="2673"/>
    <col min="2561" max="2561" width="29.625" style="2673" customWidth="1"/>
    <col min="2562" max="2571" width="9.625" style="2673" customWidth="1"/>
    <col min="2572" max="2816" width="9" style="2673"/>
    <col min="2817" max="2817" width="29.625" style="2673" customWidth="1"/>
    <col min="2818" max="2827" width="9.625" style="2673" customWidth="1"/>
    <col min="2828" max="3072" width="9" style="2673"/>
    <col min="3073" max="3073" width="29.625" style="2673" customWidth="1"/>
    <col min="3074" max="3083" width="9.625" style="2673" customWidth="1"/>
    <col min="3084" max="3328" width="9" style="2673"/>
    <col min="3329" max="3329" width="29.625" style="2673" customWidth="1"/>
    <col min="3330" max="3339" width="9.625" style="2673" customWidth="1"/>
    <col min="3340" max="3584" width="9" style="2673"/>
    <col min="3585" max="3585" width="29.625" style="2673" customWidth="1"/>
    <col min="3586" max="3595" width="9.625" style="2673" customWidth="1"/>
    <col min="3596" max="3840" width="9" style="2673"/>
    <col min="3841" max="3841" width="29.625" style="2673" customWidth="1"/>
    <col min="3842" max="3851" width="9.625" style="2673" customWidth="1"/>
    <col min="3852" max="4096" width="9" style="2673"/>
    <col min="4097" max="4097" width="29.625" style="2673" customWidth="1"/>
    <col min="4098" max="4107" width="9.625" style="2673" customWidth="1"/>
    <col min="4108" max="4352" width="9" style="2673"/>
    <col min="4353" max="4353" width="29.625" style="2673" customWidth="1"/>
    <col min="4354" max="4363" width="9.625" style="2673" customWidth="1"/>
    <col min="4364" max="4608" width="9" style="2673"/>
    <col min="4609" max="4609" width="29.625" style="2673" customWidth="1"/>
    <col min="4610" max="4619" width="9.625" style="2673" customWidth="1"/>
    <col min="4620" max="4864" width="9" style="2673"/>
    <col min="4865" max="4865" width="29.625" style="2673" customWidth="1"/>
    <col min="4866" max="4875" width="9.625" style="2673" customWidth="1"/>
    <col min="4876" max="5120" width="9" style="2673"/>
    <col min="5121" max="5121" width="29.625" style="2673" customWidth="1"/>
    <col min="5122" max="5131" width="9.625" style="2673" customWidth="1"/>
    <col min="5132" max="5376" width="9" style="2673"/>
    <col min="5377" max="5377" width="29.625" style="2673" customWidth="1"/>
    <col min="5378" max="5387" width="9.625" style="2673" customWidth="1"/>
    <col min="5388" max="5632" width="9" style="2673"/>
    <col min="5633" max="5633" width="29.625" style="2673" customWidth="1"/>
    <col min="5634" max="5643" width="9.625" style="2673" customWidth="1"/>
    <col min="5644" max="5888" width="9" style="2673"/>
    <col min="5889" max="5889" width="29.625" style="2673" customWidth="1"/>
    <col min="5890" max="5899" width="9.625" style="2673" customWidth="1"/>
    <col min="5900" max="6144" width="9" style="2673"/>
    <col min="6145" max="6145" width="29.625" style="2673" customWidth="1"/>
    <col min="6146" max="6155" width="9.625" style="2673" customWidth="1"/>
    <col min="6156" max="6400" width="9" style="2673"/>
    <col min="6401" max="6401" width="29.625" style="2673" customWidth="1"/>
    <col min="6402" max="6411" width="9.625" style="2673" customWidth="1"/>
    <col min="6412" max="6656" width="9" style="2673"/>
    <col min="6657" max="6657" width="29.625" style="2673" customWidth="1"/>
    <col min="6658" max="6667" width="9.625" style="2673" customWidth="1"/>
    <col min="6668" max="6912" width="9" style="2673"/>
    <col min="6913" max="6913" width="29.625" style="2673" customWidth="1"/>
    <col min="6914" max="6923" width="9.625" style="2673" customWidth="1"/>
    <col min="6924" max="7168" width="9" style="2673"/>
    <col min="7169" max="7169" width="29.625" style="2673" customWidth="1"/>
    <col min="7170" max="7179" width="9.625" style="2673" customWidth="1"/>
    <col min="7180" max="7424" width="9" style="2673"/>
    <col min="7425" max="7425" width="29.625" style="2673" customWidth="1"/>
    <col min="7426" max="7435" width="9.625" style="2673" customWidth="1"/>
    <col min="7436" max="7680" width="9" style="2673"/>
    <col min="7681" max="7681" width="29.625" style="2673" customWidth="1"/>
    <col min="7682" max="7691" width="9.625" style="2673" customWidth="1"/>
    <col min="7692" max="7936" width="9" style="2673"/>
    <col min="7937" max="7937" width="29.625" style="2673" customWidth="1"/>
    <col min="7938" max="7947" width="9.625" style="2673" customWidth="1"/>
    <col min="7948" max="8192" width="9" style="2673"/>
    <col min="8193" max="8193" width="29.625" style="2673" customWidth="1"/>
    <col min="8194" max="8203" width="9.625" style="2673" customWidth="1"/>
    <col min="8204" max="8448" width="9" style="2673"/>
    <col min="8449" max="8449" width="29.625" style="2673" customWidth="1"/>
    <col min="8450" max="8459" width="9.625" style="2673" customWidth="1"/>
    <col min="8460" max="8704" width="9" style="2673"/>
    <col min="8705" max="8705" width="29.625" style="2673" customWidth="1"/>
    <col min="8706" max="8715" width="9.625" style="2673" customWidth="1"/>
    <col min="8716" max="8960" width="9" style="2673"/>
    <col min="8961" max="8961" width="29.625" style="2673" customWidth="1"/>
    <col min="8962" max="8971" width="9.625" style="2673" customWidth="1"/>
    <col min="8972" max="9216" width="9" style="2673"/>
    <col min="9217" max="9217" width="29.625" style="2673" customWidth="1"/>
    <col min="9218" max="9227" width="9.625" style="2673" customWidth="1"/>
    <col min="9228" max="9472" width="9" style="2673"/>
    <col min="9473" max="9473" width="29.625" style="2673" customWidth="1"/>
    <col min="9474" max="9483" width="9.625" style="2673" customWidth="1"/>
    <col min="9484" max="9728" width="9" style="2673"/>
    <col min="9729" max="9729" width="29.625" style="2673" customWidth="1"/>
    <col min="9730" max="9739" width="9.625" style="2673" customWidth="1"/>
    <col min="9740" max="9984" width="9" style="2673"/>
    <col min="9985" max="9985" width="29.625" style="2673" customWidth="1"/>
    <col min="9986" max="9995" width="9.625" style="2673" customWidth="1"/>
    <col min="9996" max="10240" width="9" style="2673"/>
    <col min="10241" max="10241" width="29.625" style="2673" customWidth="1"/>
    <col min="10242" max="10251" width="9.625" style="2673" customWidth="1"/>
    <col min="10252" max="10496" width="9" style="2673"/>
    <col min="10497" max="10497" width="29.625" style="2673" customWidth="1"/>
    <col min="10498" max="10507" width="9.625" style="2673" customWidth="1"/>
    <col min="10508" max="10752" width="9" style="2673"/>
    <col min="10753" max="10753" width="29.625" style="2673" customWidth="1"/>
    <col min="10754" max="10763" width="9.625" style="2673" customWidth="1"/>
    <col min="10764" max="11008" width="9" style="2673"/>
    <col min="11009" max="11009" width="29.625" style="2673" customWidth="1"/>
    <col min="11010" max="11019" width="9.625" style="2673" customWidth="1"/>
    <col min="11020" max="11264" width="9" style="2673"/>
    <col min="11265" max="11265" width="29.625" style="2673" customWidth="1"/>
    <col min="11266" max="11275" width="9.625" style="2673" customWidth="1"/>
    <col min="11276" max="11520" width="9" style="2673"/>
    <col min="11521" max="11521" width="29.625" style="2673" customWidth="1"/>
    <col min="11522" max="11531" width="9.625" style="2673" customWidth="1"/>
    <col min="11532" max="11776" width="9" style="2673"/>
    <col min="11777" max="11777" width="29.625" style="2673" customWidth="1"/>
    <col min="11778" max="11787" width="9.625" style="2673" customWidth="1"/>
    <col min="11788" max="12032" width="9" style="2673"/>
    <col min="12033" max="12033" width="29.625" style="2673" customWidth="1"/>
    <col min="12034" max="12043" width="9.625" style="2673" customWidth="1"/>
    <col min="12044" max="12288" width="9" style="2673"/>
    <col min="12289" max="12289" width="29.625" style="2673" customWidth="1"/>
    <col min="12290" max="12299" width="9.625" style="2673" customWidth="1"/>
    <col min="12300" max="12544" width="9" style="2673"/>
    <col min="12545" max="12545" width="29.625" style="2673" customWidth="1"/>
    <col min="12546" max="12555" width="9.625" style="2673" customWidth="1"/>
    <col min="12556" max="12800" width="9" style="2673"/>
    <col min="12801" max="12801" width="29.625" style="2673" customWidth="1"/>
    <col min="12802" max="12811" width="9.625" style="2673" customWidth="1"/>
    <col min="12812" max="13056" width="9" style="2673"/>
    <col min="13057" max="13057" width="29.625" style="2673" customWidth="1"/>
    <col min="13058" max="13067" width="9.625" style="2673" customWidth="1"/>
    <col min="13068" max="13312" width="9" style="2673"/>
    <col min="13313" max="13313" width="29.625" style="2673" customWidth="1"/>
    <col min="13314" max="13323" width="9.625" style="2673" customWidth="1"/>
    <col min="13324" max="13568" width="9" style="2673"/>
    <col min="13569" max="13569" width="29.625" style="2673" customWidth="1"/>
    <col min="13570" max="13579" width="9.625" style="2673" customWidth="1"/>
    <col min="13580" max="13824" width="9" style="2673"/>
    <col min="13825" max="13825" width="29.625" style="2673" customWidth="1"/>
    <col min="13826" max="13835" width="9.625" style="2673" customWidth="1"/>
    <col min="13836" max="14080" width="9" style="2673"/>
    <col min="14081" max="14081" width="29.625" style="2673" customWidth="1"/>
    <col min="14082" max="14091" width="9.625" style="2673" customWidth="1"/>
    <col min="14092" max="14336" width="9" style="2673"/>
    <col min="14337" max="14337" width="29.625" style="2673" customWidth="1"/>
    <col min="14338" max="14347" width="9.625" style="2673" customWidth="1"/>
    <col min="14348" max="14592" width="9" style="2673"/>
    <col min="14593" max="14593" width="29.625" style="2673" customWidth="1"/>
    <col min="14594" max="14603" width="9.625" style="2673" customWidth="1"/>
    <col min="14604" max="14848" width="9" style="2673"/>
    <col min="14849" max="14849" width="29.625" style="2673" customWidth="1"/>
    <col min="14850" max="14859" width="9.625" style="2673" customWidth="1"/>
    <col min="14860" max="15104" width="9" style="2673"/>
    <col min="15105" max="15105" width="29.625" style="2673" customWidth="1"/>
    <col min="15106" max="15115" width="9.625" style="2673" customWidth="1"/>
    <col min="15116" max="15360" width="9" style="2673"/>
    <col min="15361" max="15361" width="29.625" style="2673" customWidth="1"/>
    <col min="15362" max="15371" width="9.625" style="2673" customWidth="1"/>
    <col min="15372" max="15616" width="9" style="2673"/>
    <col min="15617" max="15617" width="29.625" style="2673" customWidth="1"/>
    <col min="15618" max="15627" width="9.625" style="2673" customWidth="1"/>
    <col min="15628" max="15872" width="9" style="2673"/>
    <col min="15873" max="15873" width="29.625" style="2673" customWidth="1"/>
    <col min="15874" max="15883" width="9.625" style="2673" customWidth="1"/>
    <col min="15884" max="16128" width="9" style="2673"/>
    <col min="16129" max="16129" width="29.625" style="2673" customWidth="1"/>
    <col min="16130" max="16139" width="9.625" style="2673" customWidth="1"/>
    <col min="16140" max="16384" width="9" style="2673"/>
  </cols>
  <sheetData>
    <row r="1" spans="1:11" s="2670" customFormat="1" ht="29.25" customHeight="1">
      <c r="A1" s="4123" t="s">
        <v>4046</v>
      </c>
      <c r="B1" s="4123"/>
      <c r="C1" s="4123"/>
      <c r="D1" s="4123"/>
      <c r="E1" s="4123"/>
      <c r="F1" s="4123"/>
      <c r="G1" s="4123"/>
      <c r="H1" s="4123"/>
      <c r="I1" s="4123"/>
      <c r="J1" s="4123"/>
      <c r="K1" s="4123"/>
    </row>
    <row r="2" spans="1:11" ht="16.5">
      <c r="A2" s="2671"/>
      <c r="B2" s="2672"/>
      <c r="C2" s="2672"/>
      <c r="D2" s="2672"/>
      <c r="E2" s="2672"/>
      <c r="F2" s="2672"/>
      <c r="G2" s="2672"/>
      <c r="H2" s="2672"/>
      <c r="I2" s="2672"/>
      <c r="J2" s="2672"/>
      <c r="K2" s="2672" t="s">
        <v>4047</v>
      </c>
    </row>
    <row r="3" spans="1:11" ht="30.75" customHeight="1">
      <c r="A3" s="4124"/>
      <c r="B3" s="4126" t="s">
        <v>3613</v>
      </c>
      <c r="C3" s="4119" t="s">
        <v>794</v>
      </c>
      <c r="D3" s="4119" t="s">
        <v>795</v>
      </c>
      <c r="E3" s="4119" t="s">
        <v>796</v>
      </c>
      <c r="F3" s="4119" t="s">
        <v>797</v>
      </c>
      <c r="G3" s="4119" t="s">
        <v>798</v>
      </c>
      <c r="H3" s="4119" t="s">
        <v>799</v>
      </c>
      <c r="I3" s="4119" t="s">
        <v>800</v>
      </c>
      <c r="J3" s="4119" t="s">
        <v>801</v>
      </c>
      <c r="K3" s="4121" t="s">
        <v>802</v>
      </c>
    </row>
    <row r="4" spans="1:11" ht="19.5" customHeight="1">
      <c r="A4" s="4125"/>
      <c r="B4" s="4127"/>
      <c r="C4" s="4120"/>
      <c r="D4" s="4120"/>
      <c r="E4" s="4120"/>
      <c r="F4" s="4120"/>
      <c r="G4" s="4120"/>
      <c r="H4" s="4120"/>
      <c r="I4" s="4120"/>
      <c r="J4" s="4120"/>
      <c r="K4" s="4122"/>
    </row>
    <row r="5" spans="1:11" ht="5.25" customHeight="1">
      <c r="A5" s="2674"/>
      <c r="B5" s="2675"/>
      <c r="C5" s="2675"/>
      <c r="D5" s="2675"/>
      <c r="E5" s="2675"/>
      <c r="F5" s="2675"/>
      <c r="G5" s="2675"/>
      <c r="H5" s="2675"/>
      <c r="I5" s="2675"/>
      <c r="J5" s="2675"/>
      <c r="K5" s="2675"/>
    </row>
    <row r="6" spans="1:11" ht="18" customHeight="1">
      <c r="A6" s="2676" t="s">
        <v>4048</v>
      </c>
      <c r="B6" s="2677">
        <v>1025</v>
      </c>
      <c r="C6" s="2677">
        <v>1161</v>
      </c>
      <c r="D6" s="2677">
        <v>1451</v>
      </c>
      <c r="E6" s="2677">
        <v>1582</v>
      </c>
      <c r="F6" s="2677">
        <v>1662</v>
      </c>
      <c r="G6" s="2677">
        <v>1741</v>
      </c>
      <c r="H6" s="2677">
        <v>1803</v>
      </c>
      <c r="I6" s="2677">
        <v>2073</v>
      </c>
      <c r="J6" s="2677">
        <v>1893</v>
      </c>
      <c r="K6" s="2677">
        <v>1723</v>
      </c>
    </row>
    <row r="7" spans="1:11" ht="18" customHeight="1">
      <c r="A7" s="2676" t="s">
        <v>4049</v>
      </c>
      <c r="B7" s="2678">
        <v>849</v>
      </c>
      <c r="C7" s="2678">
        <v>853</v>
      </c>
      <c r="D7" s="2678">
        <v>1032</v>
      </c>
      <c r="E7" s="2678">
        <v>1144</v>
      </c>
      <c r="F7" s="2678">
        <v>1199</v>
      </c>
      <c r="G7" s="2678">
        <v>1284</v>
      </c>
      <c r="H7" s="2678">
        <v>1330</v>
      </c>
      <c r="I7" s="2678">
        <v>1378</v>
      </c>
      <c r="J7" s="2678">
        <v>1318</v>
      </c>
      <c r="K7" s="2678">
        <v>1258</v>
      </c>
    </row>
    <row r="8" spans="1:11" ht="18" customHeight="1">
      <c r="A8" s="2676" t="s">
        <v>4050</v>
      </c>
      <c r="B8" s="2678">
        <v>1</v>
      </c>
      <c r="C8" s="2678">
        <v>5</v>
      </c>
      <c r="D8" s="2678">
        <v>7</v>
      </c>
      <c r="E8" s="2678">
        <v>13</v>
      </c>
      <c r="F8" s="2678">
        <v>4</v>
      </c>
      <c r="G8" s="2678">
        <v>5</v>
      </c>
      <c r="H8" s="2678">
        <v>3</v>
      </c>
      <c r="I8" s="2678">
        <v>8</v>
      </c>
      <c r="J8" s="2678">
        <v>11</v>
      </c>
      <c r="K8" s="2678">
        <v>12</v>
      </c>
    </row>
    <row r="9" spans="1:11" ht="18" customHeight="1">
      <c r="A9" s="2679" t="s">
        <v>4051</v>
      </c>
      <c r="B9" s="2678">
        <v>13</v>
      </c>
      <c r="C9" s="2678">
        <v>14</v>
      </c>
      <c r="D9" s="2678">
        <v>19</v>
      </c>
      <c r="E9" s="2678">
        <v>12</v>
      </c>
      <c r="F9" s="2678">
        <v>28</v>
      </c>
      <c r="G9" s="2678">
        <v>14</v>
      </c>
      <c r="H9" s="2678">
        <v>14</v>
      </c>
      <c r="I9" s="2678">
        <v>18</v>
      </c>
      <c r="J9" s="2678">
        <v>16</v>
      </c>
      <c r="K9" s="2678">
        <v>9</v>
      </c>
    </row>
    <row r="10" spans="1:11" ht="18" customHeight="1">
      <c r="A10" s="2676" t="s">
        <v>4052</v>
      </c>
      <c r="B10" s="2678">
        <v>162</v>
      </c>
      <c r="C10" s="2678">
        <v>289</v>
      </c>
      <c r="D10" s="2678">
        <v>393</v>
      </c>
      <c r="E10" s="2678">
        <v>413</v>
      </c>
      <c r="F10" s="2678">
        <v>431</v>
      </c>
      <c r="G10" s="2678">
        <v>438</v>
      </c>
      <c r="H10" s="2678">
        <v>456</v>
      </c>
      <c r="I10" s="2678">
        <v>669</v>
      </c>
      <c r="J10" s="2678">
        <v>548</v>
      </c>
      <c r="K10" s="2678">
        <v>444</v>
      </c>
    </row>
    <row r="11" spans="1:11" ht="18" customHeight="1">
      <c r="A11" s="2676" t="s">
        <v>4053</v>
      </c>
      <c r="B11" s="2678">
        <v>1075</v>
      </c>
      <c r="C11" s="2678">
        <v>1084</v>
      </c>
      <c r="D11" s="2678">
        <v>1230</v>
      </c>
      <c r="E11" s="2678">
        <v>1422</v>
      </c>
      <c r="F11" s="2678">
        <v>1607</v>
      </c>
      <c r="G11" s="2678">
        <v>1430</v>
      </c>
      <c r="H11" s="2678">
        <v>1543</v>
      </c>
      <c r="I11" s="2678">
        <v>1650</v>
      </c>
      <c r="J11" s="2678">
        <v>1781</v>
      </c>
      <c r="K11" s="2678">
        <v>1587</v>
      </c>
    </row>
    <row r="12" spans="1:11" ht="18" customHeight="1">
      <c r="A12" s="2676" t="s">
        <v>4054</v>
      </c>
      <c r="B12" s="2678">
        <v>817</v>
      </c>
      <c r="C12" s="2678">
        <v>849</v>
      </c>
      <c r="D12" s="2678">
        <v>935</v>
      </c>
      <c r="E12" s="2678">
        <v>1032</v>
      </c>
      <c r="F12" s="2678">
        <v>1196</v>
      </c>
      <c r="G12" s="2678">
        <v>1073</v>
      </c>
      <c r="H12" s="2678">
        <v>1178</v>
      </c>
      <c r="I12" s="2678">
        <v>1352</v>
      </c>
      <c r="J12" s="2678">
        <v>1345</v>
      </c>
      <c r="K12" s="2678">
        <v>1261</v>
      </c>
    </row>
    <row r="13" spans="1:11" ht="18" customHeight="1">
      <c r="A13" s="2676" t="s">
        <v>4055</v>
      </c>
      <c r="B13" s="2678">
        <v>243</v>
      </c>
      <c r="C13" s="2678">
        <v>342</v>
      </c>
      <c r="D13" s="2678">
        <v>434</v>
      </c>
      <c r="E13" s="2678">
        <v>512</v>
      </c>
      <c r="F13" s="2678">
        <v>588</v>
      </c>
      <c r="G13" s="2678">
        <v>490</v>
      </c>
      <c r="H13" s="2678">
        <v>552</v>
      </c>
      <c r="I13" s="2678">
        <v>709</v>
      </c>
      <c r="J13" s="2678">
        <v>637</v>
      </c>
      <c r="K13" s="2678">
        <v>541</v>
      </c>
    </row>
    <row r="14" spans="1:11" ht="18" customHeight="1">
      <c r="A14" s="2676" t="s">
        <v>4056</v>
      </c>
      <c r="B14" s="2678">
        <v>392</v>
      </c>
      <c r="C14" s="2678">
        <v>352</v>
      </c>
      <c r="D14" s="2678">
        <v>328</v>
      </c>
      <c r="E14" s="2678">
        <v>318</v>
      </c>
      <c r="F14" s="2678">
        <v>393</v>
      </c>
      <c r="G14" s="2678">
        <v>391</v>
      </c>
      <c r="H14" s="2678">
        <v>378</v>
      </c>
      <c r="I14" s="2678">
        <v>394</v>
      </c>
      <c r="J14" s="2678">
        <v>498</v>
      </c>
      <c r="K14" s="2678">
        <v>490</v>
      </c>
    </row>
    <row r="15" spans="1:11" ht="18" customHeight="1">
      <c r="A15" s="2676" t="s">
        <v>4057</v>
      </c>
      <c r="B15" s="2678">
        <v>151</v>
      </c>
      <c r="C15" s="2678">
        <v>131</v>
      </c>
      <c r="D15" s="2678">
        <v>138</v>
      </c>
      <c r="E15" s="2678">
        <v>138</v>
      </c>
      <c r="F15" s="2678">
        <v>178</v>
      </c>
      <c r="G15" s="2678">
        <v>168</v>
      </c>
      <c r="H15" s="2678">
        <v>189</v>
      </c>
      <c r="I15" s="2678">
        <v>194</v>
      </c>
      <c r="J15" s="2678">
        <v>170</v>
      </c>
      <c r="K15" s="2678">
        <v>193</v>
      </c>
    </row>
    <row r="16" spans="1:11" ht="18" customHeight="1">
      <c r="A16" s="2676" t="s">
        <v>4058</v>
      </c>
      <c r="B16" s="2678">
        <v>31</v>
      </c>
      <c r="C16" s="2678">
        <v>24</v>
      </c>
      <c r="D16" s="2678">
        <v>35</v>
      </c>
      <c r="E16" s="2678">
        <v>64</v>
      </c>
      <c r="F16" s="2678">
        <v>37</v>
      </c>
      <c r="G16" s="2678">
        <v>24</v>
      </c>
      <c r="H16" s="2678">
        <v>59</v>
      </c>
      <c r="I16" s="2678">
        <v>55</v>
      </c>
      <c r="J16" s="2678">
        <v>40</v>
      </c>
      <c r="K16" s="2678">
        <v>37</v>
      </c>
    </row>
    <row r="17" spans="1:254" ht="18" customHeight="1">
      <c r="A17" s="2676" t="s">
        <v>4059</v>
      </c>
      <c r="B17" s="2678">
        <v>4</v>
      </c>
      <c r="C17" s="2678">
        <v>2</v>
      </c>
      <c r="D17" s="2678">
        <v>9</v>
      </c>
      <c r="E17" s="2678">
        <v>8</v>
      </c>
      <c r="F17" s="2678">
        <v>6</v>
      </c>
      <c r="G17" s="2678">
        <v>9</v>
      </c>
      <c r="H17" s="2678">
        <v>2</v>
      </c>
      <c r="I17" s="2678">
        <v>3</v>
      </c>
      <c r="J17" s="2678">
        <v>12</v>
      </c>
      <c r="K17" s="2678">
        <v>10</v>
      </c>
    </row>
    <row r="18" spans="1:254" ht="18" customHeight="1">
      <c r="A18" s="2676" t="s">
        <v>4060</v>
      </c>
      <c r="B18" s="2678">
        <v>0</v>
      </c>
      <c r="C18" s="2678">
        <v>0</v>
      </c>
      <c r="D18" s="2678">
        <v>1</v>
      </c>
      <c r="E18" s="2678">
        <v>0</v>
      </c>
      <c r="F18" s="2678">
        <v>2</v>
      </c>
      <c r="G18" s="2678">
        <v>2</v>
      </c>
      <c r="H18" s="2678">
        <v>1</v>
      </c>
      <c r="I18" s="2678">
        <v>0</v>
      </c>
      <c r="J18" s="2678">
        <v>4</v>
      </c>
      <c r="K18" s="2678">
        <v>3</v>
      </c>
    </row>
    <row r="19" spans="1:254" ht="18" customHeight="1">
      <c r="A19" s="2676" t="s">
        <v>4056</v>
      </c>
      <c r="B19" s="2678">
        <v>3</v>
      </c>
      <c r="C19" s="2678">
        <v>0</v>
      </c>
      <c r="D19" s="2678">
        <v>2</v>
      </c>
      <c r="E19" s="2678">
        <v>5</v>
      </c>
      <c r="F19" s="2678">
        <v>1</v>
      </c>
      <c r="G19" s="2678">
        <v>3</v>
      </c>
      <c r="H19" s="2678">
        <v>0</v>
      </c>
      <c r="I19" s="2678">
        <v>1</v>
      </c>
      <c r="J19" s="2678">
        <v>4</v>
      </c>
      <c r="K19" s="2678">
        <v>1</v>
      </c>
    </row>
    <row r="20" spans="1:254" ht="18" customHeight="1">
      <c r="A20" s="2676" t="s">
        <v>4061</v>
      </c>
      <c r="B20" s="2678">
        <v>1</v>
      </c>
      <c r="C20" s="2678">
        <v>2</v>
      </c>
      <c r="D20" s="2678">
        <v>6</v>
      </c>
      <c r="E20" s="2678">
        <v>3</v>
      </c>
      <c r="F20" s="2678">
        <v>3</v>
      </c>
      <c r="G20" s="2678">
        <v>4</v>
      </c>
      <c r="H20" s="2678">
        <v>1</v>
      </c>
      <c r="I20" s="2678">
        <v>2</v>
      </c>
      <c r="J20" s="2678">
        <v>4</v>
      </c>
      <c r="K20" s="2678">
        <v>6</v>
      </c>
    </row>
    <row r="21" spans="1:254" ht="18" customHeight="1">
      <c r="A21" s="2679" t="s">
        <v>4062</v>
      </c>
      <c r="B21" s="2678">
        <v>11</v>
      </c>
      <c r="C21" s="2678">
        <v>27</v>
      </c>
      <c r="D21" s="2678">
        <v>16</v>
      </c>
      <c r="E21" s="2678">
        <v>16</v>
      </c>
      <c r="F21" s="2678">
        <v>24</v>
      </c>
      <c r="G21" s="2678">
        <v>13</v>
      </c>
      <c r="H21" s="2678">
        <v>22</v>
      </c>
      <c r="I21" s="2678">
        <v>13</v>
      </c>
      <c r="J21" s="2678">
        <v>17</v>
      </c>
      <c r="K21" s="2678">
        <v>14</v>
      </c>
      <c r="BS21" s="2680"/>
      <c r="BV21" s="2680"/>
    </row>
    <row r="22" spans="1:254" ht="18" customHeight="1">
      <c r="A22" s="2676" t="s">
        <v>4052</v>
      </c>
      <c r="B22" s="2678">
        <v>243</v>
      </c>
      <c r="C22" s="2678">
        <v>206</v>
      </c>
      <c r="D22" s="2678">
        <v>270</v>
      </c>
      <c r="E22" s="2678">
        <v>366</v>
      </c>
      <c r="F22" s="2678">
        <v>381</v>
      </c>
      <c r="G22" s="2678">
        <v>335</v>
      </c>
      <c r="H22" s="2678">
        <v>341</v>
      </c>
      <c r="I22" s="2678">
        <v>282</v>
      </c>
      <c r="J22" s="2678">
        <v>407</v>
      </c>
      <c r="K22" s="2678">
        <v>302</v>
      </c>
      <c r="BS22" s="2680"/>
      <c r="BV22" s="2680"/>
    </row>
    <row r="23" spans="1:254" ht="18" customHeight="1">
      <c r="A23" s="2676" t="s">
        <v>4063</v>
      </c>
      <c r="B23" s="2678">
        <v>33</v>
      </c>
      <c r="C23" s="2678">
        <v>20</v>
      </c>
      <c r="D23" s="2678">
        <v>32</v>
      </c>
      <c r="E23" s="2678">
        <v>47</v>
      </c>
      <c r="F23" s="2678">
        <v>45</v>
      </c>
      <c r="G23" s="2678">
        <v>33</v>
      </c>
      <c r="H23" s="2678">
        <v>59</v>
      </c>
      <c r="I23" s="2678">
        <v>53</v>
      </c>
      <c r="J23" s="2678">
        <v>61</v>
      </c>
      <c r="K23" s="2678">
        <v>59</v>
      </c>
      <c r="BS23" s="2680"/>
      <c r="BV23" s="2680"/>
    </row>
    <row r="24" spans="1:254" s="2671" customFormat="1" ht="18" customHeight="1">
      <c r="A24" s="2676" t="s">
        <v>4064</v>
      </c>
      <c r="B24" s="2678">
        <v>180</v>
      </c>
      <c r="C24" s="2678">
        <v>143</v>
      </c>
      <c r="D24" s="2678">
        <v>192</v>
      </c>
      <c r="E24" s="2678">
        <v>275</v>
      </c>
      <c r="F24" s="2678">
        <v>288</v>
      </c>
      <c r="G24" s="2678">
        <v>262</v>
      </c>
      <c r="H24" s="2678">
        <v>244</v>
      </c>
      <c r="I24" s="2678">
        <v>200</v>
      </c>
      <c r="J24" s="2678">
        <v>303</v>
      </c>
      <c r="K24" s="2678">
        <v>210</v>
      </c>
      <c r="L24" s="2680"/>
      <c r="M24" s="2680"/>
      <c r="N24" s="2680"/>
      <c r="O24" s="2680"/>
      <c r="P24" s="2680"/>
      <c r="Q24" s="2680"/>
      <c r="R24" s="2680"/>
      <c r="S24" s="2680"/>
      <c r="T24" s="2680"/>
      <c r="U24" s="2680"/>
      <c r="V24" s="2680"/>
      <c r="W24" s="2680"/>
      <c r="X24" s="2680"/>
      <c r="Y24" s="2680"/>
      <c r="Z24" s="2680"/>
      <c r="AA24" s="2680"/>
      <c r="AB24" s="2680"/>
      <c r="AC24" s="2680"/>
      <c r="AD24" s="2680"/>
      <c r="AE24" s="2680"/>
      <c r="AF24" s="2680"/>
      <c r="AG24" s="2680"/>
      <c r="AH24" s="2680"/>
      <c r="AI24" s="2680"/>
      <c r="AJ24" s="2680"/>
      <c r="AK24" s="2680"/>
      <c r="AL24" s="2680"/>
      <c r="AM24" s="2680"/>
      <c r="AN24" s="2680"/>
      <c r="AO24" s="2680"/>
      <c r="AP24" s="2680"/>
      <c r="AQ24" s="2680"/>
      <c r="AR24" s="2680"/>
      <c r="AS24" s="2680"/>
      <c r="AT24" s="2680"/>
      <c r="AU24" s="2680"/>
      <c r="AV24" s="2680"/>
      <c r="AW24" s="2680"/>
      <c r="AX24" s="2680"/>
      <c r="AY24" s="2680"/>
      <c r="AZ24" s="2680"/>
      <c r="BA24" s="2680"/>
      <c r="BB24" s="2680"/>
      <c r="BC24" s="2680"/>
      <c r="BD24" s="2680"/>
      <c r="BE24" s="2680"/>
      <c r="BF24" s="2680"/>
      <c r="BG24" s="2680"/>
      <c r="BH24" s="2680"/>
      <c r="BI24" s="2680"/>
      <c r="BJ24" s="2680"/>
      <c r="BK24" s="2680"/>
      <c r="BL24" s="2680"/>
      <c r="BM24" s="2680"/>
      <c r="BN24" s="2680"/>
      <c r="BO24" s="2680"/>
      <c r="BP24" s="2680"/>
      <c r="BQ24" s="2680"/>
      <c r="BR24" s="2680"/>
      <c r="BS24" s="2680"/>
      <c r="BT24" s="2680"/>
      <c r="BU24" s="2680"/>
      <c r="BV24" s="2680"/>
      <c r="BW24" s="2680"/>
      <c r="BX24" s="2680"/>
      <c r="BY24" s="2680"/>
      <c r="BZ24" s="2680"/>
      <c r="CA24" s="2680"/>
      <c r="CB24" s="2680"/>
      <c r="CC24" s="2680"/>
      <c r="CD24" s="2680"/>
      <c r="CE24" s="2680"/>
      <c r="CF24" s="2680"/>
      <c r="CG24" s="2680"/>
      <c r="CH24" s="2680"/>
      <c r="CI24" s="2680"/>
      <c r="CJ24" s="2680"/>
      <c r="CK24" s="2680"/>
      <c r="CL24" s="2680"/>
      <c r="CM24" s="2680"/>
      <c r="CN24" s="2680"/>
      <c r="CO24" s="2680"/>
      <c r="CP24" s="2680"/>
      <c r="CQ24" s="2680"/>
      <c r="CR24" s="2680"/>
      <c r="CS24" s="2680"/>
      <c r="CT24" s="2680"/>
      <c r="CU24" s="2680"/>
      <c r="CV24" s="2680"/>
      <c r="CW24" s="2680"/>
      <c r="CX24" s="2680"/>
      <c r="CY24" s="2680"/>
      <c r="CZ24" s="2680"/>
      <c r="DA24" s="2680"/>
      <c r="DB24" s="2680"/>
      <c r="DC24" s="2680"/>
      <c r="DD24" s="2680"/>
      <c r="DE24" s="2680"/>
      <c r="DF24" s="2680"/>
      <c r="DG24" s="2680"/>
      <c r="DH24" s="2680"/>
      <c r="DI24" s="2680"/>
      <c r="DJ24" s="2680"/>
      <c r="DK24" s="2680"/>
      <c r="DL24" s="2680"/>
      <c r="DM24" s="2680"/>
      <c r="DN24" s="2680"/>
      <c r="DO24" s="2680"/>
      <c r="DP24" s="2680"/>
      <c r="DQ24" s="2680"/>
      <c r="DR24" s="2680"/>
      <c r="DS24" s="2680"/>
      <c r="DT24" s="2680"/>
      <c r="DU24" s="2680"/>
      <c r="DV24" s="2680"/>
      <c r="DW24" s="2680"/>
      <c r="DX24" s="2680"/>
      <c r="DY24" s="2680"/>
      <c r="DZ24" s="2680"/>
      <c r="EA24" s="2680"/>
      <c r="EB24" s="2680"/>
      <c r="EC24" s="2680"/>
      <c r="ED24" s="2680"/>
      <c r="EE24" s="2680"/>
      <c r="EF24" s="2680"/>
      <c r="EG24" s="2680"/>
      <c r="EH24" s="2680"/>
      <c r="EI24" s="2680"/>
      <c r="EJ24" s="2680"/>
      <c r="EK24" s="2680"/>
      <c r="EL24" s="2680"/>
      <c r="EM24" s="2680"/>
      <c r="EN24" s="2680"/>
      <c r="EO24" s="2680"/>
      <c r="EP24" s="2680"/>
      <c r="EQ24" s="2680"/>
      <c r="ER24" s="2680"/>
      <c r="ES24" s="2680"/>
      <c r="ET24" s="2680"/>
      <c r="EU24" s="2680"/>
      <c r="EV24" s="2680"/>
      <c r="EW24" s="2680"/>
      <c r="EX24" s="2680"/>
      <c r="EY24" s="2680"/>
      <c r="EZ24" s="2680"/>
      <c r="FA24" s="2680"/>
      <c r="FB24" s="2680"/>
      <c r="FC24" s="2680"/>
      <c r="FD24" s="2680"/>
      <c r="FE24" s="2680"/>
      <c r="FF24" s="2680"/>
      <c r="FG24" s="2680"/>
      <c r="FH24" s="2680"/>
      <c r="FI24" s="2680"/>
      <c r="FJ24" s="2680"/>
      <c r="FK24" s="2680"/>
      <c r="FL24" s="2680"/>
      <c r="FM24" s="2680"/>
      <c r="FN24" s="2680"/>
      <c r="FO24" s="2680"/>
      <c r="FP24" s="2680"/>
      <c r="FQ24" s="2680"/>
      <c r="FR24" s="2680"/>
      <c r="FS24" s="2680"/>
      <c r="FT24" s="2680"/>
      <c r="FU24" s="2680"/>
      <c r="FV24" s="2680"/>
      <c r="FW24" s="2680"/>
      <c r="FX24" s="2680"/>
      <c r="FY24" s="2680"/>
      <c r="FZ24" s="2680"/>
      <c r="GA24" s="2680"/>
      <c r="GB24" s="2680"/>
      <c r="GC24" s="2680"/>
      <c r="GD24" s="2680"/>
      <c r="GE24" s="2680"/>
      <c r="GF24" s="2680"/>
      <c r="GG24" s="2680"/>
      <c r="GH24" s="2680"/>
      <c r="GI24" s="2680"/>
      <c r="GJ24" s="2680"/>
      <c r="GK24" s="2680"/>
      <c r="GL24" s="2680"/>
      <c r="GM24" s="2680"/>
      <c r="GN24" s="2680"/>
      <c r="GO24" s="2680"/>
      <c r="GP24" s="2680"/>
      <c r="GQ24" s="2680"/>
      <c r="GR24" s="2680"/>
      <c r="GS24" s="2680"/>
      <c r="GT24" s="2680"/>
      <c r="GU24" s="2680"/>
      <c r="GV24" s="2680"/>
      <c r="GW24" s="2680"/>
      <c r="GX24" s="2680"/>
      <c r="GY24" s="2680"/>
      <c r="GZ24" s="2680"/>
      <c r="HA24" s="2680"/>
      <c r="HB24" s="2680"/>
      <c r="HC24" s="2680"/>
      <c r="HD24" s="2680"/>
      <c r="HE24" s="2680"/>
      <c r="HF24" s="2680"/>
      <c r="HG24" s="2680"/>
      <c r="HH24" s="2680"/>
      <c r="HI24" s="2680"/>
      <c r="HJ24" s="2680"/>
      <c r="HK24" s="2680"/>
      <c r="HL24" s="2680"/>
      <c r="HM24" s="2680"/>
      <c r="HN24" s="2680"/>
      <c r="HO24" s="2680"/>
      <c r="HP24" s="2680"/>
      <c r="HQ24" s="2680"/>
      <c r="HR24" s="2680"/>
      <c r="HS24" s="2680"/>
      <c r="HT24" s="2680"/>
      <c r="HU24" s="2680"/>
      <c r="HV24" s="2680"/>
      <c r="HW24" s="2680"/>
      <c r="HX24" s="2680"/>
      <c r="HY24" s="2680"/>
      <c r="HZ24" s="2680"/>
      <c r="IA24" s="2680"/>
      <c r="IB24" s="2680"/>
      <c r="IC24" s="2680"/>
      <c r="ID24" s="2680"/>
      <c r="IE24" s="2680"/>
      <c r="IF24" s="2680"/>
      <c r="IG24" s="2680"/>
      <c r="IH24" s="2680"/>
      <c r="II24" s="2680"/>
      <c r="IJ24" s="2680"/>
      <c r="IK24" s="2680"/>
      <c r="IL24" s="2680"/>
      <c r="IM24" s="2680"/>
      <c r="IN24" s="2680"/>
      <c r="IO24" s="2680"/>
      <c r="IP24" s="2680"/>
      <c r="IQ24" s="2680"/>
      <c r="IR24" s="2680"/>
      <c r="IS24" s="2680"/>
      <c r="IT24" s="2680"/>
    </row>
    <row r="25" spans="1:254" s="2671" customFormat="1" ht="18" customHeight="1">
      <c r="A25" s="2676" t="s">
        <v>4065</v>
      </c>
      <c r="B25" s="2677">
        <v>30</v>
      </c>
      <c r="C25" s="2677">
        <v>43</v>
      </c>
      <c r="D25" s="2677">
        <v>46</v>
      </c>
      <c r="E25" s="2677">
        <v>44</v>
      </c>
      <c r="F25" s="2677">
        <v>48</v>
      </c>
      <c r="G25" s="2677">
        <v>40</v>
      </c>
      <c r="H25" s="2677">
        <v>38</v>
      </c>
      <c r="I25" s="2677">
        <v>29</v>
      </c>
      <c r="J25" s="2677">
        <v>43</v>
      </c>
      <c r="K25" s="2677">
        <v>33</v>
      </c>
      <c r="L25" s="2680"/>
      <c r="M25" s="2680"/>
      <c r="N25" s="2680"/>
      <c r="O25" s="2680"/>
      <c r="P25" s="2680"/>
      <c r="Q25" s="2680"/>
      <c r="R25" s="2680"/>
      <c r="S25" s="2680"/>
      <c r="T25" s="2680"/>
      <c r="U25" s="2680"/>
      <c r="V25" s="2680"/>
      <c r="W25" s="2680"/>
      <c r="X25" s="2680"/>
      <c r="Y25" s="2680"/>
      <c r="Z25" s="2680"/>
      <c r="AA25" s="2680"/>
      <c r="AB25" s="2680"/>
      <c r="AC25" s="2680"/>
      <c r="AD25" s="2680"/>
      <c r="AE25" s="2680"/>
      <c r="AF25" s="2680"/>
      <c r="AG25" s="2680"/>
      <c r="AH25" s="2680"/>
      <c r="AI25" s="2680"/>
      <c r="AJ25" s="2680"/>
      <c r="AK25" s="2680"/>
      <c r="AL25" s="2680"/>
      <c r="AM25" s="2680"/>
      <c r="AN25" s="2680"/>
      <c r="AO25" s="2680"/>
      <c r="AP25" s="2680"/>
      <c r="AQ25" s="2680"/>
      <c r="AR25" s="2680"/>
      <c r="AS25" s="2680"/>
      <c r="AT25" s="2680"/>
      <c r="AU25" s="2680"/>
      <c r="AV25" s="2680"/>
      <c r="AW25" s="2680"/>
      <c r="AX25" s="2680"/>
      <c r="AY25" s="2680"/>
      <c r="AZ25" s="2680"/>
      <c r="BA25" s="2680"/>
      <c r="BB25" s="2680"/>
      <c r="BC25" s="2680"/>
      <c r="BD25" s="2680"/>
      <c r="BE25" s="2680"/>
      <c r="BF25" s="2680"/>
      <c r="BG25" s="2680"/>
      <c r="BH25" s="2680"/>
      <c r="BI25" s="2680"/>
      <c r="BJ25" s="2680"/>
      <c r="BK25" s="2680"/>
      <c r="BL25" s="2680"/>
      <c r="BM25" s="2680"/>
      <c r="BN25" s="2680"/>
      <c r="BO25" s="2680"/>
      <c r="BP25" s="2680"/>
      <c r="BQ25" s="2680"/>
      <c r="BR25" s="2680"/>
      <c r="BS25" s="2680"/>
      <c r="BT25" s="2680"/>
      <c r="BU25" s="2680"/>
      <c r="BV25" s="2680"/>
      <c r="BW25" s="2680"/>
      <c r="BX25" s="2680"/>
      <c r="BY25" s="2680"/>
      <c r="BZ25" s="2680"/>
      <c r="CA25" s="2680"/>
      <c r="CB25" s="2680"/>
      <c r="CC25" s="2680"/>
      <c r="CD25" s="2680"/>
      <c r="CE25" s="2680"/>
      <c r="CF25" s="2680"/>
      <c r="CG25" s="2680"/>
      <c r="CH25" s="2680"/>
      <c r="CI25" s="2680"/>
      <c r="CJ25" s="2680"/>
      <c r="CK25" s="2680"/>
      <c r="CL25" s="2680"/>
      <c r="CM25" s="2680"/>
      <c r="CN25" s="2680"/>
      <c r="CO25" s="2680"/>
      <c r="CP25" s="2680"/>
      <c r="CQ25" s="2680"/>
      <c r="CR25" s="2680"/>
      <c r="CS25" s="2680"/>
      <c r="CT25" s="2680"/>
      <c r="CU25" s="2680"/>
      <c r="CV25" s="2680"/>
      <c r="CW25" s="2680"/>
      <c r="CX25" s="2680"/>
      <c r="CY25" s="2680"/>
      <c r="CZ25" s="2680"/>
      <c r="DA25" s="2680"/>
      <c r="DB25" s="2680"/>
      <c r="DC25" s="2680"/>
      <c r="DD25" s="2680"/>
      <c r="DE25" s="2680"/>
      <c r="DF25" s="2680"/>
      <c r="DG25" s="2680"/>
      <c r="DH25" s="2680"/>
      <c r="DI25" s="2680"/>
      <c r="DJ25" s="2680"/>
      <c r="DK25" s="2680"/>
      <c r="DL25" s="2680"/>
      <c r="DM25" s="2680"/>
      <c r="DN25" s="2680"/>
      <c r="DO25" s="2680"/>
      <c r="DP25" s="2680"/>
      <c r="DQ25" s="2680"/>
      <c r="DR25" s="2680"/>
      <c r="DS25" s="2680"/>
      <c r="DT25" s="2680"/>
      <c r="DU25" s="2680"/>
      <c r="DV25" s="2680"/>
      <c r="DW25" s="2680"/>
      <c r="DX25" s="2680"/>
      <c r="DY25" s="2680"/>
      <c r="DZ25" s="2680"/>
      <c r="EA25" s="2680"/>
      <c r="EB25" s="2680"/>
      <c r="EC25" s="2680"/>
      <c r="ED25" s="2680"/>
      <c r="EE25" s="2680"/>
      <c r="EF25" s="2680"/>
      <c r="EG25" s="2680"/>
      <c r="EH25" s="2680"/>
      <c r="EI25" s="2680"/>
      <c r="EJ25" s="2680"/>
      <c r="EK25" s="2680"/>
      <c r="EL25" s="2680"/>
      <c r="EM25" s="2680"/>
      <c r="EN25" s="2680"/>
      <c r="EO25" s="2680"/>
      <c r="EP25" s="2680"/>
      <c r="EQ25" s="2680"/>
      <c r="ER25" s="2680"/>
      <c r="ES25" s="2680"/>
      <c r="ET25" s="2680"/>
      <c r="EU25" s="2680"/>
      <c r="EV25" s="2680"/>
      <c r="EW25" s="2680"/>
      <c r="EX25" s="2680"/>
      <c r="EY25" s="2680"/>
      <c r="EZ25" s="2680"/>
      <c r="FA25" s="2680"/>
      <c r="FB25" s="2680"/>
      <c r="FC25" s="2680"/>
      <c r="FD25" s="2680"/>
      <c r="FE25" s="2680"/>
      <c r="FF25" s="2680"/>
      <c r="FG25" s="2680"/>
      <c r="FH25" s="2680"/>
      <c r="FI25" s="2680"/>
      <c r="FJ25" s="2680"/>
      <c r="FK25" s="2680"/>
      <c r="FL25" s="2680"/>
      <c r="FM25" s="2680"/>
      <c r="FN25" s="2680"/>
      <c r="FO25" s="2680"/>
      <c r="FP25" s="2680"/>
      <c r="FQ25" s="2680"/>
      <c r="FR25" s="2680"/>
      <c r="FS25" s="2680"/>
      <c r="FT25" s="2680"/>
      <c r="FU25" s="2680"/>
      <c r="FV25" s="2680"/>
      <c r="FW25" s="2680"/>
      <c r="FX25" s="2680"/>
      <c r="FY25" s="2680"/>
      <c r="FZ25" s="2680"/>
      <c r="GA25" s="2680"/>
      <c r="GB25" s="2680"/>
      <c r="GC25" s="2680"/>
      <c r="GD25" s="2680"/>
      <c r="GE25" s="2680"/>
      <c r="GF25" s="2680"/>
      <c r="GG25" s="2680"/>
      <c r="GH25" s="2680"/>
      <c r="GI25" s="2680"/>
      <c r="GJ25" s="2680"/>
      <c r="GK25" s="2680"/>
      <c r="GL25" s="2680"/>
      <c r="GM25" s="2680"/>
      <c r="GN25" s="2680"/>
      <c r="GO25" s="2680"/>
      <c r="GP25" s="2680"/>
      <c r="GQ25" s="2680"/>
      <c r="GR25" s="2680"/>
      <c r="GS25" s="2680"/>
      <c r="GT25" s="2680"/>
      <c r="GU25" s="2680"/>
      <c r="GV25" s="2680"/>
      <c r="GW25" s="2680"/>
      <c r="GX25" s="2680"/>
      <c r="GY25" s="2680"/>
      <c r="GZ25" s="2680"/>
      <c r="HA25" s="2680"/>
      <c r="HB25" s="2680"/>
      <c r="HC25" s="2680"/>
      <c r="HD25" s="2680"/>
      <c r="HE25" s="2680"/>
      <c r="HF25" s="2680"/>
      <c r="HG25" s="2680"/>
      <c r="HH25" s="2680"/>
      <c r="HI25" s="2680"/>
      <c r="HJ25" s="2680"/>
      <c r="HK25" s="2680"/>
      <c r="HL25" s="2680"/>
      <c r="HM25" s="2680"/>
      <c r="HN25" s="2680"/>
      <c r="HO25" s="2680"/>
      <c r="HP25" s="2680"/>
      <c r="HQ25" s="2680"/>
      <c r="HR25" s="2680"/>
      <c r="HS25" s="2680"/>
      <c r="HT25" s="2680"/>
      <c r="HU25" s="2680"/>
      <c r="HV25" s="2680"/>
      <c r="HW25" s="2680"/>
      <c r="HX25" s="2680"/>
      <c r="HY25" s="2680"/>
      <c r="HZ25" s="2680"/>
      <c r="IA25" s="2680"/>
      <c r="IB25" s="2680"/>
      <c r="IC25" s="2680"/>
      <c r="ID25" s="2680"/>
      <c r="IE25" s="2680"/>
      <c r="IF25" s="2680"/>
      <c r="IG25" s="2680"/>
      <c r="IH25" s="2680"/>
      <c r="II25" s="2680"/>
      <c r="IJ25" s="2680"/>
      <c r="IK25" s="2680"/>
      <c r="IL25" s="2680"/>
      <c r="IM25" s="2680"/>
      <c r="IN25" s="2680"/>
      <c r="IO25" s="2680"/>
      <c r="IP25" s="2680"/>
      <c r="IQ25" s="2680"/>
      <c r="IR25" s="2680"/>
      <c r="IS25" s="2680"/>
      <c r="IT25" s="2680"/>
    </row>
    <row r="26" spans="1:254" s="2680" customFormat="1" ht="6" customHeight="1">
      <c r="A26" s="2681"/>
      <c r="B26" s="2682"/>
      <c r="C26" s="2682"/>
      <c r="D26" s="2682"/>
      <c r="E26" s="2682"/>
      <c r="F26" s="2682"/>
      <c r="G26" s="2682"/>
      <c r="H26" s="2682"/>
      <c r="I26" s="2682"/>
      <c r="J26" s="2682"/>
      <c r="K26" s="2683"/>
    </row>
    <row r="27" spans="1:254" s="2684" customFormat="1" ht="14.25">
      <c r="A27" s="2684" t="s">
        <v>846</v>
      </c>
      <c r="AS27" s="2685"/>
      <c r="AT27" s="2685"/>
      <c r="AU27" s="2685"/>
      <c r="AV27" s="2685"/>
    </row>
  </sheetData>
  <mergeCells count="12">
    <mergeCell ref="J3:J4"/>
    <mergeCell ref="K3:K4"/>
    <mergeCell ref="A1:K1"/>
    <mergeCell ref="A3:A4"/>
    <mergeCell ref="B3:B4"/>
    <mergeCell ref="C3:C4"/>
    <mergeCell ref="D3:D4"/>
    <mergeCell ref="E3:E4"/>
    <mergeCell ref="F3:F4"/>
    <mergeCell ref="G3:G4"/>
    <mergeCell ref="H3:H4"/>
    <mergeCell ref="I3:I4"/>
  </mergeCells>
  <phoneticPr fontId="61" type="noConversion"/>
  <printOptions horizontalCentered="1" verticalCentered="1"/>
  <pageMargins left="0.70866141732283472" right="0.70866141732283472" top="0.74803149606299213" bottom="0.74803149606299213" header="0.31496062992125984" footer="0.31496062992125984"/>
  <pageSetup paperSize="11" scale="68" orientation="landscape" r:id="rId1"/>
  <headerFooter differentOddEven="1" scaleWithDoc="0">
    <oddHeader>&amp;L&amp;"Times New Roman,標準"&amp;8 107&amp;"標楷體,標準"年犯罪狀況及其分析</oddHeader>
    <evenHeader>&amp;R&amp;"標楷體,標準"&amp;8第五篇　犯罪被害趨勢、保護與補償</evenHead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AU16"/>
  <sheetViews>
    <sheetView showGridLines="0" workbookViewId="0">
      <selection activeCell="A155" sqref="A155:B155"/>
    </sheetView>
  </sheetViews>
  <sheetFormatPr defaultRowHeight="15.75"/>
  <cols>
    <col min="1" max="1" width="24.875" style="2673" customWidth="1"/>
    <col min="2" max="11" width="9.75" style="2673" customWidth="1"/>
    <col min="12" max="256" width="9" style="2673"/>
    <col min="257" max="257" width="24.375" style="2673" customWidth="1"/>
    <col min="258" max="267" width="9.75" style="2673" customWidth="1"/>
    <col min="268" max="512" width="9" style="2673"/>
    <col min="513" max="513" width="24.375" style="2673" customWidth="1"/>
    <col min="514" max="523" width="9.75" style="2673" customWidth="1"/>
    <col min="524" max="768" width="9" style="2673"/>
    <col min="769" max="769" width="24.375" style="2673" customWidth="1"/>
    <col min="770" max="779" width="9.75" style="2673" customWidth="1"/>
    <col min="780" max="1024" width="9" style="2673"/>
    <col min="1025" max="1025" width="24.375" style="2673" customWidth="1"/>
    <col min="1026" max="1035" width="9.75" style="2673" customWidth="1"/>
    <col min="1036" max="1280" width="9" style="2673"/>
    <col min="1281" max="1281" width="24.375" style="2673" customWidth="1"/>
    <col min="1282" max="1291" width="9.75" style="2673" customWidth="1"/>
    <col min="1292" max="1536" width="9" style="2673"/>
    <col min="1537" max="1537" width="24.375" style="2673" customWidth="1"/>
    <col min="1538" max="1547" width="9.75" style="2673" customWidth="1"/>
    <col min="1548" max="1792" width="9" style="2673"/>
    <col min="1793" max="1793" width="24.375" style="2673" customWidth="1"/>
    <col min="1794" max="1803" width="9.75" style="2673" customWidth="1"/>
    <col min="1804" max="2048" width="9" style="2673"/>
    <col min="2049" max="2049" width="24.375" style="2673" customWidth="1"/>
    <col min="2050" max="2059" width="9.75" style="2673" customWidth="1"/>
    <col min="2060" max="2304" width="9" style="2673"/>
    <col min="2305" max="2305" width="24.375" style="2673" customWidth="1"/>
    <col min="2306" max="2315" width="9.75" style="2673" customWidth="1"/>
    <col min="2316" max="2560" width="9" style="2673"/>
    <col min="2561" max="2561" width="24.375" style="2673" customWidth="1"/>
    <col min="2562" max="2571" width="9.75" style="2673" customWidth="1"/>
    <col min="2572" max="2816" width="9" style="2673"/>
    <col min="2817" max="2817" width="24.375" style="2673" customWidth="1"/>
    <col min="2818" max="2827" width="9.75" style="2673" customWidth="1"/>
    <col min="2828" max="3072" width="9" style="2673"/>
    <col min="3073" max="3073" width="24.375" style="2673" customWidth="1"/>
    <col min="3074" max="3083" width="9.75" style="2673" customWidth="1"/>
    <col min="3084" max="3328" width="9" style="2673"/>
    <col min="3329" max="3329" width="24.375" style="2673" customWidth="1"/>
    <col min="3330" max="3339" width="9.75" style="2673" customWidth="1"/>
    <col min="3340" max="3584" width="9" style="2673"/>
    <col min="3585" max="3585" width="24.375" style="2673" customWidth="1"/>
    <col min="3586" max="3595" width="9.75" style="2673" customWidth="1"/>
    <col min="3596" max="3840" width="9" style="2673"/>
    <col min="3841" max="3841" width="24.375" style="2673" customWidth="1"/>
    <col min="3842" max="3851" width="9.75" style="2673" customWidth="1"/>
    <col min="3852" max="4096" width="9" style="2673"/>
    <col min="4097" max="4097" width="24.375" style="2673" customWidth="1"/>
    <col min="4098" max="4107" width="9.75" style="2673" customWidth="1"/>
    <col min="4108" max="4352" width="9" style="2673"/>
    <col min="4353" max="4353" width="24.375" style="2673" customWidth="1"/>
    <col min="4354" max="4363" width="9.75" style="2673" customWidth="1"/>
    <col min="4364" max="4608" width="9" style="2673"/>
    <col min="4609" max="4609" width="24.375" style="2673" customWidth="1"/>
    <col min="4610" max="4619" width="9.75" style="2673" customWidth="1"/>
    <col min="4620" max="4864" width="9" style="2673"/>
    <col min="4865" max="4865" width="24.375" style="2673" customWidth="1"/>
    <col min="4866" max="4875" width="9.75" style="2673" customWidth="1"/>
    <col min="4876" max="5120" width="9" style="2673"/>
    <col min="5121" max="5121" width="24.375" style="2673" customWidth="1"/>
    <col min="5122" max="5131" width="9.75" style="2673" customWidth="1"/>
    <col min="5132" max="5376" width="9" style="2673"/>
    <col min="5377" max="5377" width="24.375" style="2673" customWidth="1"/>
    <col min="5378" max="5387" width="9.75" style="2673" customWidth="1"/>
    <col min="5388" max="5632" width="9" style="2673"/>
    <col min="5633" max="5633" width="24.375" style="2673" customWidth="1"/>
    <col min="5634" max="5643" width="9.75" style="2673" customWidth="1"/>
    <col min="5644" max="5888" width="9" style="2673"/>
    <col min="5889" max="5889" width="24.375" style="2673" customWidth="1"/>
    <col min="5890" max="5899" width="9.75" style="2673" customWidth="1"/>
    <col min="5900" max="6144" width="9" style="2673"/>
    <col min="6145" max="6145" width="24.375" style="2673" customWidth="1"/>
    <col min="6146" max="6155" width="9.75" style="2673" customWidth="1"/>
    <col min="6156" max="6400" width="9" style="2673"/>
    <col min="6401" max="6401" width="24.375" style="2673" customWidth="1"/>
    <col min="6402" max="6411" width="9.75" style="2673" customWidth="1"/>
    <col min="6412" max="6656" width="9" style="2673"/>
    <col min="6657" max="6657" width="24.375" style="2673" customWidth="1"/>
    <col min="6658" max="6667" width="9.75" style="2673" customWidth="1"/>
    <col min="6668" max="6912" width="9" style="2673"/>
    <col min="6913" max="6913" width="24.375" style="2673" customWidth="1"/>
    <col min="6914" max="6923" width="9.75" style="2673" customWidth="1"/>
    <col min="6924" max="7168" width="9" style="2673"/>
    <col min="7169" max="7169" width="24.375" style="2673" customWidth="1"/>
    <col min="7170" max="7179" width="9.75" style="2673" customWidth="1"/>
    <col min="7180" max="7424" width="9" style="2673"/>
    <col min="7425" max="7425" width="24.375" style="2673" customWidth="1"/>
    <col min="7426" max="7435" width="9.75" style="2673" customWidth="1"/>
    <col min="7436" max="7680" width="9" style="2673"/>
    <col min="7681" max="7681" width="24.375" style="2673" customWidth="1"/>
    <col min="7682" max="7691" width="9.75" style="2673" customWidth="1"/>
    <col min="7692" max="7936" width="9" style="2673"/>
    <col min="7937" max="7937" width="24.375" style="2673" customWidth="1"/>
    <col min="7938" max="7947" width="9.75" style="2673" customWidth="1"/>
    <col min="7948" max="8192" width="9" style="2673"/>
    <col min="8193" max="8193" width="24.375" style="2673" customWidth="1"/>
    <col min="8194" max="8203" width="9.75" style="2673" customWidth="1"/>
    <col min="8204" max="8448" width="9" style="2673"/>
    <col min="8449" max="8449" width="24.375" style="2673" customWidth="1"/>
    <col min="8450" max="8459" width="9.75" style="2673" customWidth="1"/>
    <col min="8460" max="8704" width="9" style="2673"/>
    <col min="8705" max="8705" width="24.375" style="2673" customWidth="1"/>
    <col min="8706" max="8715" width="9.75" style="2673" customWidth="1"/>
    <col min="8716" max="8960" width="9" style="2673"/>
    <col min="8961" max="8961" width="24.375" style="2673" customWidth="1"/>
    <col min="8962" max="8971" width="9.75" style="2673" customWidth="1"/>
    <col min="8972" max="9216" width="9" style="2673"/>
    <col min="9217" max="9217" width="24.375" style="2673" customWidth="1"/>
    <col min="9218" max="9227" width="9.75" style="2673" customWidth="1"/>
    <col min="9228" max="9472" width="9" style="2673"/>
    <col min="9473" max="9473" width="24.375" style="2673" customWidth="1"/>
    <col min="9474" max="9483" width="9.75" style="2673" customWidth="1"/>
    <col min="9484" max="9728" width="9" style="2673"/>
    <col min="9729" max="9729" width="24.375" style="2673" customWidth="1"/>
    <col min="9730" max="9739" width="9.75" style="2673" customWidth="1"/>
    <col min="9740" max="9984" width="9" style="2673"/>
    <col min="9985" max="9985" width="24.375" style="2673" customWidth="1"/>
    <col min="9986" max="9995" width="9.75" style="2673" customWidth="1"/>
    <col min="9996" max="10240" width="9" style="2673"/>
    <col min="10241" max="10241" width="24.375" style="2673" customWidth="1"/>
    <col min="10242" max="10251" width="9.75" style="2673" customWidth="1"/>
    <col min="10252" max="10496" width="9" style="2673"/>
    <col min="10497" max="10497" width="24.375" style="2673" customWidth="1"/>
    <col min="10498" max="10507" width="9.75" style="2673" customWidth="1"/>
    <col min="10508" max="10752" width="9" style="2673"/>
    <col min="10753" max="10753" width="24.375" style="2673" customWidth="1"/>
    <col min="10754" max="10763" width="9.75" style="2673" customWidth="1"/>
    <col min="10764" max="11008" width="9" style="2673"/>
    <col min="11009" max="11009" width="24.375" style="2673" customWidth="1"/>
    <col min="11010" max="11019" width="9.75" style="2673" customWidth="1"/>
    <col min="11020" max="11264" width="9" style="2673"/>
    <col min="11265" max="11265" width="24.375" style="2673" customWidth="1"/>
    <col min="11266" max="11275" width="9.75" style="2673" customWidth="1"/>
    <col min="11276" max="11520" width="9" style="2673"/>
    <col min="11521" max="11521" width="24.375" style="2673" customWidth="1"/>
    <col min="11522" max="11531" width="9.75" style="2673" customWidth="1"/>
    <col min="11532" max="11776" width="9" style="2673"/>
    <col min="11777" max="11777" width="24.375" style="2673" customWidth="1"/>
    <col min="11778" max="11787" width="9.75" style="2673" customWidth="1"/>
    <col min="11788" max="12032" width="9" style="2673"/>
    <col min="12033" max="12033" width="24.375" style="2673" customWidth="1"/>
    <col min="12034" max="12043" width="9.75" style="2673" customWidth="1"/>
    <col min="12044" max="12288" width="9" style="2673"/>
    <col min="12289" max="12289" width="24.375" style="2673" customWidth="1"/>
    <col min="12290" max="12299" width="9.75" style="2673" customWidth="1"/>
    <col min="12300" max="12544" width="9" style="2673"/>
    <col min="12545" max="12545" width="24.375" style="2673" customWidth="1"/>
    <col min="12546" max="12555" width="9.75" style="2673" customWidth="1"/>
    <col min="12556" max="12800" width="9" style="2673"/>
    <col min="12801" max="12801" width="24.375" style="2673" customWidth="1"/>
    <col min="12802" max="12811" width="9.75" style="2673" customWidth="1"/>
    <col min="12812" max="13056" width="9" style="2673"/>
    <col min="13057" max="13057" width="24.375" style="2673" customWidth="1"/>
    <col min="13058" max="13067" width="9.75" style="2673" customWidth="1"/>
    <col min="13068" max="13312" width="9" style="2673"/>
    <col min="13313" max="13313" width="24.375" style="2673" customWidth="1"/>
    <col min="13314" max="13323" width="9.75" style="2673" customWidth="1"/>
    <col min="13324" max="13568" width="9" style="2673"/>
    <col min="13569" max="13569" width="24.375" style="2673" customWidth="1"/>
    <col min="13570" max="13579" width="9.75" style="2673" customWidth="1"/>
    <col min="13580" max="13824" width="9" style="2673"/>
    <col min="13825" max="13825" width="24.375" style="2673" customWidth="1"/>
    <col min="13826" max="13835" width="9.75" style="2673" customWidth="1"/>
    <col min="13836" max="14080" width="9" style="2673"/>
    <col min="14081" max="14081" width="24.375" style="2673" customWidth="1"/>
    <col min="14082" max="14091" width="9.75" style="2673" customWidth="1"/>
    <col min="14092" max="14336" width="9" style="2673"/>
    <col min="14337" max="14337" width="24.375" style="2673" customWidth="1"/>
    <col min="14338" max="14347" width="9.75" style="2673" customWidth="1"/>
    <col min="14348" max="14592" width="9" style="2673"/>
    <col min="14593" max="14593" width="24.375" style="2673" customWidth="1"/>
    <col min="14594" max="14603" width="9.75" style="2673" customWidth="1"/>
    <col min="14604" max="14848" width="9" style="2673"/>
    <col min="14849" max="14849" width="24.375" style="2673" customWidth="1"/>
    <col min="14850" max="14859" width="9.75" style="2673" customWidth="1"/>
    <col min="14860" max="15104" width="9" style="2673"/>
    <col min="15105" max="15105" width="24.375" style="2673" customWidth="1"/>
    <col min="15106" max="15115" width="9.75" style="2673" customWidth="1"/>
    <col min="15116" max="15360" width="9" style="2673"/>
    <col min="15361" max="15361" width="24.375" style="2673" customWidth="1"/>
    <col min="15362" max="15371" width="9.75" style="2673" customWidth="1"/>
    <col min="15372" max="15616" width="9" style="2673"/>
    <col min="15617" max="15617" width="24.375" style="2673" customWidth="1"/>
    <col min="15618" max="15627" width="9.75" style="2673" customWidth="1"/>
    <col min="15628" max="15872" width="9" style="2673"/>
    <col min="15873" max="15873" width="24.375" style="2673" customWidth="1"/>
    <col min="15874" max="15883" width="9.75" style="2673" customWidth="1"/>
    <col min="15884" max="16128" width="9" style="2673"/>
    <col min="16129" max="16129" width="24.375" style="2673" customWidth="1"/>
    <col min="16130" max="16139" width="9.75" style="2673" customWidth="1"/>
    <col min="16140" max="16384" width="9" style="2673"/>
  </cols>
  <sheetData>
    <row r="1" spans="1:47" s="2670" customFormat="1" ht="29.25" customHeight="1">
      <c r="A1" s="4123" t="s">
        <v>4066</v>
      </c>
      <c r="B1" s="4123"/>
      <c r="C1" s="4123"/>
      <c r="D1" s="4123"/>
      <c r="E1" s="4123"/>
      <c r="F1" s="4123"/>
      <c r="G1" s="4123"/>
      <c r="H1" s="4123"/>
      <c r="I1" s="4123"/>
      <c r="J1" s="4123"/>
      <c r="K1" s="4123"/>
    </row>
    <row r="2" spans="1:47" ht="22.7" customHeight="1">
      <c r="A2" s="2671"/>
      <c r="B2" s="2672"/>
      <c r="C2" s="2672"/>
      <c r="D2" s="2672"/>
      <c r="E2" s="2672"/>
      <c r="F2" s="2672"/>
      <c r="G2" s="2672"/>
      <c r="H2" s="2672"/>
      <c r="I2" s="4128" t="s">
        <v>4067</v>
      </c>
      <c r="J2" s="4128"/>
      <c r="K2" s="4128"/>
    </row>
    <row r="3" spans="1:47" ht="30.75" customHeight="1">
      <c r="A3" s="4124"/>
      <c r="B3" s="4124" t="s">
        <v>355</v>
      </c>
      <c r="C3" s="4121" t="s">
        <v>356</v>
      </c>
      <c r="D3" s="4121" t="s">
        <v>357</v>
      </c>
      <c r="E3" s="4121" t="s">
        <v>358</v>
      </c>
      <c r="F3" s="4121" t="s">
        <v>359</v>
      </c>
      <c r="G3" s="4121" t="s">
        <v>360</v>
      </c>
      <c r="H3" s="4121" t="s">
        <v>361</v>
      </c>
      <c r="I3" s="4121" t="s">
        <v>362</v>
      </c>
      <c r="J3" s="4121" t="s">
        <v>363</v>
      </c>
      <c r="K3" s="4121" t="s">
        <v>765</v>
      </c>
    </row>
    <row r="4" spans="1:47" ht="19.5" customHeight="1">
      <c r="A4" s="4125"/>
      <c r="B4" s="4129"/>
      <c r="C4" s="4122"/>
      <c r="D4" s="4122"/>
      <c r="E4" s="4122"/>
      <c r="F4" s="4122"/>
      <c r="G4" s="4122"/>
      <c r="H4" s="4122"/>
      <c r="I4" s="4122"/>
      <c r="J4" s="4122"/>
      <c r="K4" s="4122"/>
    </row>
    <row r="5" spans="1:47" ht="6" customHeight="1">
      <c r="A5" s="2686"/>
      <c r="B5" s="2687"/>
      <c r="C5" s="2687"/>
      <c r="D5" s="2687"/>
      <c r="E5" s="2687"/>
      <c r="F5" s="2687"/>
      <c r="G5" s="2687"/>
      <c r="H5" s="2687"/>
      <c r="I5" s="2687"/>
      <c r="J5" s="2687"/>
      <c r="K5" s="2687"/>
    </row>
    <row r="6" spans="1:47" s="2689" customFormat="1" ht="40.35" customHeight="1">
      <c r="A6" s="2676" t="s">
        <v>4068</v>
      </c>
      <c r="B6" s="2688"/>
      <c r="C6" s="2688"/>
      <c r="D6" s="2688"/>
      <c r="E6" s="2688"/>
      <c r="F6" s="2688"/>
      <c r="G6" s="2688"/>
      <c r="H6" s="2688"/>
      <c r="I6" s="2688"/>
      <c r="J6" s="2688"/>
      <c r="K6" s="2688"/>
    </row>
    <row r="7" spans="1:47" s="2689" customFormat="1" ht="40.35" customHeight="1">
      <c r="A7" s="2690" t="s">
        <v>4069</v>
      </c>
      <c r="B7" s="2688"/>
      <c r="C7" s="2688"/>
      <c r="D7" s="2688"/>
      <c r="E7" s="2688"/>
      <c r="F7" s="2688"/>
      <c r="G7" s="2688"/>
      <c r="H7" s="2688"/>
      <c r="I7" s="2688"/>
      <c r="J7" s="2688"/>
      <c r="K7" s="2688"/>
      <c r="O7" s="2691"/>
      <c r="P7" s="2691"/>
      <c r="Q7" s="2691"/>
    </row>
    <row r="8" spans="1:47" ht="40.35" customHeight="1">
      <c r="A8" s="2692" t="s">
        <v>4070</v>
      </c>
      <c r="B8" s="2693">
        <v>243</v>
      </c>
      <c r="C8" s="2693">
        <v>342</v>
      </c>
      <c r="D8" s="2693">
        <v>434</v>
      </c>
      <c r="E8" s="2693">
        <v>512</v>
      </c>
      <c r="F8" s="2693">
        <v>588</v>
      </c>
      <c r="G8" s="2693">
        <v>490</v>
      </c>
      <c r="H8" s="2693">
        <v>552</v>
      </c>
      <c r="I8" s="2693">
        <v>709</v>
      </c>
      <c r="J8" s="2694">
        <v>637</v>
      </c>
      <c r="K8" s="2693">
        <v>541</v>
      </c>
    </row>
    <row r="9" spans="1:47" ht="40.35" customHeight="1">
      <c r="A9" s="2692" t="s">
        <v>4071</v>
      </c>
      <c r="B9" s="2693">
        <v>319</v>
      </c>
      <c r="C9" s="2693">
        <v>434</v>
      </c>
      <c r="D9" s="2693">
        <v>505</v>
      </c>
      <c r="E9" s="2693">
        <v>650</v>
      </c>
      <c r="F9" s="2693">
        <v>751</v>
      </c>
      <c r="G9" s="2693">
        <v>588</v>
      </c>
      <c r="H9" s="2693">
        <v>652</v>
      </c>
      <c r="I9" s="2693">
        <v>934</v>
      </c>
      <c r="J9" s="2694">
        <v>726</v>
      </c>
      <c r="K9" s="2693">
        <v>658</v>
      </c>
    </row>
    <row r="10" spans="1:47" ht="40.35" customHeight="1">
      <c r="A10" s="2692" t="s">
        <v>4072</v>
      </c>
      <c r="B10" s="2693">
        <v>112547.147</v>
      </c>
      <c r="C10" s="2693">
        <v>149573.05600000001</v>
      </c>
      <c r="D10" s="2693">
        <v>177352.37299999999</v>
      </c>
      <c r="E10" s="2693">
        <v>243240.519</v>
      </c>
      <c r="F10" s="2693">
        <v>330961.16499999998</v>
      </c>
      <c r="G10" s="2693">
        <v>254860.16099999999</v>
      </c>
      <c r="H10" s="2693">
        <v>350698.17599999998</v>
      </c>
      <c r="I10" s="2693">
        <v>493346.83500000002</v>
      </c>
      <c r="J10" s="2694">
        <v>387535.951</v>
      </c>
      <c r="K10" s="2693">
        <v>304357.13900000002</v>
      </c>
    </row>
    <row r="11" spans="1:47" ht="40.35" customHeight="1">
      <c r="A11" s="2676" t="s">
        <v>4073</v>
      </c>
      <c r="B11" s="2695"/>
      <c r="C11" s="2695"/>
      <c r="D11" s="2695"/>
      <c r="E11" s="2695"/>
      <c r="F11" s="2695"/>
      <c r="G11" s="2695"/>
      <c r="H11" s="2695"/>
      <c r="I11" s="2695"/>
      <c r="J11" s="2695"/>
      <c r="K11" s="2696"/>
    </row>
    <row r="12" spans="1:47" ht="40.35" customHeight="1">
      <c r="A12" s="2690" t="s">
        <v>4074</v>
      </c>
      <c r="B12" s="2695"/>
      <c r="C12" s="2695"/>
      <c r="D12" s="2695"/>
      <c r="E12" s="2695"/>
      <c r="F12" s="2695"/>
      <c r="G12" s="2695"/>
      <c r="H12" s="2695"/>
      <c r="I12" s="2695"/>
      <c r="J12" s="2695"/>
      <c r="K12" s="2696"/>
    </row>
    <row r="13" spans="1:47" ht="40.35" customHeight="1">
      <c r="A13" s="2692" t="s">
        <v>4075</v>
      </c>
      <c r="B13" s="2693" t="s">
        <v>1</v>
      </c>
      <c r="C13" s="2693" t="s">
        <v>1</v>
      </c>
      <c r="D13" s="2693">
        <v>1</v>
      </c>
      <c r="E13" s="2693" t="s">
        <v>1</v>
      </c>
      <c r="F13" s="2693">
        <v>2</v>
      </c>
      <c r="G13" s="2693">
        <v>2</v>
      </c>
      <c r="H13" s="2693">
        <v>1</v>
      </c>
      <c r="I13" s="2693" t="s">
        <v>1</v>
      </c>
      <c r="J13" s="2693">
        <v>4</v>
      </c>
      <c r="K13" s="2693">
        <v>3</v>
      </c>
    </row>
    <row r="14" spans="1:47" ht="40.35" customHeight="1">
      <c r="A14" s="2692" t="s">
        <v>4076</v>
      </c>
      <c r="B14" s="2693" t="s">
        <v>1</v>
      </c>
      <c r="C14" s="2693" t="s">
        <v>1</v>
      </c>
      <c r="D14" s="2693">
        <v>578.76099999999997</v>
      </c>
      <c r="E14" s="2693" t="s">
        <v>1</v>
      </c>
      <c r="F14" s="2693">
        <v>823.16399999999999</v>
      </c>
      <c r="G14" s="2693">
        <v>272.24200000000002</v>
      </c>
      <c r="H14" s="2693">
        <v>200</v>
      </c>
      <c r="I14" s="2693" t="s">
        <v>1</v>
      </c>
      <c r="J14" s="2693">
        <v>1400</v>
      </c>
      <c r="K14" s="2693">
        <v>1000</v>
      </c>
    </row>
    <row r="15" spans="1:47" ht="6" customHeight="1">
      <c r="A15" s="2697"/>
      <c r="B15" s="2698"/>
      <c r="C15" s="2698"/>
      <c r="D15" s="2698"/>
      <c r="E15" s="2698"/>
      <c r="F15" s="2698"/>
      <c r="G15" s="2698"/>
      <c r="H15" s="2698"/>
      <c r="I15" s="2698"/>
      <c r="J15" s="2698"/>
      <c r="K15" s="2699"/>
    </row>
    <row r="16" spans="1:47">
      <c r="A16" s="2684" t="s">
        <v>1659</v>
      </c>
      <c r="AR16" s="2680"/>
      <c r="AS16" s="2680"/>
      <c r="AT16" s="2680"/>
      <c r="AU16" s="2680"/>
    </row>
  </sheetData>
  <mergeCells count="13">
    <mergeCell ref="I3:I4"/>
    <mergeCell ref="J3:J4"/>
    <mergeCell ref="K3:K4"/>
    <mergeCell ref="A1:K1"/>
    <mergeCell ref="I2:K2"/>
    <mergeCell ref="A3:A4"/>
    <mergeCell ref="B3:B4"/>
    <mergeCell ref="C3:C4"/>
    <mergeCell ref="D3:D4"/>
    <mergeCell ref="E3:E4"/>
    <mergeCell ref="F3:F4"/>
    <mergeCell ref="G3:G4"/>
    <mergeCell ref="H3:H4"/>
  </mergeCells>
  <phoneticPr fontId="61" type="noConversion"/>
  <printOptions horizontalCentered="1" verticalCentered="1"/>
  <pageMargins left="0.70866141732283472" right="0.70866141732283472" top="0.74803149606299213" bottom="0.74803149606299213" header="0.31496062992125984" footer="0.31496062992125984"/>
  <pageSetup paperSize="11" scale="67" orientation="landscape" r:id="rId1"/>
  <headerFooter differentOddEven="1" scaleWithDoc="0">
    <oddHeader>&amp;L&amp;"Times New Roman,標準"&amp;8 107&amp;"標楷體,標準"年犯罪狀況及其分析</oddHeader>
    <evenHeader>&amp;R&amp;"標楷體,標準"&amp;8第五篇　犯罪被害趨勢、保護與補償</evenHead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H19"/>
  <sheetViews>
    <sheetView showGridLines="0" workbookViewId="0">
      <selection activeCell="A155" sqref="A155:B155"/>
    </sheetView>
  </sheetViews>
  <sheetFormatPr defaultRowHeight="15.75"/>
  <cols>
    <col min="1" max="1" width="11.5" style="2673" customWidth="1"/>
    <col min="2" max="7" width="17.75" style="2673" customWidth="1"/>
    <col min="8" max="255" width="9" style="2673"/>
    <col min="256" max="256" width="11.5" style="2673" customWidth="1"/>
    <col min="257" max="257" width="3.125" style="2673" customWidth="1"/>
    <col min="258" max="263" width="17.75" style="2673" customWidth="1"/>
    <col min="264" max="511" width="9" style="2673"/>
    <col min="512" max="512" width="11.5" style="2673" customWidth="1"/>
    <col min="513" max="513" width="3.125" style="2673" customWidth="1"/>
    <col min="514" max="519" width="17.75" style="2673" customWidth="1"/>
    <col min="520" max="767" width="9" style="2673"/>
    <col min="768" max="768" width="11.5" style="2673" customWidth="1"/>
    <col min="769" max="769" width="3.125" style="2673" customWidth="1"/>
    <col min="770" max="775" width="17.75" style="2673" customWidth="1"/>
    <col min="776" max="1023" width="9" style="2673"/>
    <col min="1024" max="1024" width="11.5" style="2673" customWidth="1"/>
    <col min="1025" max="1025" width="3.125" style="2673" customWidth="1"/>
    <col min="1026" max="1031" width="17.75" style="2673" customWidth="1"/>
    <col min="1032" max="1279" width="9" style="2673"/>
    <col min="1280" max="1280" width="11.5" style="2673" customWidth="1"/>
    <col min="1281" max="1281" width="3.125" style="2673" customWidth="1"/>
    <col min="1282" max="1287" width="17.75" style="2673" customWidth="1"/>
    <col min="1288" max="1535" width="9" style="2673"/>
    <col min="1536" max="1536" width="11.5" style="2673" customWidth="1"/>
    <col min="1537" max="1537" width="3.125" style="2673" customWidth="1"/>
    <col min="1538" max="1543" width="17.75" style="2673" customWidth="1"/>
    <col min="1544" max="1791" width="9" style="2673"/>
    <col min="1792" max="1792" width="11.5" style="2673" customWidth="1"/>
    <col min="1793" max="1793" width="3.125" style="2673" customWidth="1"/>
    <col min="1794" max="1799" width="17.75" style="2673" customWidth="1"/>
    <col min="1800" max="2047" width="9" style="2673"/>
    <col min="2048" max="2048" width="11.5" style="2673" customWidth="1"/>
    <col min="2049" max="2049" width="3.125" style="2673" customWidth="1"/>
    <col min="2050" max="2055" width="17.75" style="2673" customWidth="1"/>
    <col min="2056" max="2303" width="9" style="2673"/>
    <col min="2304" max="2304" width="11.5" style="2673" customWidth="1"/>
    <col min="2305" max="2305" width="3.125" style="2673" customWidth="1"/>
    <col min="2306" max="2311" width="17.75" style="2673" customWidth="1"/>
    <col min="2312" max="2559" width="9" style="2673"/>
    <col min="2560" max="2560" width="11.5" style="2673" customWidth="1"/>
    <col min="2561" max="2561" width="3.125" style="2673" customWidth="1"/>
    <col min="2562" max="2567" width="17.75" style="2673" customWidth="1"/>
    <col min="2568" max="2815" width="9" style="2673"/>
    <col min="2816" max="2816" width="11.5" style="2673" customWidth="1"/>
    <col min="2817" max="2817" width="3.125" style="2673" customWidth="1"/>
    <col min="2818" max="2823" width="17.75" style="2673" customWidth="1"/>
    <col min="2824" max="3071" width="9" style="2673"/>
    <col min="3072" max="3072" width="11.5" style="2673" customWidth="1"/>
    <col min="3073" max="3073" width="3.125" style="2673" customWidth="1"/>
    <col min="3074" max="3079" width="17.75" style="2673" customWidth="1"/>
    <col min="3080" max="3327" width="9" style="2673"/>
    <col min="3328" max="3328" width="11.5" style="2673" customWidth="1"/>
    <col min="3329" max="3329" width="3.125" style="2673" customWidth="1"/>
    <col min="3330" max="3335" width="17.75" style="2673" customWidth="1"/>
    <col min="3336" max="3583" width="9" style="2673"/>
    <col min="3584" max="3584" width="11.5" style="2673" customWidth="1"/>
    <col min="3585" max="3585" width="3.125" style="2673" customWidth="1"/>
    <col min="3586" max="3591" width="17.75" style="2673" customWidth="1"/>
    <col min="3592" max="3839" width="9" style="2673"/>
    <col min="3840" max="3840" width="11.5" style="2673" customWidth="1"/>
    <col min="3841" max="3841" width="3.125" style="2673" customWidth="1"/>
    <col min="3842" max="3847" width="17.75" style="2673" customWidth="1"/>
    <col min="3848" max="4095" width="9" style="2673"/>
    <col min="4096" max="4096" width="11.5" style="2673" customWidth="1"/>
    <col min="4097" max="4097" width="3.125" style="2673" customWidth="1"/>
    <col min="4098" max="4103" width="17.75" style="2673" customWidth="1"/>
    <col min="4104" max="4351" width="9" style="2673"/>
    <col min="4352" max="4352" width="11.5" style="2673" customWidth="1"/>
    <col min="4353" max="4353" width="3.125" style="2673" customWidth="1"/>
    <col min="4354" max="4359" width="17.75" style="2673" customWidth="1"/>
    <col min="4360" max="4607" width="9" style="2673"/>
    <col min="4608" max="4608" width="11.5" style="2673" customWidth="1"/>
    <col min="4609" max="4609" width="3.125" style="2673" customWidth="1"/>
    <col min="4610" max="4615" width="17.75" style="2673" customWidth="1"/>
    <col min="4616" max="4863" width="9" style="2673"/>
    <col min="4864" max="4864" width="11.5" style="2673" customWidth="1"/>
    <col min="4865" max="4865" width="3.125" style="2673" customWidth="1"/>
    <col min="4866" max="4871" width="17.75" style="2673" customWidth="1"/>
    <col min="4872" max="5119" width="9" style="2673"/>
    <col min="5120" max="5120" width="11.5" style="2673" customWidth="1"/>
    <col min="5121" max="5121" width="3.125" style="2673" customWidth="1"/>
    <col min="5122" max="5127" width="17.75" style="2673" customWidth="1"/>
    <col min="5128" max="5375" width="9" style="2673"/>
    <col min="5376" max="5376" width="11.5" style="2673" customWidth="1"/>
    <col min="5377" max="5377" width="3.125" style="2673" customWidth="1"/>
    <col min="5378" max="5383" width="17.75" style="2673" customWidth="1"/>
    <col min="5384" max="5631" width="9" style="2673"/>
    <col min="5632" max="5632" width="11.5" style="2673" customWidth="1"/>
    <col min="5633" max="5633" width="3.125" style="2673" customWidth="1"/>
    <col min="5634" max="5639" width="17.75" style="2673" customWidth="1"/>
    <col min="5640" max="5887" width="9" style="2673"/>
    <col min="5888" max="5888" width="11.5" style="2673" customWidth="1"/>
    <col min="5889" max="5889" width="3.125" style="2673" customWidth="1"/>
    <col min="5890" max="5895" width="17.75" style="2673" customWidth="1"/>
    <col min="5896" max="6143" width="9" style="2673"/>
    <col min="6144" max="6144" width="11.5" style="2673" customWidth="1"/>
    <col min="6145" max="6145" width="3.125" style="2673" customWidth="1"/>
    <col min="6146" max="6151" width="17.75" style="2673" customWidth="1"/>
    <col min="6152" max="6399" width="9" style="2673"/>
    <col min="6400" max="6400" width="11.5" style="2673" customWidth="1"/>
    <col min="6401" max="6401" width="3.125" style="2673" customWidth="1"/>
    <col min="6402" max="6407" width="17.75" style="2673" customWidth="1"/>
    <col min="6408" max="6655" width="9" style="2673"/>
    <col min="6656" max="6656" width="11.5" style="2673" customWidth="1"/>
    <col min="6657" max="6657" width="3.125" style="2673" customWidth="1"/>
    <col min="6658" max="6663" width="17.75" style="2673" customWidth="1"/>
    <col min="6664" max="6911" width="9" style="2673"/>
    <col min="6912" max="6912" width="11.5" style="2673" customWidth="1"/>
    <col min="6913" max="6913" width="3.125" style="2673" customWidth="1"/>
    <col min="6914" max="6919" width="17.75" style="2673" customWidth="1"/>
    <col min="6920" max="7167" width="9" style="2673"/>
    <col min="7168" max="7168" width="11.5" style="2673" customWidth="1"/>
    <col min="7169" max="7169" width="3.125" style="2673" customWidth="1"/>
    <col min="7170" max="7175" width="17.75" style="2673" customWidth="1"/>
    <col min="7176" max="7423" width="9" style="2673"/>
    <col min="7424" max="7424" width="11.5" style="2673" customWidth="1"/>
    <col min="7425" max="7425" width="3.125" style="2673" customWidth="1"/>
    <col min="7426" max="7431" width="17.75" style="2673" customWidth="1"/>
    <col min="7432" max="7679" width="9" style="2673"/>
    <col min="7680" max="7680" width="11.5" style="2673" customWidth="1"/>
    <col min="7681" max="7681" width="3.125" style="2673" customWidth="1"/>
    <col min="7682" max="7687" width="17.75" style="2673" customWidth="1"/>
    <col min="7688" max="7935" width="9" style="2673"/>
    <col min="7936" max="7936" width="11.5" style="2673" customWidth="1"/>
    <col min="7937" max="7937" width="3.125" style="2673" customWidth="1"/>
    <col min="7938" max="7943" width="17.75" style="2673" customWidth="1"/>
    <col min="7944" max="8191" width="9" style="2673"/>
    <col min="8192" max="8192" width="11.5" style="2673" customWidth="1"/>
    <col min="8193" max="8193" width="3.125" style="2673" customWidth="1"/>
    <col min="8194" max="8199" width="17.75" style="2673" customWidth="1"/>
    <col min="8200" max="8447" width="9" style="2673"/>
    <col min="8448" max="8448" width="11.5" style="2673" customWidth="1"/>
    <col min="8449" max="8449" width="3.125" style="2673" customWidth="1"/>
    <col min="8450" max="8455" width="17.75" style="2673" customWidth="1"/>
    <col min="8456" max="8703" width="9" style="2673"/>
    <col min="8704" max="8704" width="11.5" style="2673" customWidth="1"/>
    <col min="8705" max="8705" width="3.125" style="2673" customWidth="1"/>
    <col min="8706" max="8711" width="17.75" style="2673" customWidth="1"/>
    <col min="8712" max="8959" width="9" style="2673"/>
    <col min="8960" max="8960" width="11.5" style="2673" customWidth="1"/>
    <col min="8961" max="8961" width="3.125" style="2673" customWidth="1"/>
    <col min="8962" max="8967" width="17.75" style="2673" customWidth="1"/>
    <col min="8968" max="9215" width="9" style="2673"/>
    <col min="9216" max="9216" width="11.5" style="2673" customWidth="1"/>
    <col min="9217" max="9217" width="3.125" style="2673" customWidth="1"/>
    <col min="9218" max="9223" width="17.75" style="2673" customWidth="1"/>
    <col min="9224" max="9471" width="9" style="2673"/>
    <col min="9472" max="9472" width="11.5" style="2673" customWidth="1"/>
    <col min="9473" max="9473" width="3.125" style="2673" customWidth="1"/>
    <col min="9474" max="9479" width="17.75" style="2673" customWidth="1"/>
    <col min="9480" max="9727" width="9" style="2673"/>
    <col min="9728" max="9728" width="11.5" style="2673" customWidth="1"/>
    <col min="9729" max="9729" width="3.125" style="2673" customWidth="1"/>
    <col min="9730" max="9735" width="17.75" style="2673" customWidth="1"/>
    <col min="9736" max="9983" width="9" style="2673"/>
    <col min="9984" max="9984" width="11.5" style="2673" customWidth="1"/>
    <col min="9985" max="9985" width="3.125" style="2673" customWidth="1"/>
    <col min="9986" max="9991" width="17.75" style="2673" customWidth="1"/>
    <col min="9992" max="10239" width="9" style="2673"/>
    <col min="10240" max="10240" width="11.5" style="2673" customWidth="1"/>
    <col min="10241" max="10241" width="3.125" style="2673" customWidth="1"/>
    <col min="10242" max="10247" width="17.75" style="2673" customWidth="1"/>
    <col min="10248" max="10495" width="9" style="2673"/>
    <col min="10496" max="10496" width="11.5" style="2673" customWidth="1"/>
    <col min="10497" max="10497" width="3.125" style="2673" customWidth="1"/>
    <col min="10498" max="10503" width="17.75" style="2673" customWidth="1"/>
    <col min="10504" max="10751" width="9" style="2673"/>
    <col min="10752" max="10752" width="11.5" style="2673" customWidth="1"/>
    <col min="10753" max="10753" width="3.125" style="2673" customWidth="1"/>
    <col min="10754" max="10759" width="17.75" style="2673" customWidth="1"/>
    <col min="10760" max="11007" width="9" style="2673"/>
    <col min="11008" max="11008" width="11.5" style="2673" customWidth="1"/>
    <col min="11009" max="11009" width="3.125" style="2673" customWidth="1"/>
    <col min="11010" max="11015" width="17.75" style="2673" customWidth="1"/>
    <col min="11016" max="11263" width="9" style="2673"/>
    <col min="11264" max="11264" width="11.5" style="2673" customWidth="1"/>
    <col min="11265" max="11265" width="3.125" style="2673" customWidth="1"/>
    <col min="11266" max="11271" width="17.75" style="2673" customWidth="1"/>
    <col min="11272" max="11519" width="9" style="2673"/>
    <col min="11520" max="11520" width="11.5" style="2673" customWidth="1"/>
    <col min="11521" max="11521" width="3.125" style="2673" customWidth="1"/>
    <col min="11522" max="11527" width="17.75" style="2673" customWidth="1"/>
    <col min="11528" max="11775" width="9" style="2673"/>
    <col min="11776" max="11776" width="11.5" style="2673" customWidth="1"/>
    <col min="11777" max="11777" width="3.125" style="2673" customWidth="1"/>
    <col min="11778" max="11783" width="17.75" style="2673" customWidth="1"/>
    <col min="11784" max="12031" width="9" style="2673"/>
    <col min="12032" max="12032" width="11.5" style="2673" customWidth="1"/>
    <col min="12033" max="12033" width="3.125" style="2673" customWidth="1"/>
    <col min="12034" max="12039" width="17.75" style="2673" customWidth="1"/>
    <col min="12040" max="12287" width="9" style="2673"/>
    <col min="12288" max="12288" width="11.5" style="2673" customWidth="1"/>
    <col min="12289" max="12289" width="3.125" style="2673" customWidth="1"/>
    <col min="12290" max="12295" width="17.75" style="2673" customWidth="1"/>
    <col min="12296" max="12543" width="9" style="2673"/>
    <col min="12544" max="12544" width="11.5" style="2673" customWidth="1"/>
    <col min="12545" max="12545" width="3.125" style="2673" customWidth="1"/>
    <col min="12546" max="12551" width="17.75" style="2673" customWidth="1"/>
    <col min="12552" max="12799" width="9" style="2673"/>
    <col min="12800" max="12800" width="11.5" style="2673" customWidth="1"/>
    <col min="12801" max="12801" width="3.125" style="2673" customWidth="1"/>
    <col min="12802" max="12807" width="17.75" style="2673" customWidth="1"/>
    <col min="12808" max="13055" width="9" style="2673"/>
    <col min="13056" max="13056" width="11.5" style="2673" customWidth="1"/>
    <col min="13057" max="13057" width="3.125" style="2673" customWidth="1"/>
    <col min="13058" max="13063" width="17.75" style="2673" customWidth="1"/>
    <col min="13064" max="13311" width="9" style="2673"/>
    <col min="13312" max="13312" width="11.5" style="2673" customWidth="1"/>
    <col min="13313" max="13313" width="3.125" style="2673" customWidth="1"/>
    <col min="13314" max="13319" width="17.75" style="2673" customWidth="1"/>
    <col min="13320" max="13567" width="9" style="2673"/>
    <col min="13568" max="13568" width="11.5" style="2673" customWidth="1"/>
    <col min="13569" max="13569" width="3.125" style="2673" customWidth="1"/>
    <col min="13570" max="13575" width="17.75" style="2673" customWidth="1"/>
    <col min="13576" max="13823" width="9" style="2673"/>
    <col min="13824" max="13824" width="11.5" style="2673" customWidth="1"/>
    <col min="13825" max="13825" width="3.125" style="2673" customWidth="1"/>
    <col min="13826" max="13831" width="17.75" style="2673" customWidth="1"/>
    <col min="13832" max="14079" width="9" style="2673"/>
    <col min="14080" max="14080" width="11.5" style="2673" customWidth="1"/>
    <col min="14081" max="14081" width="3.125" style="2673" customWidth="1"/>
    <col min="14082" max="14087" width="17.75" style="2673" customWidth="1"/>
    <col min="14088" max="14335" width="9" style="2673"/>
    <col min="14336" max="14336" width="11.5" style="2673" customWidth="1"/>
    <col min="14337" max="14337" width="3.125" style="2673" customWidth="1"/>
    <col min="14338" max="14343" width="17.75" style="2673" customWidth="1"/>
    <col min="14344" max="14591" width="9" style="2673"/>
    <col min="14592" max="14592" width="11.5" style="2673" customWidth="1"/>
    <col min="14593" max="14593" width="3.125" style="2673" customWidth="1"/>
    <col min="14594" max="14599" width="17.75" style="2673" customWidth="1"/>
    <col min="14600" max="14847" width="9" style="2673"/>
    <col min="14848" max="14848" width="11.5" style="2673" customWidth="1"/>
    <col min="14849" max="14849" width="3.125" style="2673" customWidth="1"/>
    <col min="14850" max="14855" width="17.75" style="2673" customWidth="1"/>
    <col min="14856" max="15103" width="9" style="2673"/>
    <col min="15104" max="15104" width="11.5" style="2673" customWidth="1"/>
    <col min="15105" max="15105" width="3.125" style="2673" customWidth="1"/>
    <col min="15106" max="15111" width="17.75" style="2673" customWidth="1"/>
    <col min="15112" max="15359" width="9" style="2673"/>
    <col min="15360" max="15360" width="11.5" style="2673" customWidth="1"/>
    <col min="15361" max="15361" width="3.125" style="2673" customWidth="1"/>
    <col min="15362" max="15367" width="17.75" style="2673" customWidth="1"/>
    <col min="15368" max="15615" width="9" style="2673"/>
    <col min="15616" max="15616" width="11.5" style="2673" customWidth="1"/>
    <col min="15617" max="15617" width="3.125" style="2673" customWidth="1"/>
    <col min="15618" max="15623" width="17.75" style="2673" customWidth="1"/>
    <col min="15624" max="15871" width="9" style="2673"/>
    <col min="15872" max="15872" width="11.5" style="2673" customWidth="1"/>
    <col min="15873" max="15873" width="3.125" style="2673" customWidth="1"/>
    <col min="15874" max="15879" width="17.75" style="2673" customWidth="1"/>
    <col min="15880" max="16127" width="9" style="2673"/>
    <col min="16128" max="16128" width="11.5" style="2673" customWidth="1"/>
    <col min="16129" max="16129" width="3.125" style="2673" customWidth="1"/>
    <col min="16130" max="16135" width="17.75" style="2673" customWidth="1"/>
    <col min="16136" max="16384" width="9" style="2673"/>
  </cols>
  <sheetData>
    <row r="1" spans="1:8" s="2670" customFormat="1" ht="33.75" customHeight="1">
      <c r="A1" s="4130" t="s">
        <v>4077</v>
      </c>
      <c r="B1" s="4130"/>
      <c r="C1" s="4130"/>
      <c r="D1" s="4130"/>
      <c r="E1" s="4130"/>
      <c r="F1" s="4130"/>
      <c r="G1" s="4130"/>
    </row>
    <row r="2" spans="1:8" ht="30.2" customHeight="1">
      <c r="A2" s="4124" t="s">
        <v>4078</v>
      </c>
      <c r="B2" s="2700" t="s">
        <v>4079</v>
      </c>
      <c r="C2" s="2701"/>
      <c r="D2" s="2702" t="s">
        <v>1721</v>
      </c>
      <c r="E2" s="2701"/>
      <c r="F2" s="2700" t="s">
        <v>1722</v>
      </c>
      <c r="G2" s="2700"/>
    </row>
    <row r="3" spans="1:8" ht="24.95" customHeight="1">
      <c r="A3" s="4129"/>
      <c r="B3" s="2703" t="s">
        <v>4080</v>
      </c>
      <c r="C3" s="2703" t="s">
        <v>0</v>
      </c>
      <c r="D3" s="2703" t="s">
        <v>4081</v>
      </c>
      <c r="E3" s="2703" t="s">
        <v>0</v>
      </c>
      <c r="F3" s="2703" t="s">
        <v>1516</v>
      </c>
      <c r="G3" s="2704" t="s">
        <v>0</v>
      </c>
    </row>
    <row r="4" spans="1:8" ht="6" customHeight="1">
      <c r="A4" s="2705"/>
      <c r="B4" s="2690"/>
      <c r="C4" s="2690"/>
      <c r="D4" s="2690"/>
      <c r="E4" s="2690"/>
      <c r="F4" s="2690"/>
      <c r="G4" s="2706"/>
    </row>
    <row r="5" spans="1:8" ht="36.75" hidden="1" customHeight="1">
      <c r="A5" s="2707" t="s">
        <v>4082</v>
      </c>
      <c r="B5" s="2708">
        <v>725</v>
      </c>
      <c r="C5" s="2709">
        <v>100</v>
      </c>
      <c r="D5" s="2710">
        <v>557</v>
      </c>
      <c r="E5" s="2711">
        <v>76.83</v>
      </c>
      <c r="F5" s="2710">
        <v>168</v>
      </c>
      <c r="G5" s="2712">
        <v>23.17</v>
      </c>
      <c r="H5" s="2713"/>
    </row>
    <row r="6" spans="1:8" ht="36.75" hidden="1" customHeight="1">
      <c r="A6" s="2707" t="s">
        <v>4083</v>
      </c>
      <c r="B6" s="2708">
        <v>715</v>
      </c>
      <c r="C6" s="2709">
        <v>100</v>
      </c>
      <c r="D6" s="2710">
        <v>538</v>
      </c>
      <c r="E6" s="2711">
        <v>75.239999999999995</v>
      </c>
      <c r="F6" s="2710">
        <v>177</v>
      </c>
      <c r="G6" s="2712">
        <v>24.76</v>
      </c>
      <c r="H6" s="2713"/>
    </row>
    <row r="7" spans="1:8" ht="36.75" hidden="1" customHeight="1">
      <c r="A7" s="2707" t="s">
        <v>4084</v>
      </c>
      <c r="B7" s="2708">
        <v>601</v>
      </c>
      <c r="C7" s="2709">
        <v>100</v>
      </c>
      <c r="D7" s="2710">
        <v>433</v>
      </c>
      <c r="E7" s="2711">
        <v>72.05</v>
      </c>
      <c r="F7" s="2710">
        <v>168</v>
      </c>
      <c r="G7" s="2712">
        <v>27.95</v>
      </c>
      <c r="H7" s="2713"/>
    </row>
    <row r="8" spans="1:8" ht="36.75" customHeight="1">
      <c r="A8" s="2714" t="s">
        <v>355</v>
      </c>
      <c r="B8" s="2708">
        <f>SUM(D8+F8)</f>
        <v>824</v>
      </c>
      <c r="C8" s="2709">
        <f>SUM(E8+G8)</f>
        <v>100</v>
      </c>
      <c r="D8" s="2710">
        <v>527</v>
      </c>
      <c r="E8" s="2711">
        <f>D8/B8*100</f>
        <v>63.956310679611647</v>
      </c>
      <c r="F8" s="2710">
        <v>297</v>
      </c>
      <c r="G8" s="2712">
        <f>F8/B8*100</f>
        <v>36.043689320388353</v>
      </c>
      <c r="H8" s="2713"/>
    </row>
    <row r="9" spans="1:8" ht="36.75" customHeight="1">
      <c r="A9" s="2714" t="s">
        <v>356</v>
      </c>
      <c r="B9" s="2708">
        <f t="shared" ref="B9:B17" si="0">SUM(D9+F9)</f>
        <v>856</v>
      </c>
      <c r="C9" s="2709">
        <f t="shared" ref="C9:C17" si="1">SUM(E9+G9)</f>
        <v>100</v>
      </c>
      <c r="D9" s="2710">
        <v>466</v>
      </c>
      <c r="E9" s="2711">
        <f t="shared" ref="E9:E17" si="2">D9/B9*100</f>
        <v>54.439252336448597</v>
      </c>
      <c r="F9" s="2710">
        <v>390</v>
      </c>
      <c r="G9" s="2712">
        <f t="shared" ref="G9:G17" si="3">F9/B9*100</f>
        <v>45.560747663551403</v>
      </c>
      <c r="H9" s="2713"/>
    </row>
    <row r="10" spans="1:8" ht="36.75" customHeight="1">
      <c r="A10" s="2714" t="s">
        <v>357</v>
      </c>
      <c r="B10" s="2708">
        <f t="shared" si="0"/>
        <v>941</v>
      </c>
      <c r="C10" s="2709">
        <f t="shared" si="1"/>
        <v>100</v>
      </c>
      <c r="D10" s="2710">
        <v>461</v>
      </c>
      <c r="E10" s="2711">
        <f t="shared" si="2"/>
        <v>48.99043570669501</v>
      </c>
      <c r="F10" s="2710">
        <v>480</v>
      </c>
      <c r="G10" s="2712">
        <f t="shared" si="3"/>
        <v>51.009564293304997</v>
      </c>
      <c r="H10" s="2713"/>
    </row>
    <row r="11" spans="1:8" ht="36.75" customHeight="1">
      <c r="A11" s="2714" t="s">
        <v>358</v>
      </c>
      <c r="B11" s="2708">
        <f t="shared" si="0"/>
        <v>1046</v>
      </c>
      <c r="C11" s="2709">
        <f t="shared" si="1"/>
        <v>100</v>
      </c>
      <c r="D11" s="2710">
        <v>452</v>
      </c>
      <c r="E11" s="2711">
        <f t="shared" si="2"/>
        <v>43.212237093690248</v>
      </c>
      <c r="F11" s="2710">
        <v>594</v>
      </c>
      <c r="G11" s="2712">
        <f t="shared" si="3"/>
        <v>56.787762906309744</v>
      </c>
      <c r="H11" s="2713"/>
    </row>
    <row r="12" spans="1:8" ht="36.75" customHeight="1">
      <c r="A12" s="2714" t="s">
        <v>359</v>
      </c>
      <c r="B12" s="2708">
        <f t="shared" si="0"/>
        <v>1208</v>
      </c>
      <c r="C12" s="2709">
        <f t="shared" si="1"/>
        <v>100</v>
      </c>
      <c r="D12" s="2710">
        <v>574</v>
      </c>
      <c r="E12" s="2711">
        <f t="shared" si="2"/>
        <v>47.516556291390728</v>
      </c>
      <c r="F12" s="2710">
        <v>634</v>
      </c>
      <c r="G12" s="2712">
        <f t="shared" si="3"/>
        <v>52.483443708609265</v>
      </c>
      <c r="H12" s="2713"/>
    </row>
    <row r="13" spans="1:8" ht="36.75" customHeight="1">
      <c r="A13" s="2714" t="s">
        <v>360</v>
      </c>
      <c r="B13" s="2708">
        <f t="shared" si="0"/>
        <v>1080</v>
      </c>
      <c r="C13" s="2709">
        <f t="shared" si="1"/>
        <v>100</v>
      </c>
      <c r="D13" s="2710">
        <v>547</v>
      </c>
      <c r="E13" s="2711">
        <f t="shared" si="2"/>
        <v>50.648148148148152</v>
      </c>
      <c r="F13" s="2710">
        <v>533</v>
      </c>
      <c r="G13" s="2712">
        <f t="shared" si="3"/>
        <v>49.351851851851855</v>
      </c>
      <c r="H13" s="2713"/>
    </row>
    <row r="14" spans="1:8" ht="36.75" customHeight="1">
      <c r="A14" s="2714" t="s">
        <v>361</v>
      </c>
      <c r="B14" s="2708">
        <f t="shared" si="0"/>
        <v>1188</v>
      </c>
      <c r="C14" s="2709">
        <f t="shared" si="1"/>
        <v>100</v>
      </c>
      <c r="D14" s="2710">
        <v>532</v>
      </c>
      <c r="E14" s="2711">
        <f t="shared" si="2"/>
        <v>44.781144781144782</v>
      </c>
      <c r="F14" s="2710">
        <v>656</v>
      </c>
      <c r="G14" s="2712">
        <f t="shared" si="3"/>
        <v>55.218855218855225</v>
      </c>
      <c r="H14" s="2713"/>
    </row>
    <row r="15" spans="1:8" ht="36.75" customHeight="1">
      <c r="A15" s="2714" t="s">
        <v>362</v>
      </c>
      <c r="B15" s="2708">
        <f t="shared" si="0"/>
        <v>1373</v>
      </c>
      <c r="C15" s="2709">
        <f t="shared" si="1"/>
        <v>100</v>
      </c>
      <c r="D15" s="2710">
        <v>604</v>
      </c>
      <c r="E15" s="2711">
        <f t="shared" si="2"/>
        <v>43.991260014566642</v>
      </c>
      <c r="F15" s="2710">
        <v>769</v>
      </c>
      <c r="G15" s="2712">
        <f t="shared" si="3"/>
        <v>56.008739985433351</v>
      </c>
      <c r="H15" s="2713"/>
    </row>
    <row r="16" spans="1:8" ht="36.75" customHeight="1">
      <c r="A16" s="2714" t="s">
        <v>363</v>
      </c>
      <c r="B16" s="2708">
        <f t="shared" si="0"/>
        <v>1356</v>
      </c>
      <c r="C16" s="2709">
        <f t="shared" si="1"/>
        <v>100</v>
      </c>
      <c r="D16" s="2710">
        <v>609</v>
      </c>
      <c r="E16" s="2711">
        <f t="shared" si="2"/>
        <v>44.911504424778755</v>
      </c>
      <c r="F16" s="2710">
        <v>747</v>
      </c>
      <c r="G16" s="2712">
        <f t="shared" si="3"/>
        <v>55.088495575221245</v>
      </c>
      <c r="H16" s="2713"/>
    </row>
    <row r="17" spans="1:8" ht="36.75" customHeight="1">
      <c r="A17" s="2714" t="s">
        <v>765</v>
      </c>
      <c r="B17" s="2708">
        <f t="shared" si="0"/>
        <v>1275</v>
      </c>
      <c r="C17" s="2709">
        <f t="shared" si="1"/>
        <v>100</v>
      </c>
      <c r="D17" s="2710">
        <v>549</v>
      </c>
      <c r="E17" s="2711">
        <f t="shared" si="2"/>
        <v>43.058823529411768</v>
      </c>
      <c r="F17" s="2710">
        <v>726</v>
      </c>
      <c r="G17" s="2712">
        <f t="shared" si="3"/>
        <v>56.941176470588239</v>
      </c>
      <c r="H17" s="2713"/>
    </row>
    <row r="18" spans="1:8" ht="6" customHeight="1">
      <c r="A18" s="2715"/>
      <c r="B18" s="2716"/>
      <c r="C18" s="2717"/>
      <c r="D18" s="2718"/>
      <c r="E18" s="2717"/>
      <c r="F18" s="2718"/>
      <c r="G18" s="2719"/>
      <c r="H18" s="2713"/>
    </row>
    <row r="19" spans="1:8">
      <c r="A19" s="2720" t="s">
        <v>997</v>
      </c>
    </row>
  </sheetData>
  <mergeCells count="2">
    <mergeCell ref="A1:G1"/>
    <mergeCell ref="A2:A3"/>
  </mergeCells>
  <phoneticPr fontId="61" type="noConversion"/>
  <printOptions horizontalCentered="1" verticalCentered="1"/>
  <pageMargins left="0.70866141732283472" right="0.70866141732283472" top="0.74803149606299213" bottom="0.74803149606299213" header="0.31496062992125984" footer="0.31496062992125984"/>
  <pageSetup paperSize="11" scale="67" orientation="landscape" r:id="rId1"/>
  <headerFooter differentOddEven="1" scaleWithDoc="0">
    <oddHeader>&amp;L&amp;"Times New Roman,標準"&amp;8 107&amp;"標楷體,標準"年犯罪狀況及其分析</oddHeader>
    <evenHeader>&amp;R&amp;"標楷體,標準"&amp;8第五篇　犯罪被害趨勢、保護與補償</evenHead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S19"/>
  <sheetViews>
    <sheetView showGridLines="0" workbookViewId="0">
      <selection activeCell="A155" sqref="A155:B155"/>
    </sheetView>
  </sheetViews>
  <sheetFormatPr defaultRowHeight="15.75"/>
  <cols>
    <col min="1" max="1" width="10" style="2673" customWidth="1"/>
    <col min="2" max="19" width="9.625" style="2673" customWidth="1"/>
    <col min="20" max="254" width="9" style="2673"/>
    <col min="255" max="255" width="10" style="2673" customWidth="1"/>
    <col min="256" max="256" width="3.125" style="2673" customWidth="1"/>
    <col min="257" max="258" width="6.625" style="2673" customWidth="1"/>
    <col min="259" max="274" width="5.875" style="2673" customWidth="1"/>
    <col min="275" max="510" width="9" style="2673"/>
    <col min="511" max="511" width="10" style="2673" customWidth="1"/>
    <col min="512" max="512" width="3.125" style="2673" customWidth="1"/>
    <col min="513" max="514" width="6.625" style="2673" customWidth="1"/>
    <col min="515" max="530" width="5.875" style="2673" customWidth="1"/>
    <col min="531" max="766" width="9" style="2673"/>
    <col min="767" max="767" width="10" style="2673" customWidth="1"/>
    <col min="768" max="768" width="3.125" style="2673" customWidth="1"/>
    <col min="769" max="770" width="6.625" style="2673" customWidth="1"/>
    <col min="771" max="786" width="5.875" style="2673" customWidth="1"/>
    <col min="787" max="1022" width="9" style="2673"/>
    <col min="1023" max="1023" width="10" style="2673" customWidth="1"/>
    <col min="1024" max="1024" width="3.125" style="2673" customWidth="1"/>
    <col min="1025" max="1026" width="6.625" style="2673" customWidth="1"/>
    <col min="1027" max="1042" width="5.875" style="2673" customWidth="1"/>
    <col min="1043" max="1278" width="9" style="2673"/>
    <col min="1279" max="1279" width="10" style="2673" customWidth="1"/>
    <col min="1280" max="1280" width="3.125" style="2673" customWidth="1"/>
    <col min="1281" max="1282" width="6.625" style="2673" customWidth="1"/>
    <col min="1283" max="1298" width="5.875" style="2673" customWidth="1"/>
    <col min="1299" max="1534" width="9" style="2673"/>
    <col min="1535" max="1535" width="10" style="2673" customWidth="1"/>
    <col min="1536" max="1536" width="3.125" style="2673" customWidth="1"/>
    <col min="1537" max="1538" width="6.625" style="2673" customWidth="1"/>
    <col min="1539" max="1554" width="5.875" style="2673" customWidth="1"/>
    <col min="1555" max="1790" width="9" style="2673"/>
    <col min="1791" max="1791" width="10" style="2673" customWidth="1"/>
    <col min="1792" max="1792" width="3.125" style="2673" customWidth="1"/>
    <col min="1793" max="1794" width="6.625" style="2673" customWidth="1"/>
    <col min="1795" max="1810" width="5.875" style="2673" customWidth="1"/>
    <col min="1811" max="2046" width="9" style="2673"/>
    <col min="2047" max="2047" width="10" style="2673" customWidth="1"/>
    <col min="2048" max="2048" width="3.125" style="2673" customWidth="1"/>
    <col min="2049" max="2050" width="6.625" style="2673" customWidth="1"/>
    <col min="2051" max="2066" width="5.875" style="2673" customWidth="1"/>
    <col min="2067" max="2302" width="9" style="2673"/>
    <col min="2303" max="2303" width="10" style="2673" customWidth="1"/>
    <col min="2304" max="2304" width="3.125" style="2673" customWidth="1"/>
    <col min="2305" max="2306" width="6.625" style="2673" customWidth="1"/>
    <col min="2307" max="2322" width="5.875" style="2673" customWidth="1"/>
    <col min="2323" max="2558" width="9" style="2673"/>
    <col min="2559" max="2559" width="10" style="2673" customWidth="1"/>
    <col min="2560" max="2560" width="3.125" style="2673" customWidth="1"/>
    <col min="2561" max="2562" width="6.625" style="2673" customWidth="1"/>
    <col min="2563" max="2578" width="5.875" style="2673" customWidth="1"/>
    <col min="2579" max="2814" width="9" style="2673"/>
    <col min="2815" max="2815" width="10" style="2673" customWidth="1"/>
    <col min="2816" max="2816" width="3.125" style="2673" customWidth="1"/>
    <col min="2817" max="2818" width="6.625" style="2673" customWidth="1"/>
    <col min="2819" max="2834" width="5.875" style="2673" customWidth="1"/>
    <col min="2835" max="3070" width="9" style="2673"/>
    <col min="3071" max="3071" width="10" style="2673" customWidth="1"/>
    <col min="3072" max="3072" width="3.125" style="2673" customWidth="1"/>
    <col min="3073" max="3074" width="6.625" style="2673" customWidth="1"/>
    <col min="3075" max="3090" width="5.875" style="2673" customWidth="1"/>
    <col min="3091" max="3326" width="9" style="2673"/>
    <col min="3327" max="3327" width="10" style="2673" customWidth="1"/>
    <col min="3328" max="3328" width="3.125" style="2673" customWidth="1"/>
    <col min="3329" max="3330" width="6.625" style="2673" customWidth="1"/>
    <col min="3331" max="3346" width="5.875" style="2673" customWidth="1"/>
    <col min="3347" max="3582" width="9" style="2673"/>
    <col min="3583" max="3583" width="10" style="2673" customWidth="1"/>
    <col min="3584" max="3584" width="3.125" style="2673" customWidth="1"/>
    <col min="3585" max="3586" width="6.625" style="2673" customWidth="1"/>
    <col min="3587" max="3602" width="5.875" style="2673" customWidth="1"/>
    <col min="3603" max="3838" width="9" style="2673"/>
    <col min="3839" max="3839" width="10" style="2673" customWidth="1"/>
    <col min="3840" max="3840" width="3.125" style="2673" customWidth="1"/>
    <col min="3841" max="3842" width="6.625" style="2673" customWidth="1"/>
    <col min="3843" max="3858" width="5.875" style="2673" customWidth="1"/>
    <col min="3859" max="4094" width="9" style="2673"/>
    <col min="4095" max="4095" width="10" style="2673" customWidth="1"/>
    <col min="4096" max="4096" width="3.125" style="2673" customWidth="1"/>
    <col min="4097" max="4098" width="6.625" style="2673" customWidth="1"/>
    <col min="4099" max="4114" width="5.875" style="2673" customWidth="1"/>
    <col min="4115" max="4350" width="9" style="2673"/>
    <col min="4351" max="4351" width="10" style="2673" customWidth="1"/>
    <col min="4352" max="4352" width="3.125" style="2673" customWidth="1"/>
    <col min="4353" max="4354" width="6.625" style="2673" customWidth="1"/>
    <col min="4355" max="4370" width="5.875" style="2673" customWidth="1"/>
    <col min="4371" max="4606" width="9" style="2673"/>
    <col min="4607" max="4607" width="10" style="2673" customWidth="1"/>
    <col min="4608" max="4608" width="3.125" style="2673" customWidth="1"/>
    <col min="4609" max="4610" width="6.625" style="2673" customWidth="1"/>
    <col min="4611" max="4626" width="5.875" style="2673" customWidth="1"/>
    <col min="4627" max="4862" width="9" style="2673"/>
    <col min="4863" max="4863" width="10" style="2673" customWidth="1"/>
    <col min="4864" max="4864" width="3.125" style="2673" customWidth="1"/>
    <col min="4865" max="4866" width="6.625" style="2673" customWidth="1"/>
    <col min="4867" max="4882" width="5.875" style="2673" customWidth="1"/>
    <col min="4883" max="5118" width="9" style="2673"/>
    <col min="5119" max="5119" width="10" style="2673" customWidth="1"/>
    <col min="5120" max="5120" width="3.125" style="2673" customWidth="1"/>
    <col min="5121" max="5122" width="6.625" style="2673" customWidth="1"/>
    <col min="5123" max="5138" width="5.875" style="2673" customWidth="1"/>
    <col min="5139" max="5374" width="9" style="2673"/>
    <col min="5375" max="5375" width="10" style="2673" customWidth="1"/>
    <col min="5376" max="5376" width="3.125" style="2673" customWidth="1"/>
    <col min="5377" max="5378" width="6.625" style="2673" customWidth="1"/>
    <col min="5379" max="5394" width="5.875" style="2673" customWidth="1"/>
    <col min="5395" max="5630" width="9" style="2673"/>
    <col min="5631" max="5631" width="10" style="2673" customWidth="1"/>
    <col min="5632" max="5632" width="3.125" style="2673" customWidth="1"/>
    <col min="5633" max="5634" width="6.625" style="2673" customWidth="1"/>
    <col min="5635" max="5650" width="5.875" style="2673" customWidth="1"/>
    <col min="5651" max="5886" width="9" style="2673"/>
    <col min="5887" max="5887" width="10" style="2673" customWidth="1"/>
    <col min="5888" max="5888" width="3.125" style="2673" customWidth="1"/>
    <col min="5889" max="5890" width="6.625" style="2673" customWidth="1"/>
    <col min="5891" max="5906" width="5.875" style="2673" customWidth="1"/>
    <col min="5907" max="6142" width="9" style="2673"/>
    <col min="6143" max="6143" width="10" style="2673" customWidth="1"/>
    <col min="6144" max="6144" width="3.125" style="2673" customWidth="1"/>
    <col min="6145" max="6146" width="6.625" style="2673" customWidth="1"/>
    <col min="6147" max="6162" width="5.875" style="2673" customWidth="1"/>
    <col min="6163" max="6398" width="9" style="2673"/>
    <col min="6399" max="6399" width="10" style="2673" customWidth="1"/>
    <col min="6400" max="6400" width="3.125" style="2673" customWidth="1"/>
    <col min="6401" max="6402" width="6.625" style="2673" customWidth="1"/>
    <col min="6403" max="6418" width="5.875" style="2673" customWidth="1"/>
    <col min="6419" max="6654" width="9" style="2673"/>
    <col min="6655" max="6655" width="10" style="2673" customWidth="1"/>
    <col min="6656" max="6656" width="3.125" style="2673" customWidth="1"/>
    <col min="6657" max="6658" width="6.625" style="2673" customWidth="1"/>
    <col min="6659" max="6674" width="5.875" style="2673" customWidth="1"/>
    <col min="6675" max="6910" width="9" style="2673"/>
    <col min="6911" max="6911" width="10" style="2673" customWidth="1"/>
    <col min="6912" max="6912" width="3.125" style="2673" customWidth="1"/>
    <col min="6913" max="6914" width="6.625" style="2673" customWidth="1"/>
    <col min="6915" max="6930" width="5.875" style="2673" customWidth="1"/>
    <col min="6931" max="7166" width="9" style="2673"/>
    <col min="7167" max="7167" width="10" style="2673" customWidth="1"/>
    <col min="7168" max="7168" width="3.125" style="2673" customWidth="1"/>
    <col min="7169" max="7170" width="6.625" style="2673" customWidth="1"/>
    <col min="7171" max="7186" width="5.875" style="2673" customWidth="1"/>
    <col min="7187" max="7422" width="9" style="2673"/>
    <col min="7423" max="7423" width="10" style="2673" customWidth="1"/>
    <col min="7424" max="7424" width="3.125" style="2673" customWidth="1"/>
    <col min="7425" max="7426" width="6.625" style="2673" customWidth="1"/>
    <col min="7427" max="7442" width="5.875" style="2673" customWidth="1"/>
    <col min="7443" max="7678" width="9" style="2673"/>
    <col min="7679" max="7679" width="10" style="2673" customWidth="1"/>
    <col min="7680" max="7680" width="3.125" style="2673" customWidth="1"/>
    <col min="7681" max="7682" width="6.625" style="2673" customWidth="1"/>
    <col min="7683" max="7698" width="5.875" style="2673" customWidth="1"/>
    <col min="7699" max="7934" width="9" style="2673"/>
    <col min="7935" max="7935" width="10" style="2673" customWidth="1"/>
    <col min="7936" max="7936" width="3.125" style="2673" customWidth="1"/>
    <col min="7937" max="7938" width="6.625" style="2673" customWidth="1"/>
    <col min="7939" max="7954" width="5.875" style="2673" customWidth="1"/>
    <col min="7955" max="8190" width="9" style="2673"/>
    <col min="8191" max="8191" width="10" style="2673" customWidth="1"/>
    <col min="8192" max="8192" width="3.125" style="2673" customWidth="1"/>
    <col min="8193" max="8194" width="6.625" style="2673" customWidth="1"/>
    <col min="8195" max="8210" width="5.875" style="2673" customWidth="1"/>
    <col min="8211" max="8446" width="9" style="2673"/>
    <col min="8447" max="8447" width="10" style="2673" customWidth="1"/>
    <col min="8448" max="8448" width="3.125" style="2673" customWidth="1"/>
    <col min="8449" max="8450" width="6.625" style="2673" customWidth="1"/>
    <col min="8451" max="8466" width="5.875" style="2673" customWidth="1"/>
    <col min="8467" max="8702" width="9" style="2673"/>
    <col min="8703" max="8703" width="10" style="2673" customWidth="1"/>
    <col min="8704" max="8704" width="3.125" style="2673" customWidth="1"/>
    <col min="8705" max="8706" width="6.625" style="2673" customWidth="1"/>
    <col min="8707" max="8722" width="5.875" style="2673" customWidth="1"/>
    <col min="8723" max="8958" width="9" style="2673"/>
    <col min="8959" max="8959" width="10" style="2673" customWidth="1"/>
    <col min="8960" max="8960" width="3.125" style="2673" customWidth="1"/>
    <col min="8961" max="8962" width="6.625" style="2673" customWidth="1"/>
    <col min="8963" max="8978" width="5.875" style="2673" customWidth="1"/>
    <col min="8979" max="9214" width="9" style="2673"/>
    <col min="9215" max="9215" width="10" style="2673" customWidth="1"/>
    <col min="9216" max="9216" width="3.125" style="2673" customWidth="1"/>
    <col min="9217" max="9218" width="6.625" style="2673" customWidth="1"/>
    <col min="9219" max="9234" width="5.875" style="2673" customWidth="1"/>
    <col min="9235" max="9470" width="9" style="2673"/>
    <col min="9471" max="9471" width="10" style="2673" customWidth="1"/>
    <col min="9472" max="9472" width="3.125" style="2673" customWidth="1"/>
    <col min="9473" max="9474" width="6.625" style="2673" customWidth="1"/>
    <col min="9475" max="9490" width="5.875" style="2673" customWidth="1"/>
    <col min="9491" max="9726" width="9" style="2673"/>
    <col min="9727" max="9727" width="10" style="2673" customWidth="1"/>
    <col min="9728" max="9728" width="3.125" style="2673" customWidth="1"/>
    <col min="9729" max="9730" width="6.625" style="2673" customWidth="1"/>
    <col min="9731" max="9746" width="5.875" style="2673" customWidth="1"/>
    <col min="9747" max="9982" width="9" style="2673"/>
    <col min="9983" max="9983" width="10" style="2673" customWidth="1"/>
    <col min="9984" max="9984" width="3.125" style="2673" customWidth="1"/>
    <col min="9985" max="9986" width="6.625" style="2673" customWidth="1"/>
    <col min="9987" max="10002" width="5.875" style="2673" customWidth="1"/>
    <col min="10003" max="10238" width="9" style="2673"/>
    <col min="10239" max="10239" width="10" style="2673" customWidth="1"/>
    <col min="10240" max="10240" width="3.125" style="2673" customWidth="1"/>
    <col min="10241" max="10242" width="6.625" style="2673" customWidth="1"/>
    <col min="10243" max="10258" width="5.875" style="2673" customWidth="1"/>
    <col min="10259" max="10494" width="9" style="2673"/>
    <col min="10495" max="10495" width="10" style="2673" customWidth="1"/>
    <col min="10496" max="10496" width="3.125" style="2673" customWidth="1"/>
    <col min="10497" max="10498" width="6.625" style="2673" customWidth="1"/>
    <col min="10499" max="10514" width="5.875" style="2673" customWidth="1"/>
    <col min="10515" max="10750" width="9" style="2673"/>
    <col min="10751" max="10751" width="10" style="2673" customWidth="1"/>
    <col min="10752" max="10752" width="3.125" style="2673" customWidth="1"/>
    <col min="10753" max="10754" width="6.625" style="2673" customWidth="1"/>
    <col min="10755" max="10770" width="5.875" style="2673" customWidth="1"/>
    <col min="10771" max="11006" width="9" style="2673"/>
    <col min="11007" max="11007" width="10" style="2673" customWidth="1"/>
    <col min="11008" max="11008" width="3.125" style="2673" customWidth="1"/>
    <col min="11009" max="11010" width="6.625" style="2673" customWidth="1"/>
    <col min="11011" max="11026" width="5.875" style="2673" customWidth="1"/>
    <col min="11027" max="11262" width="9" style="2673"/>
    <col min="11263" max="11263" width="10" style="2673" customWidth="1"/>
    <col min="11264" max="11264" width="3.125" style="2673" customWidth="1"/>
    <col min="11265" max="11266" width="6.625" style="2673" customWidth="1"/>
    <col min="11267" max="11282" width="5.875" style="2673" customWidth="1"/>
    <col min="11283" max="11518" width="9" style="2673"/>
    <col min="11519" max="11519" width="10" style="2673" customWidth="1"/>
    <col min="11520" max="11520" width="3.125" style="2673" customWidth="1"/>
    <col min="11521" max="11522" width="6.625" style="2673" customWidth="1"/>
    <col min="11523" max="11538" width="5.875" style="2673" customWidth="1"/>
    <col min="11539" max="11774" width="9" style="2673"/>
    <col min="11775" max="11775" width="10" style="2673" customWidth="1"/>
    <col min="11776" max="11776" width="3.125" style="2673" customWidth="1"/>
    <col min="11777" max="11778" width="6.625" style="2673" customWidth="1"/>
    <col min="11779" max="11794" width="5.875" style="2673" customWidth="1"/>
    <col min="11795" max="12030" width="9" style="2673"/>
    <col min="12031" max="12031" width="10" style="2673" customWidth="1"/>
    <col min="12032" max="12032" width="3.125" style="2673" customWidth="1"/>
    <col min="12033" max="12034" width="6.625" style="2673" customWidth="1"/>
    <col min="12035" max="12050" width="5.875" style="2673" customWidth="1"/>
    <col min="12051" max="12286" width="9" style="2673"/>
    <col min="12287" max="12287" width="10" style="2673" customWidth="1"/>
    <col min="12288" max="12288" width="3.125" style="2673" customWidth="1"/>
    <col min="12289" max="12290" width="6.625" style="2673" customWidth="1"/>
    <col min="12291" max="12306" width="5.875" style="2673" customWidth="1"/>
    <col min="12307" max="12542" width="9" style="2673"/>
    <col min="12543" max="12543" width="10" style="2673" customWidth="1"/>
    <col min="12544" max="12544" width="3.125" style="2673" customWidth="1"/>
    <col min="12545" max="12546" width="6.625" style="2673" customWidth="1"/>
    <col min="12547" max="12562" width="5.875" style="2673" customWidth="1"/>
    <col min="12563" max="12798" width="9" style="2673"/>
    <col min="12799" max="12799" width="10" style="2673" customWidth="1"/>
    <col min="12800" max="12800" width="3.125" style="2673" customWidth="1"/>
    <col min="12801" max="12802" width="6.625" style="2673" customWidth="1"/>
    <col min="12803" max="12818" width="5.875" style="2673" customWidth="1"/>
    <col min="12819" max="13054" width="9" style="2673"/>
    <col min="13055" max="13055" width="10" style="2673" customWidth="1"/>
    <col min="13056" max="13056" width="3.125" style="2673" customWidth="1"/>
    <col min="13057" max="13058" width="6.625" style="2673" customWidth="1"/>
    <col min="13059" max="13074" width="5.875" style="2673" customWidth="1"/>
    <col min="13075" max="13310" width="9" style="2673"/>
    <col min="13311" max="13311" width="10" style="2673" customWidth="1"/>
    <col min="13312" max="13312" width="3.125" style="2673" customWidth="1"/>
    <col min="13313" max="13314" width="6.625" style="2673" customWidth="1"/>
    <col min="13315" max="13330" width="5.875" style="2673" customWidth="1"/>
    <col min="13331" max="13566" width="9" style="2673"/>
    <col min="13567" max="13567" width="10" style="2673" customWidth="1"/>
    <col min="13568" max="13568" width="3.125" style="2673" customWidth="1"/>
    <col min="13569" max="13570" width="6.625" style="2673" customWidth="1"/>
    <col min="13571" max="13586" width="5.875" style="2673" customWidth="1"/>
    <col min="13587" max="13822" width="9" style="2673"/>
    <col min="13823" max="13823" width="10" style="2673" customWidth="1"/>
    <col min="13824" max="13824" width="3.125" style="2673" customWidth="1"/>
    <col min="13825" max="13826" width="6.625" style="2673" customWidth="1"/>
    <col min="13827" max="13842" width="5.875" style="2673" customWidth="1"/>
    <col min="13843" max="14078" width="9" style="2673"/>
    <col min="14079" max="14079" width="10" style="2673" customWidth="1"/>
    <col min="14080" max="14080" width="3.125" style="2673" customWidth="1"/>
    <col min="14081" max="14082" width="6.625" style="2673" customWidth="1"/>
    <col min="14083" max="14098" width="5.875" style="2673" customWidth="1"/>
    <col min="14099" max="14334" width="9" style="2673"/>
    <col min="14335" max="14335" width="10" style="2673" customWidth="1"/>
    <col min="14336" max="14336" width="3.125" style="2673" customWidth="1"/>
    <col min="14337" max="14338" width="6.625" style="2673" customWidth="1"/>
    <col min="14339" max="14354" width="5.875" style="2673" customWidth="1"/>
    <col min="14355" max="14590" width="9" style="2673"/>
    <col min="14591" max="14591" width="10" style="2673" customWidth="1"/>
    <col min="14592" max="14592" width="3.125" style="2673" customWidth="1"/>
    <col min="14593" max="14594" width="6.625" style="2673" customWidth="1"/>
    <col min="14595" max="14610" width="5.875" style="2673" customWidth="1"/>
    <col min="14611" max="14846" width="9" style="2673"/>
    <col min="14847" max="14847" width="10" style="2673" customWidth="1"/>
    <col min="14848" max="14848" width="3.125" style="2673" customWidth="1"/>
    <col min="14849" max="14850" width="6.625" style="2673" customWidth="1"/>
    <col min="14851" max="14866" width="5.875" style="2673" customWidth="1"/>
    <col min="14867" max="15102" width="9" style="2673"/>
    <col min="15103" max="15103" width="10" style="2673" customWidth="1"/>
    <col min="15104" max="15104" width="3.125" style="2673" customWidth="1"/>
    <col min="15105" max="15106" width="6.625" style="2673" customWidth="1"/>
    <col min="15107" max="15122" width="5.875" style="2673" customWidth="1"/>
    <col min="15123" max="15358" width="9" style="2673"/>
    <col min="15359" max="15359" width="10" style="2673" customWidth="1"/>
    <col min="15360" max="15360" width="3.125" style="2673" customWidth="1"/>
    <col min="15361" max="15362" width="6.625" style="2673" customWidth="1"/>
    <col min="15363" max="15378" width="5.875" style="2673" customWidth="1"/>
    <col min="15379" max="15614" width="9" style="2673"/>
    <col min="15615" max="15615" width="10" style="2673" customWidth="1"/>
    <col min="15616" max="15616" width="3.125" style="2673" customWidth="1"/>
    <col min="15617" max="15618" width="6.625" style="2673" customWidth="1"/>
    <col min="15619" max="15634" width="5.875" style="2673" customWidth="1"/>
    <col min="15635" max="15870" width="9" style="2673"/>
    <col min="15871" max="15871" width="10" style="2673" customWidth="1"/>
    <col min="15872" max="15872" width="3.125" style="2673" customWidth="1"/>
    <col min="15873" max="15874" width="6.625" style="2673" customWidth="1"/>
    <col min="15875" max="15890" width="5.875" style="2673" customWidth="1"/>
    <col min="15891" max="16126" width="9" style="2673"/>
    <col min="16127" max="16127" width="10" style="2673" customWidth="1"/>
    <col min="16128" max="16128" width="3.125" style="2673" customWidth="1"/>
    <col min="16129" max="16130" width="6.625" style="2673" customWidth="1"/>
    <col min="16131" max="16146" width="5.875" style="2673" customWidth="1"/>
    <col min="16147" max="16384" width="9" style="2673"/>
  </cols>
  <sheetData>
    <row r="1" spans="1:19" s="2670" customFormat="1" ht="26.25" customHeight="1">
      <c r="A1" s="4130" t="s">
        <v>4085</v>
      </c>
      <c r="B1" s="4130"/>
      <c r="C1" s="4130"/>
      <c r="D1" s="4130"/>
      <c r="E1" s="4130"/>
      <c r="F1" s="4130"/>
      <c r="G1" s="4130"/>
      <c r="H1" s="4130"/>
      <c r="I1" s="4130"/>
      <c r="J1" s="4130"/>
      <c r="K1" s="4130"/>
      <c r="L1" s="4130"/>
      <c r="M1" s="4130"/>
      <c r="N1" s="4130"/>
      <c r="O1" s="4130"/>
      <c r="P1" s="4130"/>
      <c r="Q1" s="4130"/>
      <c r="R1" s="4130"/>
      <c r="S1" s="4130"/>
    </row>
    <row r="2" spans="1:19" ht="35.450000000000003" customHeight="1">
      <c r="A2" s="4124" t="s">
        <v>1307</v>
      </c>
      <c r="B2" s="2721" t="s">
        <v>1410</v>
      </c>
      <c r="C2" s="2721"/>
      <c r="D2" s="2722" t="s">
        <v>4086</v>
      </c>
      <c r="E2" s="2721"/>
      <c r="F2" s="2721" t="s">
        <v>4087</v>
      </c>
      <c r="G2" s="2721"/>
      <c r="H2" s="2721" t="s">
        <v>4088</v>
      </c>
      <c r="I2" s="2721"/>
      <c r="J2" s="2721" t="s">
        <v>4089</v>
      </c>
      <c r="K2" s="2721"/>
      <c r="L2" s="2721" t="s">
        <v>4090</v>
      </c>
      <c r="M2" s="2721"/>
      <c r="N2" s="2722" t="s">
        <v>4091</v>
      </c>
      <c r="O2" s="2721"/>
      <c r="P2" s="2722" t="s">
        <v>4092</v>
      </c>
      <c r="Q2" s="2721"/>
      <c r="R2" s="2721" t="s">
        <v>1420</v>
      </c>
      <c r="S2" s="2723"/>
    </row>
    <row r="3" spans="1:19" ht="24.75" customHeight="1">
      <c r="A3" s="4129" t="s">
        <v>4093</v>
      </c>
      <c r="B3" s="2703" t="s">
        <v>1189</v>
      </c>
      <c r="C3" s="2703" t="s">
        <v>0</v>
      </c>
      <c r="D3" s="2703" t="s">
        <v>1189</v>
      </c>
      <c r="E3" s="2703" t="s">
        <v>0</v>
      </c>
      <c r="F3" s="2703" t="s">
        <v>1189</v>
      </c>
      <c r="G3" s="2703" t="s">
        <v>0</v>
      </c>
      <c r="H3" s="2703" t="s">
        <v>1189</v>
      </c>
      <c r="I3" s="2703" t="s">
        <v>0</v>
      </c>
      <c r="J3" s="2703" t="s">
        <v>1189</v>
      </c>
      <c r="K3" s="2703" t="s">
        <v>0</v>
      </c>
      <c r="L3" s="2703" t="s">
        <v>1189</v>
      </c>
      <c r="M3" s="2703" t="s">
        <v>0</v>
      </c>
      <c r="N3" s="2703" t="s">
        <v>1189</v>
      </c>
      <c r="O3" s="2703" t="s">
        <v>0</v>
      </c>
      <c r="P3" s="2703" t="s">
        <v>1189</v>
      </c>
      <c r="Q3" s="2703" t="s">
        <v>0</v>
      </c>
      <c r="R3" s="2703" t="s">
        <v>1189</v>
      </c>
      <c r="S3" s="2704" t="s">
        <v>0</v>
      </c>
    </row>
    <row r="4" spans="1:19" ht="6" customHeight="1">
      <c r="A4" s="2724"/>
      <c r="B4" s="2690"/>
      <c r="C4" s="2690"/>
      <c r="D4" s="2690"/>
      <c r="E4" s="2690"/>
      <c r="F4" s="2690"/>
      <c r="G4" s="2690"/>
      <c r="H4" s="2690"/>
      <c r="I4" s="2690"/>
      <c r="J4" s="2690"/>
      <c r="K4" s="2690"/>
      <c r="L4" s="2690"/>
      <c r="M4" s="2690"/>
      <c r="N4" s="2690"/>
      <c r="O4" s="2690"/>
      <c r="P4" s="2690"/>
      <c r="Q4" s="2690"/>
      <c r="R4" s="2690"/>
      <c r="S4" s="2706"/>
    </row>
    <row r="5" spans="1:19" ht="34.15" hidden="1" customHeight="1">
      <c r="A5" s="2707" t="s">
        <v>4094</v>
      </c>
      <c r="B5" s="2725">
        <v>725</v>
      </c>
      <c r="C5" s="2726">
        <v>100</v>
      </c>
      <c r="D5" s="2725">
        <v>77</v>
      </c>
      <c r="E5" s="2727">
        <v>10.62</v>
      </c>
      <c r="F5" s="2725">
        <v>133</v>
      </c>
      <c r="G5" s="2727">
        <v>18.34</v>
      </c>
      <c r="H5" s="2725">
        <v>211</v>
      </c>
      <c r="I5" s="2727">
        <v>29.1</v>
      </c>
      <c r="J5" s="2725">
        <v>185</v>
      </c>
      <c r="K5" s="2727">
        <v>25.52</v>
      </c>
      <c r="L5" s="2725">
        <v>63</v>
      </c>
      <c r="M5" s="2727">
        <v>8.69</v>
      </c>
      <c r="N5" s="2725">
        <v>24</v>
      </c>
      <c r="O5" s="2727">
        <v>3.31</v>
      </c>
      <c r="P5" s="2725">
        <v>30</v>
      </c>
      <c r="Q5" s="2727">
        <v>4.1399999999999997</v>
      </c>
      <c r="R5" s="2725">
        <v>2</v>
      </c>
      <c r="S5" s="2728">
        <v>0.28000000000000003</v>
      </c>
    </row>
    <row r="6" spans="1:19" s="2680" customFormat="1" ht="34.15" hidden="1" customHeight="1">
      <c r="A6" s="2707" t="s">
        <v>4095</v>
      </c>
      <c r="B6" s="2725">
        <v>715</v>
      </c>
      <c r="C6" s="2726">
        <v>100</v>
      </c>
      <c r="D6" s="2725">
        <v>75</v>
      </c>
      <c r="E6" s="2727">
        <v>10.49</v>
      </c>
      <c r="F6" s="2725">
        <v>110</v>
      </c>
      <c r="G6" s="2727">
        <v>15.38</v>
      </c>
      <c r="H6" s="2725">
        <v>148</v>
      </c>
      <c r="I6" s="2727">
        <v>20.7</v>
      </c>
      <c r="J6" s="2725">
        <v>197</v>
      </c>
      <c r="K6" s="2727">
        <v>27.55</v>
      </c>
      <c r="L6" s="2725">
        <v>99</v>
      </c>
      <c r="M6" s="2727">
        <v>13.85</v>
      </c>
      <c r="N6" s="2725">
        <v>40</v>
      </c>
      <c r="O6" s="2727">
        <v>5.59</v>
      </c>
      <c r="P6" s="2725">
        <v>37</v>
      </c>
      <c r="Q6" s="2727">
        <v>5.17</v>
      </c>
      <c r="R6" s="2725">
        <v>9</v>
      </c>
      <c r="S6" s="2728">
        <v>1.26</v>
      </c>
    </row>
    <row r="7" spans="1:19" ht="34.15" hidden="1" customHeight="1">
      <c r="A7" s="2707" t="s">
        <v>4096</v>
      </c>
      <c r="B7" s="2725">
        <v>601</v>
      </c>
      <c r="C7" s="2726">
        <v>100</v>
      </c>
      <c r="D7" s="2725">
        <v>62</v>
      </c>
      <c r="E7" s="2727">
        <v>10.32</v>
      </c>
      <c r="F7" s="2725">
        <v>108</v>
      </c>
      <c r="G7" s="2727">
        <v>17.97</v>
      </c>
      <c r="H7" s="2725">
        <v>130</v>
      </c>
      <c r="I7" s="2727">
        <v>21.63</v>
      </c>
      <c r="J7" s="2725">
        <v>148</v>
      </c>
      <c r="K7" s="2727">
        <v>24.63</v>
      </c>
      <c r="L7" s="2725">
        <v>72</v>
      </c>
      <c r="M7" s="2727">
        <v>11.98</v>
      </c>
      <c r="N7" s="2725">
        <v>41</v>
      </c>
      <c r="O7" s="2727">
        <v>6.82</v>
      </c>
      <c r="P7" s="2725">
        <v>38</v>
      </c>
      <c r="Q7" s="2727">
        <v>6.32</v>
      </c>
      <c r="R7" s="2725">
        <v>2</v>
      </c>
      <c r="S7" s="2728">
        <v>0.33</v>
      </c>
    </row>
    <row r="8" spans="1:19" ht="34.15" customHeight="1">
      <c r="A8" s="2714" t="s">
        <v>355</v>
      </c>
      <c r="B8" s="2729">
        <f>SUM(D8+F8+H8+J8+L8+N8+P8+R8)</f>
        <v>824</v>
      </c>
      <c r="C8" s="2730">
        <f>SUM(E8+G8+I8+K8+M8+O8+Q8+S8)</f>
        <v>100</v>
      </c>
      <c r="D8" s="2729">
        <v>84</v>
      </c>
      <c r="E8" s="2731">
        <f>D8/B8*100</f>
        <v>10.194174757281553</v>
      </c>
      <c r="F8" s="2729">
        <v>121</v>
      </c>
      <c r="G8" s="2731">
        <f>F8/B8*100</f>
        <v>14.684466019417474</v>
      </c>
      <c r="H8" s="2729">
        <v>175</v>
      </c>
      <c r="I8" s="2731">
        <f>H8/B8*100</f>
        <v>21.237864077669901</v>
      </c>
      <c r="J8" s="2729">
        <v>196</v>
      </c>
      <c r="K8" s="2731">
        <f>J8/B8*100</f>
        <v>23.78640776699029</v>
      </c>
      <c r="L8" s="2729">
        <v>133</v>
      </c>
      <c r="M8" s="2731">
        <f>L8/B8*100</f>
        <v>16.140776699029129</v>
      </c>
      <c r="N8" s="2729">
        <v>42</v>
      </c>
      <c r="O8" s="2731">
        <f>N8/B8*100</f>
        <v>5.0970873786407767</v>
      </c>
      <c r="P8" s="2729">
        <v>62</v>
      </c>
      <c r="Q8" s="2731">
        <f>P8/B8*100</f>
        <v>7.5242718446601939</v>
      </c>
      <c r="R8" s="2729">
        <v>11</v>
      </c>
      <c r="S8" s="2732">
        <f>R8/B8*100</f>
        <v>1.3349514563106795</v>
      </c>
    </row>
    <row r="9" spans="1:19" ht="34.15" customHeight="1">
      <c r="A9" s="2714" t="s">
        <v>356</v>
      </c>
      <c r="B9" s="2729">
        <f t="shared" ref="B9:C17" si="0">SUM(D9+F9+H9+J9+L9+N9+P9+R9)</f>
        <v>856</v>
      </c>
      <c r="C9" s="2730">
        <f t="shared" si="0"/>
        <v>100</v>
      </c>
      <c r="D9" s="2729">
        <v>167</v>
      </c>
      <c r="E9" s="2731">
        <f t="shared" ref="E9:E17" si="1">D9/B9*100</f>
        <v>19.509345794392523</v>
      </c>
      <c r="F9" s="2729">
        <v>111</v>
      </c>
      <c r="G9" s="2731">
        <f t="shared" ref="G9:G17" si="2">F9/B9*100</f>
        <v>12.967289719626168</v>
      </c>
      <c r="H9" s="2729">
        <v>151</v>
      </c>
      <c r="I9" s="2731">
        <f t="shared" ref="I9:I17" si="3">H9/B9*100</f>
        <v>17.640186915887853</v>
      </c>
      <c r="J9" s="2729">
        <v>145</v>
      </c>
      <c r="K9" s="2731">
        <f t="shared" ref="K9:K17" si="4">J9/B9*100</f>
        <v>16.9392523364486</v>
      </c>
      <c r="L9" s="2729">
        <v>112</v>
      </c>
      <c r="M9" s="2731">
        <f t="shared" ref="M9:M17" si="5">L9/B9*100</f>
        <v>13.084112149532709</v>
      </c>
      <c r="N9" s="2729">
        <v>67</v>
      </c>
      <c r="O9" s="2731">
        <f t="shared" ref="O9:O17" si="6">N9/B9*100</f>
        <v>7.8271028037383168</v>
      </c>
      <c r="P9" s="2729">
        <v>65</v>
      </c>
      <c r="Q9" s="2731">
        <f t="shared" ref="Q9:Q17" si="7">P9/B9*100</f>
        <v>7.593457943925233</v>
      </c>
      <c r="R9" s="2729">
        <v>38</v>
      </c>
      <c r="S9" s="2732">
        <f t="shared" ref="S9:S17" si="8">R9/B9*100</f>
        <v>4.4392523364485976</v>
      </c>
    </row>
    <row r="10" spans="1:19" ht="34.15" customHeight="1">
      <c r="A10" s="2714" t="s">
        <v>357</v>
      </c>
      <c r="B10" s="2729">
        <f t="shared" si="0"/>
        <v>941</v>
      </c>
      <c r="C10" s="2730">
        <f t="shared" si="0"/>
        <v>100</v>
      </c>
      <c r="D10" s="2729">
        <v>159</v>
      </c>
      <c r="E10" s="2731">
        <f t="shared" si="1"/>
        <v>16.896918172157278</v>
      </c>
      <c r="F10" s="2729">
        <v>155</v>
      </c>
      <c r="G10" s="2731">
        <f t="shared" si="2"/>
        <v>16.47183846971307</v>
      </c>
      <c r="H10" s="2729">
        <v>164</v>
      </c>
      <c r="I10" s="2731">
        <f t="shared" si="3"/>
        <v>17.428267800212542</v>
      </c>
      <c r="J10" s="2729">
        <v>117</v>
      </c>
      <c r="K10" s="2731">
        <f t="shared" si="4"/>
        <v>12.433581296493093</v>
      </c>
      <c r="L10" s="2729">
        <v>136</v>
      </c>
      <c r="M10" s="2731">
        <f t="shared" si="5"/>
        <v>14.452709883103083</v>
      </c>
      <c r="N10" s="2729">
        <v>60</v>
      </c>
      <c r="O10" s="2731">
        <f t="shared" si="6"/>
        <v>6.3761955366631247</v>
      </c>
      <c r="P10" s="2729">
        <v>47</v>
      </c>
      <c r="Q10" s="2731">
        <f t="shared" si="7"/>
        <v>4.9946865037194481</v>
      </c>
      <c r="R10" s="2729">
        <v>103</v>
      </c>
      <c r="S10" s="2732">
        <f t="shared" si="8"/>
        <v>10.945802337938364</v>
      </c>
    </row>
    <row r="11" spans="1:19" ht="34.15" customHeight="1">
      <c r="A11" s="2714" t="s">
        <v>358</v>
      </c>
      <c r="B11" s="2729">
        <f t="shared" si="0"/>
        <v>1046</v>
      </c>
      <c r="C11" s="2730">
        <f t="shared" si="0"/>
        <v>100</v>
      </c>
      <c r="D11" s="2729">
        <v>262</v>
      </c>
      <c r="E11" s="2731">
        <f t="shared" si="1"/>
        <v>25.047801147227531</v>
      </c>
      <c r="F11" s="2729">
        <v>158</v>
      </c>
      <c r="G11" s="2731">
        <f t="shared" si="2"/>
        <v>15.105162523900573</v>
      </c>
      <c r="H11" s="2729">
        <v>163</v>
      </c>
      <c r="I11" s="2731">
        <f t="shared" si="3"/>
        <v>15.583173996175908</v>
      </c>
      <c r="J11" s="2729">
        <v>146</v>
      </c>
      <c r="K11" s="2731">
        <f t="shared" si="4"/>
        <v>13.957934990439771</v>
      </c>
      <c r="L11" s="2729">
        <v>111</v>
      </c>
      <c r="M11" s="2731">
        <f t="shared" si="5"/>
        <v>10.611854684512428</v>
      </c>
      <c r="N11" s="2729">
        <v>62</v>
      </c>
      <c r="O11" s="2731">
        <f t="shared" si="6"/>
        <v>5.9273422562141489</v>
      </c>
      <c r="P11" s="2729">
        <v>64</v>
      </c>
      <c r="Q11" s="2731">
        <f t="shared" si="7"/>
        <v>6.1185468451242828</v>
      </c>
      <c r="R11" s="2729">
        <v>80</v>
      </c>
      <c r="S11" s="2732">
        <f t="shared" si="8"/>
        <v>7.6481835564053542</v>
      </c>
    </row>
    <row r="12" spans="1:19" ht="34.15" customHeight="1">
      <c r="A12" s="2714" t="s">
        <v>359</v>
      </c>
      <c r="B12" s="2729">
        <f t="shared" si="0"/>
        <v>1208</v>
      </c>
      <c r="C12" s="2730">
        <f t="shared" si="0"/>
        <v>100</v>
      </c>
      <c r="D12" s="2729">
        <v>272</v>
      </c>
      <c r="E12" s="2731">
        <f t="shared" si="1"/>
        <v>22.516556291390728</v>
      </c>
      <c r="F12" s="2729">
        <v>187</v>
      </c>
      <c r="G12" s="2731">
        <f t="shared" si="2"/>
        <v>15.480132450331126</v>
      </c>
      <c r="H12" s="2729">
        <v>196</v>
      </c>
      <c r="I12" s="2731">
        <f t="shared" si="3"/>
        <v>16.225165562913908</v>
      </c>
      <c r="J12" s="2729">
        <v>191</v>
      </c>
      <c r="K12" s="2731">
        <f t="shared" si="4"/>
        <v>15.811258278145695</v>
      </c>
      <c r="L12" s="2729">
        <v>148</v>
      </c>
      <c r="M12" s="2731">
        <f t="shared" si="5"/>
        <v>12.251655629139073</v>
      </c>
      <c r="N12" s="2729">
        <v>108</v>
      </c>
      <c r="O12" s="2731">
        <f t="shared" si="6"/>
        <v>8.9403973509933774</v>
      </c>
      <c r="P12" s="2729">
        <v>71</v>
      </c>
      <c r="Q12" s="2731">
        <f t="shared" si="7"/>
        <v>5.8774834437086092</v>
      </c>
      <c r="R12" s="2729">
        <v>35</v>
      </c>
      <c r="S12" s="2732">
        <f t="shared" si="8"/>
        <v>2.8973509933774833</v>
      </c>
    </row>
    <row r="13" spans="1:19" ht="34.15" customHeight="1">
      <c r="A13" s="2714" t="s">
        <v>360</v>
      </c>
      <c r="B13" s="2729">
        <f t="shared" si="0"/>
        <v>1080</v>
      </c>
      <c r="C13" s="2730">
        <f t="shared" si="0"/>
        <v>99.999999999999986</v>
      </c>
      <c r="D13" s="2729">
        <v>300</v>
      </c>
      <c r="E13" s="2731">
        <f t="shared" si="1"/>
        <v>27.777777777777779</v>
      </c>
      <c r="F13" s="2729">
        <v>204</v>
      </c>
      <c r="G13" s="2731">
        <f t="shared" si="2"/>
        <v>18.888888888888889</v>
      </c>
      <c r="H13" s="2729">
        <v>161</v>
      </c>
      <c r="I13" s="2731">
        <f t="shared" si="3"/>
        <v>14.907407407407408</v>
      </c>
      <c r="J13" s="2729">
        <v>101</v>
      </c>
      <c r="K13" s="2731">
        <f t="shared" si="4"/>
        <v>9.3518518518518512</v>
      </c>
      <c r="L13" s="2729">
        <v>107</v>
      </c>
      <c r="M13" s="2731">
        <f t="shared" si="5"/>
        <v>9.9074074074074083</v>
      </c>
      <c r="N13" s="2729">
        <v>80</v>
      </c>
      <c r="O13" s="2731">
        <f t="shared" si="6"/>
        <v>7.4074074074074066</v>
      </c>
      <c r="P13" s="2729">
        <v>112</v>
      </c>
      <c r="Q13" s="2731">
        <f t="shared" si="7"/>
        <v>10.37037037037037</v>
      </c>
      <c r="R13" s="2729">
        <v>15</v>
      </c>
      <c r="S13" s="2732">
        <f t="shared" si="8"/>
        <v>1.3888888888888888</v>
      </c>
    </row>
    <row r="14" spans="1:19" ht="34.15" customHeight="1">
      <c r="A14" s="2714" t="s">
        <v>361</v>
      </c>
      <c r="B14" s="2729">
        <f t="shared" si="0"/>
        <v>1188</v>
      </c>
      <c r="C14" s="2730">
        <f t="shared" si="0"/>
        <v>99.999999999999986</v>
      </c>
      <c r="D14" s="2729">
        <v>300</v>
      </c>
      <c r="E14" s="2731">
        <f t="shared" si="1"/>
        <v>25.252525252525253</v>
      </c>
      <c r="F14" s="2729">
        <v>251</v>
      </c>
      <c r="G14" s="2731">
        <f t="shared" si="2"/>
        <v>21.127946127946128</v>
      </c>
      <c r="H14" s="2729">
        <v>159</v>
      </c>
      <c r="I14" s="2731">
        <f t="shared" si="3"/>
        <v>13.383838383838384</v>
      </c>
      <c r="J14" s="2729">
        <v>165</v>
      </c>
      <c r="K14" s="2731">
        <f t="shared" si="4"/>
        <v>13.888888888888889</v>
      </c>
      <c r="L14" s="2729">
        <v>105</v>
      </c>
      <c r="M14" s="2731">
        <f t="shared" si="5"/>
        <v>8.8383838383838391</v>
      </c>
      <c r="N14" s="2729">
        <v>103</v>
      </c>
      <c r="O14" s="2731">
        <f t="shared" si="6"/>
        <v>8.6700336700336695</v>
      </c>
      <c r="P14" s="2729">
        <v>82</v>
      </c>
      <c r="Q14" s="2731">
        <f t="shared" si="7"/>
        <v>6.9023569023569031</v>
      </c>
      <c r="R14" s="2729">
        <v>23</v>
      </c>
      <c r="S14" s="2732">
        <f t="shared" si="8"/>
        <v>1.936026936026936</v>
      </c>
    </row>
    <row r="15" spans="1:19" ht="34.15" customHeight="1">
      <c r="A15" s="2714" t="s">
        <v>362</v>
      </c>
      <c r="B15" s="2729">
        <f t="shared" si="0"/>
        <v>1373</v>
      </c>
      <c r="C15" s="2730">
        <f t="shared" si="0"/>
        <v>100.00000000000001</v>
      </c>
      <c r="D15" s="2729">
        <v>327</v>
      </c>
      <c r="E15" s="2731">
        <f t="shared" si="1"/>
        <v>23.81646030589949</v>
      </c>
      <c r="F15" s="2729">
        <v>307</v>
      </c>
      <c r="G15" s="2731">
        <f t="shared" si="2"/>
        <v>22.359796067006556</v>
      </c>
      <c r="H15" s="2729">
        <v>173</v>
      </c>
      <c r="I15" s="2731">
        <f t="shared" si="3"/>
        <v>12.60014566642389</v>
      </c>
      <c r="J15" s="2729">
        <v>168</v>
      </c>
      <c r="K15" s="2731">
        <f t="shared" si="4"/>
        <v>12.235979606700656</v>
      </c>
      <c r="L15" s="2729">
        <v>162</v>
      </c>
      <c r="M15" s="2731">
        <f t="shared" si="5"/>
        <v>11.798980335032775</v>
      </c>
      <c r="N15" s="2729">
        <v>97</v>
      </c>
      <c r="O15" s="2731">
        <f t="shared" si="6"/>
        <v>7.0648215586307348</v>
      </c>
      <c r="P15" s="2729">
        <v>111</v>
      </c>
      <c r="Q15" s="2731">
        <f t="shared" si="7"/>
        <v>8.0844865258557892</v>
      </c>
      <c r="R15" s="2729">
        <v>28</v>
      </c>
      <c r="S15" s="2732">
        <f t="shared" si="8"/>
        <v>2.0393299344501092</v>
      </c>
    </row>
    <row r="16" spans="1:19" ht="34.15" customHeight="1">
      <c r="A16" s="2714" t="s">
        <v>363</v>
      </c>
      <c r="B16" s="2729">
        <f t="shared" si="0"/>
        <v>1356</v>
      </c>
      <c r="C16" s="2730">
        <f t="shared" si="0"/>
        <v>100</v>
      </c>
      <c r="D16" s="2729">
        <v>313</v>
      </c>
      <c r="E16" s="2731">
        <f t="shared" si="1"/>
        <v>23.08259587020649</v>
      </c>
      <c r="F16" s="2729">
        <v>317</v>
      </c>
      <c r="G16" s="2731">
        <f t="shared" si="2"/>
        <v>23.377581120943951</v>
      </c>
      <c r="H16" s="2729">
        <v>180</v>
      </c>
      <c r="I16" s="2731">
        <f t="shared" si="3"/>
        <v>13.274336283185843</v>
      </c>
      <c r="J16" s="2729">
        <v>158</v>
      </c>
      <c r="K16" s="2731">
        <f t="shared" si="4"/>
        <v>11.651917404129794</v>
      </c>
      <c r="L16" s="2729">
        <v>131</v>
      </c>
      <c r="M16" s="2731">
        <f t="shared" si="5"/>
        <v>9.6607669616519178</v>
      </c>
      <c r="N16" s="2729">
        <v>110</v>
      </c>
      <c r="O16" s="2731">
        <f t="shared" si="6"/>
        <v>8.112094395280236</v>
      </c>
      <c r="P16" s="2729">
        <v>111</v>
      </c>
      <c r="Q16" s="2731">
        <f t="shared" si="7"/>
        <v>8.1858407079646014</v>
      </c>
      <c r="R16" s="2729">
        <v>36</v>
      </c>
      <c r="S16" s="2732">
        <f t="shared" si="8"/>
        <v>2.6548672566371683</v>
      </c>
    </row>
    <row r="17" spans="1:19" ht="34.15" customHeight="1">
      <c r="A17" s="2714" t="s">
        <v>765</v>
      </c>
      <c r="B17" s="2729">
        <f t="shared" si="0"/>
        <v>1275</v>
      </c>
      <c r="C17" s="2730">
        <f t="shared" si="0"/>
        <v>100</v>
      </c>
      <c r="D17" s="2729">
        <v>306</v>
      </c>
      <c r="E17" s="2731">
        <f t="shared" si="1"/>
        <v>24</v>
      </c>
      <c r="F17" s="2729">
        <v>208</v>
      </c>
      <c r="G17" s="2731">
        <f t="shared" si="2"/>
        <v>16.313725490196081</v>
      </c>
      <c r="H17" s="2729">
        <v>186</v>
      </c>
      <c r="I17" s="2731">
        <f t="shared" si="3"/>
        <v>14.588235294117647</v>
      </c>
      <c r="J17" s="2729">
        <v>163</v>
      </c>
      <c r="K17" s="2731">
        <f t="shared" si="4"/>
        <v>12.784313725490195</v>
      </c>
      <c r="L17" s="2729">
        <v>143</v>
      </c>
      <c r="M17" s="2731">
        <f t="shared" si="5"/>
        <v>11.215686274509803</v>
      </c>
      <c r="N17" s="2729">
        <v>118</v>
      </c>
      <c r="O17" s="2731">
        <f t="shared" si="6"/>
        <v>9.2549019607843128</v>
      </c>
      <c r="P17" s="2729">
        <v>96</v>
      </c>
      <c r="Q17" s="2731">
        <f t="shared" si="7"/>
        <v>7.5294117647058814</v>
      </c>
      <c r="R17" s="2729">
        <v>55</v>
      </c>
      <c r="S17" s="2732">
        <f t="shared" si="8"/>
        <v>4.3137254901960782</v>
      </c>
    </row>
    <row r="18" spans="1:19" ht="6" customHeight="1">
      <c r="A18" s="2715"/>
      <c r="B18" s="2733"/>
      <c r="C18" s="2734"/>
      <c r="D18" s="2735"/>
      <c r="E18" s="2736"/>
      <c r="F18" s="2735"/>
      <c r="G18" s="2736"/>
      <c r="H18" s="2735"/>
      <c r="I18" s="2736"/>
      <c r="J18" s="2735"/>
      <c r="K18" s="2736"/>
      <c r="L18" s="2735"/>
      <c r="M18" s="2736"/>
      <c r="N18" s="2735"/>
      <c r="O18" s="2736"/>
      <c r="P18" s="2735"/>
      <c r="Q18" s="2736"/>
      <c r="R18" s="2735"/>
      <c r="S18" s="2737"/>
    </row>
    <row r="19" spans="1:19">
      <c r="A19" s="2738" t="s">
        <v>997</v>
      </c>
      <c r="B19" s="2680"/>
      <c r="C19" s="2680"/>
      <c r="D19" s="2680"/>
      <c r="E19" s="2680"/>
      <c r="F19" s="2680"/>
      <c r="G19" s="2680"/>
      <c r="H19" s="2680"/>
      <c r="I19" s="2680"/>
      <c r="J19" s="2680"/>
      <c r="K19" s="2680"/>
      <c r="L19" s="2680"/>
      <c r="M19" s="2680"/>
      <c r="N19" s="2680"/>
      <c r="O19" s="2680"/>
      <c r="P19" s="2680"/>
      <c r="Q19" s="2680"/>
      <c r="R19" s="2680"/>
      <c r="S19" s="2680"/>
    </row>
  </sheetData>
  <mergeCells count="2">
    <mergeCell ref="A1:S1"/>
    <mergeCell ref="A2:A3"/>
  </mergeCells>
  <phoneticPr fontId="61" type="noConversion"/>
  <printOptions horizontalCentered="1" verticalCentered="1"/>
  <pageMargins left="0.70866141732283472" right="0.70866141732283472" top="0.74803149606299213" bottom="0.74803149606299213" header="0.31496062992125984" footer="0.31496062992125984"/>
  <pageSetup paperSize="11" scale="47" orientation="landscape" r:id="rId1"/>
  <headerFooter differentOddEven="1" scaleWithDoc="0">
    <oddHeader>&amp;L&amp;"Times New Roman,標準"&amp;8 107&amp;"標楷體,標準"年犯罪狀況及其分析</oddHeader>
    <evenHeader>&amp;R&amp;"標楷體,標準"&amp;8第五篇　犯罪被害趨勢、保護與補償</even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JS50"/>
  <sheetViews>
    <sheetView showGridLines="0" zoomScale="96" zoomScaleSheetLayoutView="100" workbookViewId="0">
      <pane xSplit="1" topLeftCell="B1" activePane="topRight" state="frozen"/>
      <selection activeCell="A13" sqref="A13"/>
      <selection pane="topRight" activeCell="C40" sqref="C40"/>
    </sheetView>
  </sheetViews>
  <sheetFormatPr defaultColWidth="9" defaultRowHeight="15"/>
  <cols>
    <col min="1" max="1" width="46.625" style="38" customWidth="1"/>
    <col min="2" max="11" width="10.625" style="38" customWidth="1"/>
    <col min="12" max="16384" width="9" style="38"/>
  </cols>
  <sheetData>
    <row r="1" spans="1:270" ht="22.7" customHeight="1">
      <c r="A1" s="2932" t="s">
        <v>453</v>
      </c>
      <c r="B1" s="2932"/>
      <c r="C1" s="2932"/>
      <c r="D1" s="2932"/>
      <c r="E1" s="2932"/>
      <c r="F1" s="2932"/>
      <c r="G1" s="2932"/>
      <c r="H1" s="2932"/>
      <c r="I1" s="2932"/>
      <c r="J1" s="2932"/>
      <c r="K1" s="2932"/>
      <c r="L1" s="153"/>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c r="CF1" s="154"/>
      <c r="CG1" s="154"/>
      <c r="CH1" s="154"/>
      <c r="CI1" s="154"/>
      <c r="CJ1" s="154"/>
      <c r="CK1" s="154"/>
      <c r="CL1" s="154"/>
      <c r="CM1" s="154"/>
      <c r="CN1" s="154"/>
      <c r="CO1" s="154"/>
      <c r="CP1" s="154"/>
      <c r="CQ1" s="154"/>
      <c r="CR1" s="154"/>
      <c r="CS1" s="154"/>
      <c r="CT1" s="154"/>
      <c r="CU1" s="154"/>
      <c r="CV1" s="154"/>
      <c r="CW1" s="154"/>
      <c r="CX1" s="154"/>
      <c r="CY1" s="154"/>
      <c r="CZ1" s="154"/>
      <c r="DA1" s="154"/>
      <c r="DB1" s="154"/>
      <c r="DC1" s="154"/>
      <c r="DD1" s="154"/>
      <c r="DE1" s="154"/>
      <c r="DF1" s="154"/>
      <c r="DG1" s="154"/>
      <c r="DH1" s="154"/>
      <c r="DI1" s="154"/>
      <c r="DJ1" s="154"/>
      <c r="DK1" s="154"/>
      <c r="DL1" s="154"/>
      <c r="DM1" s="154"/>
      <c r="DN1" s="154"/>
      <c r="DO1" s="154"/>
      <c r="DP1" s="154"/>
      <c r="DQ1" s="154"/>
      <c r="DR1" s="154"/>
      <c r="DS1" s="154"/>
      <c r="DT1" s="154"/>
      <c r="DU1" s="154"/>
      <c r="DV1" s="154"/>
      <c r="DW1" s="154"/>
      <c r="DX1" s="154"/>
      <c r="DY1" s="154"/>
      <c r="DZ1" s="154"/>
      <c r="EA1" s="154"/>
      <c r="EB1" s="154"/>
      <c r="EC1" s="154"/>
      <c r="ED1" s="154"/>
      <c r="EE1" s="154"/>
      <c r="EF1" s="154"/>
      <c r="EG1" s="154"/>
      <c r="EH1" s="154"/>
      <c r="EI1" s="154"/>
      <c r="EJ1" s="154"/>
      <c r="EK1" s="154"/>
      <c r="EL1" s="154"/>
      <c r="EM1" s="154"/>
      <c r="EN1" s="154"/>
      <c r="EO1" s="154"/>
      <c r="EP1" s="154"/>
      <c r="EQ1" s="154"/>
      <c r="ER1" s="154"/>
      <c r="ES1" s="154"/>
      <c r="ET1" s="154"/>
      <c r="EU1" s="154"/>
      <c r="EV1" s="154"/>
      <c r="EW1" s="154"/>
      <c r="EX1" s="154"/>
      <c r="EY1" s="154"/>
      <c r="EZ1" s="154"/>
      <c r="FA1" s="154"/>
      <c r="FB1" s="154"/>
      <c r="FC1" s="154"/>
      <c r="FD1" s="154"/>
      <c r="FE1" s="154"/>
      <c r="FF1" s="154"/>
      <c r="FG1" s="154"/>
      <c r="FH1" s="154"/>
      <c r="FI1" s="154"/>
      <c r="FJ1" s="154"/>
      <c r="FK1" s="154"/>
      <c r="FL1" s="154"/>
      <c r="FM1" s="154"/>
      <c r="FN1" s="154"/>
      <c r="FO1" s="154"/>
      <c r="FP1" s="154"/>
      <c r="FQ1" s="154"/>
      <c r="FR1" s="154"/>
      <c r="FS1" s="154"/>
      <c r="FT1" s="154"/>
      <c r="FU1" s="154"/>
      <c r="FV1" s="154"/>
      <c r="FW1" s="154"/>
      <c r="FX1" s="154"/>
      <c r="FY1" s="154"/>
      <c r="FZ1" s="154"/>
      <c r="GA1" s="154"/>
      <c r="GB1" s="154"/>
      <c r="GC1" s="154"/>
      <c r="GD1" s="154"/>
      <c r="GE1" s="154"/>
      <c r="GF1" s="154"/>
      <c r="GG1" s="154"/>
      <c r="GH1" s="154"/>
      <c r="GI1" s="154"/>
      <c r="GJ1" s="154"/>
      <c r="GK1" s="154"/>
      <c r="GL1" s="154"/>
      <c r="GM1" s="154"/>
      <c r="GN1" s="154"/>
      <c r="GO1" s="154"/>
      <c r="GP1" s="154"/>
      <c r="GQ1" s="154"/>
      <c r="GR1" s="154"/>
    </row>
    <row r="2" spans="1:270" ht="15.75">
      <c r="A2" s="364"/>
      <c r="B2" s="361" t="s">
        <v>7</v>
      </c>
      <c r="C2" s="361" t="s">
        <v>443</v>
      </c>
      <c r="D2" s="361" t="s">
        <v>444</v>
      </c>
      <c r="E2" s="361" t="s">
        <v>445</v>
      </c>
      <c r="F2" s="361" t="s">
        <v>446</v>
      </c>
      <c r="G2" s="361" t="s">
        <v>447</v>
      </c>
      <c r="H2" s="361" t="s">
        <v>448</v>
      </c>
      <c r="I2" s="361" t="s">
        <v>449</v>
      </c>
      <c r="J2" s="361" t="s">
        <v>450</v>
      </c>
      <c r="K2" s="361" t="s">
        <v>451</v>
      </c>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154"/>
      <c r="EF2" s="154"/>
      <c r="EG2" s="154"/>
      <c r="EH2" s="154"/>
      <c r="EI2" s="154"/>
      <c r="EJ2" s="154"/>
      <c r="EK2" s="154"/>
      <c r="EL2" s="154"/>
      <c r="EM2" s="154"/>
      <c r="EN2" s="154"/>
      <c r="EO2" s="154"/>
      <c r="EP2" s="154"/>
      <c r="EQ2" s="154"/>
      <c r="ER2" s="154"/>
      <c r="ES2" s="154"/>
      <c r="ET2" s="154"/>
      <c r="EU2" s="154"/>
      <c r="EV2" s="154"/>
      <c r="EW2" s="154"/>
      <c r="EX2" s="154"/>
      <c r="EY2" s="154"/>
      <c r="EZ2" s="154"/>
      <c r="FA2" s="154"/>
      <c r="FB2" s="154"/>
      <c r="FC2" s="154"/>
      <c r="FD2" s="154"/>
      <c r="FE2" s="154"/>
      <c r="FF2" s="154"/>
      <c r="FG2" s="154"/>
      <c r="FH2" s="154"/>
      <c r="FI2" s="154"/>
      <c r="FJ2" s="154"/>
      <c r="FK2" s="154"/>
      <c r="FL2" s="154"/>
      <c r="FM2" s="154"/>
      <c r="FN2" s="154"/>
      <c r="FO2" s="154"/>
      <c r="FP2" s="154"/>
      <c r="FQ2" s="154"/>
      <c r="FR2" s="154"/>
      <c r="FS2" s="154"/>
      <c r="FT2" s="154"/>
      <c r="FU2" s="154"/>
      <c r="FV2" s="154"/>
      <c r="FW2" s="154"/>
      <c r="FX2" s="154"/>
      <c r="FY2" s="154"/>
      <c r="FZ2" s="154"/>
      <c r="GA2" s="154"/>
      <c r="GB2" s="154"/>
      <c r="GC2" s="154"/>
      <c r="GD2" s="154"/>
      <c r="GE2" s="154"/>
      <c r="GF2" s="154"/>
      <c r="GG2" s="154"/>
      <c r="GH2" s="154"/>
      <c r="GI2" s="154"/>
      <c r="GJ2" s="154"/>
      <c r="GK2" s="154"/>
      <c r="GL2" s="154"/>
      <c r="GM2" s="154"/>
      <c r="GN2" s="154"/>
      <c r="GO2" s="154"/>
      <c r="GP2" s="154"/>
    </row>
    <row r="3" spans="1:270" ht="18.75" customHeight="1">
      <c r="A3" s="445" t="s">
        <v>374</v>
      </c>
      <c r="B3" s="450">
        <v>626</v>
      </c>
      <c r="C3" s="450">
        <v>624</v>
      </c>
      <c r="D3" s="450">
        <v>633</v>
      </c>
      <c r="E3" s="450">
        <v>693</v>
      </c>
      <c r="F3" s="450">
        <v>717</v>
      </c>
      <c r="G3" s="450">
        <v>677</v>
      </c>
      <c r="H3" s="450">
        <v>682</v>
      </c>
      <c r="I3" s="450">
        <v>775</v>
      </c>
      <c r="J3" s="450">
        <v>852</v>
      </c>
      <c r="K3" s="451">
        <v>740</v>
      </c>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row>
    <row r="4" spans="1:270" ht="16.5">
      <c r="A4" s="447" t="s">
        <v>375</v>
      </c>
      <c r="B4" s="452">
        <v>21</v>
      </c>
      <c r="C4" s="452">
        <v>20</v>
      </c>
      <c r="D4" s="452">
        <v>23</v>
      </c>
      <c r="E4" s="452">
        <v>32</v>
      </c>
      <c r="F4" s="452">
        <v>24</v>
      </c>
      <c r="G4" s="452">
        <v>51</v>
      </c>
      <c r="H4" s="452">
        <v>100</v>
      </c>
      <c r="I4" s="452">
        <v>162</v>
      </c>
      <c r="J4" s="452">
        <v>276</v>
      </c>
      <c r="K4" s="453">
        <v>188</v>
      </c>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c r="FY4" s="154"/>
      <c r="FZ4" s="154"/>
      <c r="GA4" s="154"/>
      <c r="GB4" s="154"/>
      <c r="GC4" s="154"/>
      <c r="GD4" s="154"/>
      <c r="GE4" s="154"/>
    </row>
    <row r="5" spans="1:270" ht="16.5">
      <c r="A5" s="447" t="s">
        <v>456</v>
      </c>
      <c r="B5" s="452">
        <v>182</v>
      </c>
      <c r="C5" s="452">
        <v>193</v>
      </c>
      <c r="D5" s="452">
        <v>206</v>
      </c>
      <c r="E5" s="452">
        <v>199</v>
      </c>
      <c r="F5" s="452">
        <v>189</v>
      </c>
      <c r="G5" s="452">
        <v>157</v>
      </c>
      <c r="H5" s="452">
        <v>146</v>
      </c>
      <c r="I5" s="452">
        <v>152</v>
      </c>
      <c r="J5" s="452">
        <v>161</v>
      </c>
      <c r="K5" s="453">
        <v>140</v>
      </c>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c r="FY5" s="154"/>
      <c r="FZ5" s="154"/>
      <c r="GA5" s="154"/>
      <c r="GB5" s="154"/>
      <c r="GC5" s="154"/>
      <c r="GD5" s="154"/>
      <c r="GE5" s="154"/>
    </row>
    <row r="6" spans="1:270" ht="16.5">
      <c r="A6" s="447" t="s">
        <v>457</v>
      </c>
      <c r="B6" s="452">
        <v>40</v>
      </c>
      <c r="C6" s="452">
        <v>53</v>
      </c>
      <c r="D6" s="452">
        <v>84</v>
      </c>
      <c r="E6" s="452">
        <v>69</v>
      </c>
      <c r="F6" s="452">
        <v>73</v>
      </c>
      <c r="G6" s="452">
        <v>63</v>
      </c>
      <c r="H6" s="452">
        <v>67</v>
      </c>
      <c r="I6" s="452">
        <v>97</v>
      </c>
      <c r="J6" s="452">
        <v>104</v>
      </c>
      <c r="K6" s="453">
        <v>129</v>
      </c>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c r="CU6" s="154"/>
      <c r="CV6" s="154"/>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54"/>
      <c r="EZ6" s="154"/>
      <c r="FA6" s="154"/>
      <c r="FB6" s="154"/>
      <c r="FC6" s="154"/>
      <c r="FD6" s="154"/>
      <c r="FE6" s="154"/>
      <c r="FF6" s="154"/>
      <c r="FG6" s="154"/>
      <c r="FH6" s="154"/>
      <c r="FI6" s="154"/>
      <c r="FJ6" s="154"/>
      <c r="FK6" s="154"/>
      <c r="FL6" s="154"/>
      <c r="FM6" s="154"/>
      <c r="FN6" s="154"/>
      <c r="FO6" s="154"/>
      <c r="FP6" s="154"/>
      <c r="FQ6" s="154"/>
      <c r="FR6" s="154"/>
      <c r="FS6" s="154"/>
      <c r="FT6" s="154"/>
      <c r="FU6" s="154"/>
      <c r="FV6" s="154"/>
      <c r="FW6" s="154"/>
      <c r="FX6" s="154"/>
      <c r="FY6" s="154"/>
      <c r="FZ6" s="154"/>
      <c r="GA6" s="154"/>
      <c r="GB6" s="154"/>
      <c r="GC6" s="154"/>
      <c r="GD6" s="154"/>
      <c r="GE6" s="154"/>
    </row>
    <row r="7" spans="1:270" ht="16.5">
      <c r="A7" s="447" t="s">
        <v>458</v>
      </c>
      <c r="B7" s="452">
        <v>59</v>
      </c>
      <c r="C7" s="452">
        <v>41</v>
      </c>
      <c r="D7" s="452">
        <v>60</v>
      </c>
      <c r="E7" s="452">
        <v>74</v>
      </c>
      <c r="F7" s="452">
        <v>115</v>
      </c>
      <c r="G7" s="452">
        <v>116</v>
      </c>
      <c r="H7" s="452">
        <v>94</v>
      </c>
      <c r="I7" s="452">
        <v>104</v>
      </c>
      <c r="J7" s="452">
        <v>86</v>
      </c>
      <c r="K7" s="453">
        <v>80</v>
      </c>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c r="FY7" s="154"/>
      <c r="FZ7" s="154"/>
      <c r="GA7" s="154"/>
      <c r="GB7" s="154"/>
      <c r="GC7" s="154"/>
      <c r="GD7" s="154"/>
      <c r="GE7" s="154"/>
    </row>
    <row r="8" spans="1:270" ht="16.5">
      <c r="A8" s="447" t="s">
        <v>459</v>
      </c>
      <c r="B8" s="452">
        <v>41</v>
      </c>
      <c r="C8" s="452">
        <v>58</v>
      </c>
      <c r="D8" s="452">
        <v>46</v>
      </c>
      <c r="E8" s="452">
        <v>55</v>
      </c>
      <c r="F8" s="452">
        <v>45</v>
      </c>
      <c r="G8" s="452">
        <v>56</v>
      </c>
      <c r="H8" s="452">
        <v>40</v>
      </c>
      <c r="I8" s="452">
        <v>46</v>
      </c>
      <c r="J8" s="452">
        <v>47</v>
      </c>
      <c r="K8" s="453">
        <v>41</v>
      </c>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154"/>
      <c r="DH8" s="154"/>
      <c r="DI8" s="154"/>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c r="EO8" s="154"/>
      <c r="EP8" s="154"/>
      <c r="EQ8" s="154"/>
      <c r="ER8" s="154"/>
      <c r="ES8" s="154"/>
      <c r="ET8" s="154"/>
      <c r="EU8" s="154"/>
      <c r="EV8" s="154"/>
      <c r="EW8" s="154"/>
      <c r="EX8" s="154"/>
      <c r="EY8" s="154"/>
      <c r="EZ8" s="154"/>
      <c r="FA8" s="154"/>
      <c r="FB8" s="154"/>
      <c r="FC8" s="154"/>
      <c r="FD8" s="154"/>
      <c r="FE8" s="154"/>
      <c r="FF8" s="154"/>
      <c r="FG8" s="154"/>
      <c r="FH8" s="154"/>
      <c r="FI8" s="154"/>
      <c r="FJ8" s="154"/>
      <c r="FK8" s="154"/>
      <c r="FL8" s="154"/>
      <c r="FM8" s="154"/>
      <c r="FN8" s="154"/>
      <c r="FO8" s="154"/>
      <c r="FP8" s="154"/>
      <c r="FQ8" s="154"/>
      <c r="FR8" s="154"/>
      <c r="FS8" s="154"/>
      <c r="FT8" s="154"/>
      <c r="FU8" s="154"/>
      <c r="FV8" s="154"/>
      <c r="FW8" s="154"/>
      <c r="FX8" s="154"/>
      <c r="FY8" s="154"/>
      <c r="FZ8" s="154"/>
      <c r="GA8" s="154"/>
      <c r="GB8" s="154"/>
      <c r="GC8" s="154"/>
      <c r="GD8" s="154"/>
      <c r="GE8" s="154"/>
    </row>
    <row r="9" spans="1:270" ht="16.5">
      <c r="A9" s="447" t="s">
        <v>377</v>
      </c>
      <c r="B9" s="452">
        <v>43</v>
      </c>
      <c r="C9" s="452">
        <v>29</v>
      </c>
      <c r="D9" s="452">
        <v>27</v>
      </c>
      <c r="E9" s="452">
        <v>35</v>
      </c>
      <c r="F9" s="452">
        <v>21</v>
      </c>
      <c r="G9" s="452">
        <v>25</v>
      </c>
      <c r="H9" s="452">
        <v>21</v>
      </c>
      <c r="I9" s="452">
        <v>43</v>
      </c>
      <c r="J9" s="452">
        <v>22</v>
      </c>
      <c r="K9" s="453">
        <v>33</v>
      </c>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c r="FY9" s="154"/>
      <c r="FZ9" s="154"/>
      <c r="GA9" s="154"/>
      <c r="GB9" s="154"/>
      <c r="GC9" s="154"/>
      <c r="GD9" s="154"/>
      <c r="GE9" s="154"/>
    </row>
    <row r="10" spans="1:270" ht="16.5">
      <c r="A10" s="447" t="s">
        <v>378</v>
      </c>
      <c r="B10" s="452">
        <v>32</v>
      </c>
      <c r="C10" s="452">
        <v>40</v>
      </c>
      <c r="D10" s="452">
        <v>28</v>
      </c>
      <c r="E10" s="452">
        <v>32</v>
      </c>
      <c r="F10" s="452">
        <v>32</v>
      </c>
      <c r="G10" s="452">
        <v>20</v>
      </c>
      <c r="H10" s="452">
        <v>15</v>
      </c>
      <c r="I10" s="452">
        <v>13</v>
      </c>
      <c r="J10" s="452">
        <v>16</v>
      </c>
      <c r="K10" s="453">
        <v>24</v>
      </c>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c r="FY10" s="154"/>
      <c r="FZ10" s="154"/>
      <c r="GA10" s="154"/>
      <c r="GB10" s="154"/>
      <c r="GC10" s="154"/>
      <c r="GD10" s="154"/>
      <c r="GE10" s="154"/>
    </row>
    <row r="11" spans="1:270" ht="15" customHeight="1">
      <c r="A11" s="447" t="s">
        <v>460</v>
      </c>
      <c r="B11" s="452">
        <v>18</v>
      </c>
      <c r="C11" s="452">
        <v>35</v>
      </c>
      <c r="D11" s="452">
        <v>28</v>
      </c>
      <c r="E11" s="452">
        <v>44</v>
      </c>
      <c r="F11" s="452">
        <v>41</v>
      </c>
      <c r="G11" s="452">
        <v>28</v>
      </c>
      <c r="H11" s="452">
        <v>41</v>
      </c>
      <c r="I11" s="452">
        <v>32</v>
      </c>
      <c r="J11" s="452">
        <v>35</v>
      </c>
      <c r="K11" s="453">
        <v>22</v>
      </c>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c r="CQ11" s="154"/>
      <c r="CR11" s="154"/>
      <c r="CS11" s="154"/>
      <c r="CT11" s="154"/>
      <c r="CU11" s="154"/>
      <c r="CV11" s="154"/>
      <c r="CW11" s="154"/>
      <c r="CX11" s="154"/>
      <c r="CY11" s="154"/>
      <c r="CZ11" s="154"/>
      <c r="DA11" s="154"/>
      <c r="DB11" s="154"/>
      <c r="DC11" s="154"/>
      <c r="DD11" s="154"/>
      <c r="DE11" s="154"/>
      <c r="DF11" s="154"/>
      <c r="DG11" s="154"/>
      <c r="DH11" s="154"/>
      <c r="DI11" s="154"/>
      <c r="DJ11" s="154"/>
      <c r="DK11" s="154"/>
      <c r="DL11" s="154"/>
      <c r="DM11" s="154"/>
      <c r="DN11" s="154"/>
      <c r="DO11" s="154"/>
      <c r="DP11" s="154"/>
      <c r="DQ11" s="154"/>
      <c r="DR11" s="154"/>
      <c r="DS11" s="154"/>
      <c r="DT11" s="154"/>
      <c r="DU11" s="154"/>
      <c r="DV11" s="154"/>
      <c r="DW11" s="154"/>
      <c r="DX11" s="154"/>
      <c r="DY11" s="154"/>
      <c r="DZ11" s="154"/>
      <c r="EA11" s="154"/>
      <c r="EB11" s="154"/>
      <c r="EC11" s="154"/>
      <c r="ED11" s="154"/>
      <c r="EE11" s="154"/>
      <c r="EF11" s="154"/>
      <c r="EG11" s="154"/>
      <c r="EH11" s="154"/>
      <c r="EI11" s="154"/>
      <c r="EJ11" s="154"/>
      <c r="EK11" s="154"/>
      <c r="EL11" s="154"/>
      <c r="EM11" s="154"/>
      <c r="EN11" s="154"/>
      <c r="EO11" s="154"/>
      <c r="EP11" s="154"/>
      <c r="EQ11" s="154"/>
      <c r="ER11" s="154"/>
      <c r="ES11" s="154"/>
      <c r="ET11" s="154"/>
      <c r="EU11" s="154"/>
      <c r="EV11" s="154"/>
      <c r="EW11" s="154"/>
      <c r="EX11" s="154"/>
      <c r="EY11" s="154"/>
      <c r="EZ11" s="154"/>
      <c r="FA11" s="154"/>
      <c r="FB11" s="154"/>
      <c r="FC11" s="154"/>
      <c r="FD11" s="154"/>
      <c r="FE11" s="154"/>
      <c r="FF11" s="154"/>
      <c r="FG11" s="154"/>
      <c r="FH11" s="154"/>
      <c r="FI11" s="154"/>
      <c r="FJ11" s="154"/>
      <c r="FK11" s="154"/>
      <c r="FL11" s="154"/>
      <c r="FM11" s="154"/>
      <c r="FN11" s="154"/>
      <c r="FO11" s="154"/>
      <c r="FP11" s="154"/>
      <c r="FQ11" s="154"/>
      <c r="FR11" s="154"/>
      <c r="FS11" s="154"/>
      <c r="FT11" s="154"/>
      <c r="FU11" s="154"/>
      <c r="FV11" s="154"/>
      <c r="FW11" s="154"/>
      <c r="FX11" s="154"/>
      <c r="FY11" s="154"/>
      <c r="FZ11" s="154"/>
      <c r="GA11" s="154"/>
      <c r="GB11" s="154"/>
      <c r="GC11" s="154"/>
      <c r="GD11" s="154"/>
      <c r="GE11" s="154"/>
    </row>
    <row r="12" spans="1:270" ht="16.5">
      <c r="A12" s="447" t="s">
        <v>461</v>
      </c>
      <c r="B12" s="454" t="s">
        <v>1</v>
      </c>
      <c r="C12" s="454" t="s">
        <v>1</v>
      </c>
      <c r="D12" s="454" t="s">
        <v>1</v>
      </c>
      <c r="E12" s="454" t="s">
        <v>1</v>
      </c>
      <c r="F12" s="452">
        <v>3</v>
      </c>
      <c r="G12" s="452">
        <v>17</v>
      </c>
      <c r="H12" s="452">
        <v>19</v>
      </c>
      <c r="I12" s="452">
        <v>26</v>
      </c>
      <c r="J12" s="452">
        <v>24</v>
      </c>
      <c r="K12" s="453">
        <v>21</v>
      </c>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c r="FY12" s="154"/>
      <c r="FZ12" s="154"/>
      <c r="GA12" s="154"/>
      <c r="GB12" s="154"/>
      <c r="GC12" s="154"/>
      <c r="GD12" s="154"/>
      <c r="GE12" s="154"/>
    </row>
    <row r="13" spans="1:270" ht="16.5">
      <c r="A13" s="447" t="s">
        <v>462</v>
      </c>
      <c r="B13" s="454">
        <v>5</v>
      </c>
      <c r="C13" s="454">
        <v>22</v>
      </c>
      <c r="D13" s="454">
        <v>13</v>
      </c>
      <c r="E13" s="454">
        <v>10</v>
      </c>
      <c r="F13" s="452">
        <v>18</v>
      </c>
      <c r="G13" s="452">
        <v>9</v>
      </c>
      <c r="H13" s="452">
        <v>7</v>
      </c>
      <c r="I13" s="452">
        <v>7</v>
      </c>
      <c r="J13" s="452">
        <v>15</v>
      </c>
      <c r="K13" s="453">
        <v>18</v>
      </c>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c r="FY13" s="154"/>
      <c r="FZ13" s="154"/>
      <c r="GA13" s="154"/>
      <c r="GB13" s="154"/>
      <c r="GC13" s="154"/>
      <c r="GD13" s="154"/>
      <c r="GE13" s="154"/>
    </row>
    <row r="14" spans="1:270" ht="16.5">
      <c r="A14" s="447" t="s">
        <v>464</v>
      </c>
      <c r="B14" s="454">
        <v>130</v>
      </c>
      <c r="C14" s="454">
        <v>62</v>
      </c>
      <c r="D14" s="454">
        <v>64</v>
      </c>
      <c r="E14" s="454">
        <v>64</v>
      </c>
      <c r="F14" s="452">
        <v>52</v>
      </c>
      <c r="G14" s="452">
        <v>54</v>
      </c>
      <c r="H14" s="452">
        <v>68</v>
      </c>
      <c r="I14" s="452">
        <v>39</v>
      </c>
      <c r="J14" s="452">
        <v>18</v>
      </c>
      <c r="K14" s="453">
        <v>15</v>
      </c>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c r="BT14" s="154"/>
      <c r="BU14" s="154"/>
      <c r="BV14" s="154"/>
      <c r="BW14" s="154"/>
      <c r="BX14" s="154"/>
      <c r="BY14" s="154"/>
      <c r="BZ14" s="154"/>
      <c r="CA14" s="154"/>
      <c r="CB14" s="154"/>
      <c r="CC14" s="154"/>
      <c r="CD14" s="154"/>
      <c r="CE14" s="154"/>
      <c r="CF14" s="154"/>
      <c r="CG14" s="154"/>
      <c r="CH14" s="154"/>
      <c r="CI14" s="154"/>
      <c r="CJ14" s="154"/>
      <c r="CK14" s="154"/>
      <c r="CL14" s="154"/>
      <c r="CM14" s="154"/>
      <c r="CN14" s="154"/>
      <c r="CO14" s="154"/>
      <c r="CP14" s="154"/>
      <c r="CQ14" s="154"/>
      <c r="CR14" s="154"/>
      <c r="CS14" s="154"/>
      <c r="CT14" s="154"/>
      <c r="CU14" s="154"/>
      <c r="CV14" s="154"/>
      <c r="CW14" s="154"/>
      <c r="CX14" s="154"/>
      <c r="CY14" s="154"/>
      <c r="CZ14" s="154"/>
      <c r="DA14" s="154"/>
      <c r="DB14" s="154"/>
      <c r="DC14" s="154"/>
      <c r="DD14" s="154"/>
      <c r="DE14" s="154"/>
      <c r="DF14" s="154"/>
      <c r="DG14" s="154"/>
      <c r="DH14" s="154"/>
      <c r="DI14" s="154"/>
      <c r="DJ14" s="154"/>
      <c r="DK14" s="154"/>
      <c r="DL14" s="154"/>
      <c r="DM14" s="154"/>
      <c r="DN14" s="154"/>
      <c r="DO14" s="154"/>
      <c r="DP14" s="154"/>
      <c r="DQ14" s="154"/>
      <c r="DR14" s="154"/>
      <c r="DS14" s="154"/>
      <c r="DT14" s="154"/>
      <c r="DU14" s="154"/>
      <c r="DV14" s="154"/>
      <c r="DW14" s="154"/>
      <c r="DX14" s="154"/>
      <c r="DY14" s="154"/>
      <c r="DZ14" s="154"/>
      <c r="EA14" s="154"/>
      <c r="EB14" s="154"/>
      <c r="EC14" s="154"/>
      <c r="ED14" s="154"/>
      <c r="EE14" s="154"/>
      <c r="EF14" s="154"/>
      <c r="EG14" s="154"/>
      <c r="EH14" s="154"/>
      <c r="EI14" s="154"/>
      <c r="EJ14" s="154"/>
      <c r="EK14" s="154"/>
      <c r="EL14" s="154"/>
      <c r="EM14" s="154"/>
      <c r="EN14" s="154"/>
      <c r="EO14" s="154"/>
      <c r="EP14" s="154"/>
      <c r="EQ14" s="154"/>
      <c r="ER14" s="154"/>
      <c r="ES14" s="154"/>
      <c r="ET14" s="154"/>
      <c r="EU14" s="154"/>
      <c r="EV14" s="154"/>
      <c r="EW14" s="154"/>
      <c r="EX14" s="154"/>
      <c r="EY14" s="154"/>
      <c r="EZ14" s="154"/>
      <c r="FA14" s="154"/>
      <c r="FB14" s="154"/>
      <c r="FC14" s="154"/>
      <c r="FD14" s="154"/>
      <c r="FE14" s="154"/>
      <c r="FF14" s="154"/>
      <c r="FG14" s="154"/>
      <c r="FH14" s="154"/>
      <c r="FI14" s="154"/>
      <c r="FJ14" s="154"/>
      <c r="FK14" s="154"/>
      <c r="FL14" s="154"/>
      <c r="FM14" s="154"/>
      <c r="FN14" s="154"/>
      <c r="FO14" s="154"/>
      <c r="FP14" s="154"/>
      <c r="FQ14" s="154"/>
      <c r="FR14" s="154"/>
      <c r="FS14" s="154"/>
      <c r="FT14" s="154"/>
      <c r="FU14" s="154"/>
      <c r="FV14" s="154"/>
      <c r="FW14" s="154"/>
      <c r="FX14" s="154"/>
      <c r="FY14" s="154"/>
      <c r="FZ14" s="154"/>
      <c r="GA14" s="154"/>
      <c r="GB14" s="154"/>
      <c r="GC14" s="154"/>
      <c r="GD14" s="154"/>
      <c r="GE14" s="154"/>
    </row>
    <row r="15" spans="1:270" ht="16.5">
      <c r="A15" s="447" t="s">
        <v>379</v>
      </c>
      <c r="B15" s="455">
        <v>18</v>
      </c>
      <c r="C15" s="455">
        <v>10</v>
      </c>
      <c r="D15" s="455">
        <v>5</v>
      </c>
      <c r="E15" s="455">
        <v>12</v>
      </c>
      <c r="F15" s="455">
        <v>9</v>
      </c>
      <c r="G15" s="452">
        <v>7</v>
      </c>
      <c r="H15" s="452">
        <v>6</v>
      </c>
      <c r="I15" s="452">
        <v>11</v>
      </c>
      <c r="J15" s="452">
        <v>5</v>
      </c>
      <c r="K15" s="453">
        <v>7</v>
      </c>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154"/>
      <c r="DM15" s="154"/>
      <c r="DN15" s="154"/>
      <c r="DO15" s="154"/>
      <c r="DP15" s="154"/>
      <c r="DQ15" s="154"/>
      <c r="DR15" s="154"/>
      <c r="DS15" s="154"/>
      <c r="DT15" s="154"/>
      <c r="DU15" s="154"/>
      <c r="DV15" s="154"/>
      <c r="DW15" s="154"/>
      <c r="DX15" s="154"/>
      <c r="DY15" s="154"/>
      <c r="DZ15" s="154"/>
      <c r="EA15" s="154"/>
      <c r="EB15" s="154"/>
      <c r="EC15" s="154"/>
      <c r="ED15" s="154"/>
      <c r="EE15" s="154"/>
      <c r="EF15" s="154"/>
      <c r="EG15" s="154"/>
      <c r="EH15" s="154"/>
      <c r="EI15" s="154"/>
      <c r="EJ15" s="154"/>
      <c r="EK15" s="154"/>
      <c r="EL15" s="154"/>
      <c r="EM15" s="154"/>
      <c r="EN15" s="154"/>
      <c r="EO15" s="154"/>
      <c r="EP15" s="154"/>
      <c r="EQ15" s="154"/>
      <c r="ER15" s="154"/>
      <c r="ES15" s="154"/>
      <c r="ET15" s="154"/>
      <c r="EU15" s="154"/>
      <c r="EV15" s="154"/>
      <c r="EW15" s="154"/>
      <c r="EX15" s="154"/>
      <c r="EY15" s="154"/>
      <c r="EZ15" s="154"/>
      <c r="FA15" s="154"/>
      <c r="FB15" s="154"/>
      <c r="FC15" s="154"/>
      <c r="FD15" s="154"/>
      <c r="FE15" s="154"/>
      <c r="FF15" s="154"/>
      <c r="FG15" s="154"/>
      <c r="FH15" s="154"/>
      <c r="FI15" s="154"/>
      <c r="FJ15" s="154"/>
      <c r="FK15" s="154"/>
      <c r="FL15" s="154"/>
      <c r="FM15" s="154"/>
      <c r="FN15" s="154"/>
      <c r="FO15" s="154"/>
      <c r="FP15" s="154"/>
      <c r="FQ15" s="154"/>
      <c r="FR15" s="154"/>
      <c r="FS15" s="154"/>
      <c r="FT15" s="154"/>
      <c r="FU15" s="154"/>
      <c r="FV15" s="154"/>
      <c r="FW15" s="154"/>
      <c r="FX15" s="154"/>
      <c r="FY15" s="154"/>
      <c r="FZ15" s="154"/>
      <c r="GA15" s="154"/>
      <c r="GB15" s="154"/>
      <c r="GC15" s="154"/>
      <c r="GD15" s="154"/>
      <c r="GE15" s="154"/>
      <c r="GF15" s="154"/>
      <c r="GG15" s="154"/>
      <c r="GH15" s="154"/>
      <c r="GI15" s="154"/>
      <c r="GJ15" s="154"/>
      <c r="GK15" s="154"/>
      <c r="GL15" s="154"/>
      <c r="GM15" s="154"/>
      <c r="GN15" s="154"/>
      <c r="GO15" s="154"/>
      <c r="GP15" s="154"/>
      <c r="GQ15" s="154"/>
      <c r="GR15" s="154"/>
      <c r="GS15" s="154"/>
      <c r="GT15" s="154"/>
      <c r="GU15" s="154"/>
      <c r="GV15" s="154"/>
      <c r="GW15" s="154"/>
      <c r="GX15" s="154"/>
      <c r="GY15" s="154"/>
      <c r="GZ15" s="154"/>
      <c r="HA15" s="154"/>
      <c r="HB15" s="154"/>
      <c r="HC15" s="154"/>
      <c r="HD15" s="154"/>
      <c r="HE15" s="154"/>
      <c r="HF15" s="154"/>
      <c r="HG15" s="154"/>
      <c r="HH15" s="154"/>
      <c r="HI15" s="154"/>
      <c r="HJ15" s="154"/>
      <c r="HK15" s="154"/>
      <c r="HL15" s="154"/>
      <c r="HM15" s="154"/>
      <c r="HN15" s="154"/>
      <c r="HO15" s="154"/>
      <c r="HP15" s="154"/>
      <c r="HQ15" s="154"/>
      <c r="HR15" s="154"/>
      <c r="HS15" s="154"/>
      <c r="HT15" s="154"/>
      <c r="HU15" s="154"/>
      <c r="HV15" s="154"/>
      <c r="HW15" s="154"/>
      <c r="HX15" s="154"/>
      <c r="HY15" s="154"/>
      <c r="HZ15" s="154"/>
      <c r="IA15" s="154"/>
      <c r="IB15" s="154"/>
      <c r="IC15" s="154"/>
      <c r="ID15" s="154"/>
      <c r="IE15" s="154"/>
      <c r="IF15" s="154"/>
      <c r="IG15" s="154"/>
      <c r="IH15" s="154"/>
      <c r="II15" s="154"/>
      <c r="IJ15" s="154"/>
      <c r="IK15" s="154"/>
      <c r="IL15" s="154"/>
      <c r="IM15" s="154"/>
      <c r="IN15" s="154"/>
      <c r="IO15" s="154"/>
      <c r="IP15" s="154"/>
      <c r="IQ15" s="154"/>
      <c r="IR15" s="154"/>
      <c r="IS15" s="154"/>
      <c r="IT15" s="154"/>
      <c r="IU15" s="154"/>
      <c r="IV15" s="154"/>
      <c r="IW15" s="154"/>
      <c r="IX15" s="154"/>
      <c r="IY15" s="154"/>
      <c r="IZ15" s="154"/>
      <c r="JA15" s="154"/>
      <c r="JB15" s="154"/>
      <c r="JC15" s="154"/>
      <c r="JD15" s="154"/>
      <c r="JE15" s="154"/>
      <c r="JF15" s="154"/>
      <c r="JG15" s="154"/>
      <c r="JH15" s="154"/>
      <c r="JI15" s="154"/>
      <c r="JJ15" s="154"/>
    </row>
    <row r="16" spans="1:270" s="281" customFormat="1" ht="16.5">
      <c r="A16" s="447" t="s">
        <v>465</v>
      </c>
      <c r="B16" s="455">
        <v>9</v>
      </c>
      <c r="C16" s="455">
        <v>21</v>
      </c>
      <c r="D16" s="456">
        <v>20</v>
      </c>
      <c r="E16" s="455">
        <v>19</v>
      </c>
      <c r="F16" s="455">
        <v>40</v>
      </c>
      <c r="G16" s="452">
        <v>37</v>
      </c>
      <c r="H16" s="454">
        <v>17</v>
      </c>
      <c r="I16" s="454">
        <v>10</v>
      </c>
      <c r="J16" s="454">
        <v>9</v>
      </c>
      <c r="K16" s="457">
        <v>7</v>
      </c>
      <c r="L16" s="282"/>
      <c r="M16" s="282"/>
      <c r="N16" s="282"/>
      <c r="O16" s="282"/>
      <c r="P16" s="282"/>
      <c r="Q16" s="282"/>
      <c r="R16" s="282"/>
      <c r="S16" s="282"/>
      <c r="T16" s="282"/>
      <c r="U16" s="282"/>
      <c r="V16" s="282"/>
      <c r="W16" s="282"/>
      <c r="AF16" s="282"/>
      <c r="AG16" s="282"/>
      <c r="AH16" s="282"/>
      <c r="AI16" s="282"/>
      <c r="AJ16" s="282"/>
      <c r="AK16" s="282"/>
      <c r="AL16" s="282"/>
      <c r="AM16" s="282"/>
      <c r="AN16" s="282"/>
      <c r="AO16" s="282"/>
      <c r="AP16" s="282"/>
      <c r="AQ16" s="282"/>
      <c r="AR16" s="282"/>
      <c r="AS16" s="282"/>
      <c r="AT16" s="282"/>
      <c r="AU16" s="282"/>
      <c r="AV16" s="282"/>
      <c r="AW16" s="282"/>
      <c r="AX16" s="282"/>
      <c r="AY16" s="282"/>
      <c r="AZ16" s="282"/>
      <c r="BA16" s="282"/>
      <c r="BB16" s="282"/>
      <c r="BC16" s="282"/>
      <c r="BD16" s="282"/>
      <c r="BE16" s="282"/>
      <c r="BF16" s="282"/>
      <c r="BG16" s="282"/>
      <c r="BH16" s="282"/>
      <c r="BI16" s="282"/>
      <c r="BJ16" s="282"/>
      <c r="BK16" s="282"/>
      <c r="BL16" s="282"/>
      <c r="BM16" s="282"/>
      <c r="BN16" s="282"/>
      <c r="BO16" s="282"/>
      <c r="BP16" s="282"/>
      <c r="BQ16" s="282"/>
      <c r="BR16" s="282"/>
      <c r="BS16" s="282"/>
      <c r="BT16" s="282"/>
      <c r="BU16" s="282"/>
      <c r="BV16" s="282"/>
      <c r="BW16" s="282"/>
      <c r="BX16" s="282"/>
      <c r="BY16" s="282"/>
      <c r="BZ16" s="282"/>
      <c r="CA16" s="282"/>
      <c r="CB16" s="282"/>
      <c r="CC16" s="282"/>
      <c r="CD16" s="282"/>
      <c r="CE16" s="282"/>
      <c r="CF16" s="282"/>
      <c r="CG16" s="282"/>
      <c r="CH16" s="282"/>
      <c r="CI16" s="282"/>
      <c r="CJ16" s="282"/>
      <c r="CK16" s="282"/>
      <c r="CL16" s="282"/>
      <c r="CM16" s="282"/>
      <c r="CN16" s="282"/>
      <c r="CO16" s="282"/>
      <c r="CP16" s="282"/>
      <c r="CQ16" s="282"/>
      <c r="CR16" s="282"/>
      <c r="CS16" s="282"/>
      <c r="CT16" s="282"/>
      <c r="CU16" s="282"/>
      <c r="CV16" s="282"/>
      <c r="CW16" s="282"/>
      <c r="CX16" s="282"/>
      <c r="CY16" s="282"/>
      <c r="CZ16" s="282"/>
      <c r="DA16" s="282"/>
      <c r="DB16" s="282"/>
      <c r="DC16" s="282"/>
      <c r="DD16" s="282"/>
      <c r="DE16" s="282"/>
      <c r="DF16" s="282"/>
      <c r="DG16" s="282"/>
      <c r="DH16" s="282"/>
      <c r="DI16" s="282"/>
      <c r="DJ16" s="282"/>
      <c r="DK16" s="282"/>
      <c r="DL16" s="282"/>
      <c r="DM16" s="282"/>
      <c r="DN16" s="282"/>
      <c r="DO16" s="282"/>
      <c r="DP16" s="282"/>
      <c r="DQ16" s="282"/>
      <c r="DR16" s="282"/>
      <c r="DS16" s="282"/>
      <c r="DT16" s="282"/>
      <c r="DU16" s="282"/>
      <c r="DV16" s="282"/>
      <c r="DW16" s="282"/>
      <c r="DX16" s="282"/>
      <c r="DY16" s="282"/>
      <c r="DZ16" s="282"/>
      <c r="EA16" s="282"/>
      <c r="EB16" s="282"/>
      <c r="EC16" s="282"/>
      <c r="ED16" s="282"/>
      <c r="EE16" s="282"/>
      <c r="EF16" s="282"/>
      <c r="EG16" s="282"/>
      <c r="EH16" s="282"/>
      <c r="EI16" s="282"/>
      <c r="EJ16" s="282"/>
      <c r="EK16" s="282"/>
      <c r="EL16" s="282"/>
      <c r="EM16" s="282"/>
      <c r="EN16" s="282"/>
      <c r="EO16" s="282"/>
      <c r="EP16" s="282"/>
      <c r="EQ16" s="282"/>
      <c r="ER16" s="282"/>
      <c r="ES16" s="282"/>
      <c r="ET16" s="282"/>
      <c r="EU16" s="282"/>
      <c r="EV16" s="282"/>
      <c r="EW16" s="282"/>
      <c r="EX16" s="282"/>
      <c r="EY16" s="282"/>
      <c r="EZ16" s="282"/>
      <c r="FA16" s="282"/>
      <c r="FB16" s="282"/>
      <c r="FC16" s="282"/>
      <c r="FD16" s="282"/>
      <c r="FE16" s="282"/>
      <c r="FF16" s="282"/>
      <c r="FG16" s="282"/>
      <c r="FH16" s="282"/>
      <c r="FI16" s="282"/>
      <c r="FJ16" s="282"/>
      <c r="FK16" s="282"/>
      <c r="FL16" s="282"/>
      <c r="FM16" s="282"/>
      <c r="FN16" s="282"/>
      <c r="FO16" s="282"/>
      <c r="FP16" s="282"/>
      <c r="FQ16" s="282"/>
      <c r="FR16" s="282"/>
      <c r="FS16" s="282"/>
      <c r="FT16" s="282"/>
      <c r="FU16" s="282"/>
      <c r="FV16" s="282"/>
      <c r="FW16" s="282"/>
      <c r="FX16" s="282"/>
      <c r="FY16" s="282"/>
      <c r="FZ16" s="282"/>
      <c r="GA16" s="282"/>
      <c r="GB16" s="282"/>
      <c r="GC16" s="282"/>
      <c r="GD16" s="282"/>
      <c r="GE16" s="282"/>
      <c r="GF16" s="282"/>
      <c r="GG16" s="282"/>
      <c r="GH16" s="282"/>
      <c r="GI16" s="282"/>
      <c r="GJ16" s="282"/>
      <c r="GK16" s="282"/>
      <c r="GL16" s="282"/>
      <c r="GM16" s="282"/>
      <c r="GN16" s="282"/>
      <c r="GO16" s="282"/>
      <c r="GP16" s="282"/>
      <c r="GQ16" s="282"/>
      <c r="GR16" s="282"/>
      <c r="GS16" s="282"/>
      <c r="GT16" s="282"/>
      <c r="GU16" s="282"/>
      <c r="GV16" s="282"/>
      <c r="GW16" s="282"/>
      <c r="GX16" s="282"/>
      <c r="GY16" s="282"/>
      <c r="GZ16" s="282"/>
      <c r="HA16" s="282"/>
      <c r="HB16" s="282"/>
      <c r="HC16" s="282"/>
      <c r="HD16" s="282"/>
      <c r="HE16" s="282"/>
      <c r="HF16" s="282"/>
      <c r="HG16" s="282"/>
      <c r="HH16" s="282"/>
      <c r="HI16" s="282"/>
      <c r="HJ16" s="282"/>
      <c r="HK16" s="282"/>
      <c r="HL16" s="282"/>
      <c r="HM16" s="282"/>
      <c r="HN16" s="282"/>
      <c r="HO16" s="282"/>
      <c r="HP16" s="282"/>
      <c r="HQ16" s="282"/>
      <c r="HR16" s="282"/>
      <c r="HS16" s="282"/>
      <c r="HT16" s="282"/>
      <c r="HU16" s="282"/>
      <c r="HV16" s="282"/>
      <c r="HW16" s="282"/>
      <c r="HX16" s="282"/>
      <c r="HY16" s="282"/>
      <c r="HZ16" s="282"/>
      <c r="IA16" s="282"/>
      <c r="IB16" s="282"/>
      <c r="IC16" s="282"/>
      <c r="ID16" s="282"/>
      <c r="IE16" s="282"/>
      <c r="IF16" s="282"/>
      <c r="IG16" s="282"/>
      <c r="IH16" s="282"/>
      <c r="II16" s="282"/>
      <c r="IJ16" s="282"/>
      <c r="IK16" s="282"/>
      <c r="IL16" s="282"/>
      <c r="IM16" s="282"/>
      <c r="IN16" s="282"/>
      <c r="IO16" s="282"/>
      <c r="IP16" s="282"/>
      <c r="IQ16" s="282"/>
      <c r="IR16" s="282"/>
      <c r="IS16" s="282"/>
      <c r="IT16" s="282"/>
      <c r="IU16" s="282"/>
      <c r="IV16" s="282"/>
      <c r="IW16" s="282"/>
      <c r="IX16" s="282"/>
      <c r="IY16" s="282"/>
      <c r="IZ16" s="282"/>
      <c r="JA16" s="282"/>
      <c r="JB16" s="282"/>
      <c r="JC16" s="282"/>
      <c r="JD16" s="282"/>
      <c r="JE16" s="282"/>
      <c r="JF16" s="282"/>
      <c r="JG16" s="282"/>
      <c r="JH16" s="282"/>
      <c r="JI16" s="282"/>
      <c r="JJ16" s="282"/>
    </row>
    <row r="17" spans="1:279" s="281" customFormat="1" ht="16.5">
      <c r="A17" s="447" t="s">
        <v>380</v>
      </c>
      <c r="B17" s="456" t="s">
        <v>1</v>
      </c>
      <c r="C17" s="455">
        <v>5</v>
      </c>
      <c r="D17" s="455">
        <v>6</v>
      </c>
      <c r="E17" s="455">
        <v>7</v>
      </c>
      <c r="F17" s="455">
        <v>10</v>
      </c>
      <c r="G17" s="452">
        <v>9</v>
      </c>
      <c r="H17" s="452">
        <v>4</v>
      </c>
      <c r="I17" s="452">
        <v>5</v>
      </c>
      <c r="J17" s="452">
        <v>8</v>
      </c>
      <c r="K17" s="453">
        <v>6</v>
      </c>
      <c r="L17" s="282"/>
      <c r="M17" s="282"/>
      <c r="N17" s="282"/>
      <c r="O17" s="282"/>
      <c r="P17" s="282"/>
      <c r="Q17" s="282"/>
      <c r="R17" s="282"/>
      <c r="S17" s="282"/>
      <c r="T17" s="282"/>
      <c r="U17" s="282"/>
      <c r="V17" s="282"/>
      <c r="W17" s="282"/>
      <c r="AF17" s="282"/>
      <c r="AG17" s="282"/>
      <c r="AH17" s="282"/>
      <c r="AI17" s="282"/>
      <c r="AJ17" s="282"/>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2"/>
      <c r="BG17" s="282"/>
      <c r="BH17" s="282"/>
      <c r="BI17" s="282"/>
      <c r="BJ17" s="282"/>
      <c r="BK17" s="282"/>
      <c r="BL17" s="282"/>
      <c r="BM17" s="282"/>
      <c r="BN17" s="282"/>
      <c r="BO17" s="282"/>
      <c r="BP17" s="282"/>
      <c r="BQ17" s="282"/>
      <c r="BR17" s="282"/>
      <c r="BS17" s="282"/>
      <c r="BT17" s="282"/>
      <c r="BU17" s="282"/>
      <c r="BV17" s="282"/>
      <c r="BW17" s="282"/>
      <c r="BX17" s="282"/>
      <c r="BY17" s="282"/>
      <c r="BZ17" s="282"/>
      <c r="CA17" s="282"/>
      <c r="CB17" s="282"/>
      <c r="CC17" s="282"/>
      <c r="CD17" s="282"/>
      <c r="CE17" s="282"/>
      <c r="CF17" s="282"/>
      <c r="CG17" s="282"/>
      <c r="CH17" s="282"/>
      <c r="CI17" s="282"/>
      <c r="CJ17" s="282"/>
      <c r="CK17" s="282"/>
      <c r="CL17" s="282"/>
      <c r="CM17" s="282"/>
      <c r="CN17" s="282"/>
      <c r="CO17" s="282"/>
      <c r="CP17" s="282"/>
      <c r="CQ17" s="282"/>
      <c r="CR17" s="282"/>
      <c r="CS17" s="282"/>
      <c r="CT17" s="282"/>
      <c r="CU17" s="282"/>
      <c r="CV17" s="282"/>
      <c r="CW17" s="282"/>
      <c r="CX17" s="282"/>
      <c r="CY17" s="282"/>
      <c r="CZ17" s="282"/>
      <c r="DA17" s="282"/>
      <c r="DB17" s="282"/>
      <c r="DC17" s="282"/>
      <c r="DD17" s="282"/>
      <c r="DE17" s="282"/>
      <c r="DF17" s="282"/>
      <c r="DG17" s="282"/>
      <c r="DH17" s="282"/>
      <c r="DI17" s="282"/>
      <c r="DJ17" s="282"/>
      <c r="DK17" s="282"/>
      <c r="DL17" s="282"/>
      <c r="DM17" s="282"/>
      <c r="DN17" s="282"/>
      <c r="DO17" s="282"/>
      <c r="DP17" s="282"/>
      <c r="DQ17" s="282"/>
      <c r="DR17" s="282"/>
      <c r="DS17" s="282"/>
      <c r="DT17" s="282"/>
      <c r="DU17" s="282"/>
      <c r="DV17" s="282"/>
      <c r="DW17" s="282"/>
      <c r="DX17" s="282"/>
      <c r="DY17" s="282"/>
      <c r="DZ17" s="282"/>
      <c r="EA17" s="282"/>
      <c r="EB17" s="282"/>
      <c r="EC17" s="282"/>
      <c r="ED17" s="282"/>
      <c r="EE17" s="282"/>
      <c r="EF17" s="282"/>
      <c r="EG17" s="282"/>
      <c r="EH17" s="282"/>
      <c r="EI17" s="282"/>
      <c r="EJ17" s="282"/>
      <c r="EK17" s="282"/>
      <c r="EL17" s="282"/>
      <c r="EM17" s="282"/>
      <c r="EN17" s="282"/>
      <c r="EO17" s="282"/>
      <c r="EP17" s="282"/>
      <c r="EQ17" s="282"/>
      <c r="ER17" s="282"/>
      <c r="ES17" s="282"/>
      <c r="ET17" s="282"/>
      <c r="EU17" s="282"/>
      <c r="EV17" s="282"/>
      <c r="EW17" s="282"/>
      <c r="EX17" s="282"/>
      <c r="EY17" s="282"/>
      <c r="EZ17" s="282"/>
      <c r="FA17" s="282"/>
      <c r="FB17" s="282"/>
      <c r="FC17" s="282"/>
      <c r="FD17" s="282"/>
      <c r="FE17" s="282"/>
      <c r="FF17" s="282"/>
      <c r="FG17" s="282"/>
      <c r="FH17" s="282"/>
      <c r="FI17" s="282"/>
      <c r="FJ17" s="282"/>
      <c r="FK17" s="282"/>
      <c r="FL17" s="282"/>
      <c r="FM17" s="282"/>
      <c r="FN17" s="282"/>
      <c r="FO17" s="282"/>
      <c r="FP17" s="282"/>
      <c r="FQ17" s="282"/>
      <c r="FR17" s="282"/>
      <c r="FS17" s="282"/>
      <c r="FT17" s="282"/>
      <c r="FU17" s="282"/>
      <c r="FV17" s="282"/>
      <c r="FW17" s="282"/>
      <c r="FX17" s="282"/>
      <c r="FY17" s="282"/>
      <c r="FZ17" s="282"/>
      <c r="GA17" s="282"/>
      <c r="GB17" s="282"/>
      <c r="GC17" s="282"/>
      <c r="GD17" s="282"/>
      <c r="GE17" s="282"/>
      <c r="GF17" s="282"/>
      <c r="GG17" s="282"/>
      <c r="GH17" s="282"/>
      <c r="GI17" s="282"/>
      <c r="GJ17" s="282"/>
      <c r="GK17" s="282"/>
      <c r="GL17" s="282"/>
      <c r="GM17" s="282"/>
      <c r="GN17" s="282"/>
      <c r="GO17" s="282"/>
      <c r="GP17" s="282"/>
      <c r="GQ17" s="282"/>
      <c r="GR17" s="282"/>
      <c r="GS17" s="282"/>
      <c r="GT17" s="282"/>
      <c r="GU17" s="282"/>
      <c r="GV17" s="282"/>
      <c r="GW17" s="282"/>
      <c r="GX17" s="282"/>
      <c r="GY17" s="282"/>
      <c r="GZ17" s="282"/>
      <c r="HA17" s="282"/>
      <c r="HB17" s="282"/>
      <c r="HC17" s="282"/>
      <c r="HD17" s="282"/>
      <c r="HE17" s="282"/>
      <c r="HF17" s="282"/>
      <c r="HG17" s="282"/>
      <c r="HH17" s="282"/>
      <c r="HI17" s="282"/>
      <c r="HJ17" s="282"/>
      <c r="HK17" s="282"/>
      <c r="HL17" s="282"/>
      <c r="HM17" s="282"/>
      <c r="HN17" s="282"/>
      <c r="HO17" s="282"/>
      <c r="HP17" s="282"/>
      <c r="HQ17" s="282"/>
      <c r="HR17" s="282"/>
      <c r="HS17" s="282"/>
      <c r="HT17" s="282"/>
      <c r="HU17" s="282"/>
      <c r="HV17" s="282"/>
      <c r="HW17" s="282"/>
      <c r="HX17" s="282"/>
      <c r="HY17" s="282"/>
      <c r="HZ17" s="282"/>
      <c r="IA17" s="282"/>
      <c r="IB17" s="282"/>
      <c r="IC17" s="282"/>
      <c r="ID17" s="282"/>
      <c r="IE17" s="282"/>
      <c r="IF17" s="282"/>
      <c r="IG17" s="282"/>
      <c r="IH17" s="282"/>
      <c r="II17" s="282"/>
      <c r="IJ17" s="282"/>
      <c r="IK17" s="282"/>
      <c r="IL17" s="282"/>
      <c r="IM17" s="282"/>
      <c r="IN17" s="282"/>
      <c r="IO17" s="282"/>
      <c r="IP17" s="282"/>
      <c r="IQ17" s="282"/>
      <c r="IR17" s="282"/>
      <c r="IS17" s="282"/>
      <c r="IT17" s="282"/>
      <c r="IU17" s="282"/>
      <c r="IV17" s="282"/>
      <c r="IW17" s="282"/>
      <c r="IX17" s="282"/>
      <c r="IY17" s="282"/>
      <c r="IZ17" s="282"/>
      <c r="JA17" s="282"/>
      <c r="JB17" s="282"/>
      <c r="JC17" s="282"/>
      <c r="JD17" s="282"/>
      <c r="JE17" s="282"/>
      <c r="JF17" s="282"/>
      <c r="JG17" s="282"/>
      <c r="JH17" s="282"/>
      <c r="JI17" s="282"/>
      <c r="JJ17" s="282"/>
    </row>
    <row r="18" spans="1:279" s="281" customFormat="1" ht="16.5">
      <c r="A18" s="447" t="s">
        <v>463</v>
      </c>
      <c r="B18" s="454" t="s">
        <v>1</v>
      </c>
      <c r="C18" s="454" t="s">
        <v>1</v>
      </c>
      <c r="D18" s="454" t="s">
        <v>1</v>
      </c>
      <c r="E18" s="454" t="s">
        <v>1</v>
      </c>
      <c r="F18" s="454" t="s">
        <v>1</v>
      </c>
      <c r="G18" s="454" t="s">
        <v>1</v>
      </c>
      <c r="H18" s="454" t="s">
        <v>1</v>
      </c>
      <c r="I18" s="454">
        <v>13</v>
      </c>
      <c r="J18" s="454">
        <v>9</v>
      </c>
      <c r="K18" s="457">
        <v>3</v>
      </c>
      <c r="L18" s="282"/>
      <c r="M18" s="282"/>
      <c r="N18" s="282"/>
      <c r="O18" s="282"/>
      <c r="P18" s="282"/>
      <c r="Q18" s="282"/>
      <c r="R18" s="282"/>
      <c r="S18" s="282"/>
      <c r="T18" s="282"/>
      <c r="U18" s="282"/>
      <c r="V18" s="282"/>
      <c r="W18" s="282"/>
      <c r="AF18" s="282"/>
      <c r="AG18" s="282"/>
      <c r="AH18" s="282"/>
      <c r="AI18" s="282"/>
      <c r="AJ18" s="282"/>
      <c r="AK18" s="282"/>
      <c r="AL18" s="282"/>
      <c r="AM18" s="282"/>
      <c r="AN18" s="282"/>
      <c r="AO18" s="282"/>
      <c r="AP18" s="282"/>
      <c r="AQ18" s="282"/>
      <c r="AR18" s="282"/>
      <c r="AS18" s="282"/>
      <c r="AT18" s="282"/>
      <c r="AU18" s="282"/>
      <c r="AV18" s="282"/>
      <c r="AW18" s="282"/>
      <c r="AX18" s="282"/>
      <c r="AY18" s="282"/>
      <c r="AZ18" s="282"/>
      <c r="BA18" s="282"/>
      <c r="BB18" s="282"/>
      <c r="BC18" s="282"/>
      <c r="BD18" s="282"/>
      <c r="BE18" s="282"/>
      <c r="BF18" s="282"/>
      <c r="BG18" s="282"/>
      <c r="BH18" s="282"/>
      <c r="BI18" s="282"/>
      <c r="BJ18" s="282"/>
      <c r="BK18" s="282"/>
      <c r="BL18" s="282"/>
      <c r="BM18" s="282"/>
      <c r="BN18" s="282"/>
      <c r="BO18" s="282"/>
      <c r="BP18" s="282"/>
      <c r="BQ18" s="282"/>
      <c r="BR18" s="282"/>
      <c r="BS18" s="282"/>
      <c r="BT18" s="282"/>
      <c r="BU18" s="282"/>
      <c r="BV18" s="282"/>
      <c r="BW18" s="282"/>
      <c r="BX18" s="282"/>
      <c r="BY18" s="282"/>
      <c r="BZ18" s="282"/>
      <c r="CA18" s="282"/>
      <c r="CB18" s="282"/>
      <c r="CC18" s="282"/>
      <c r="CD18" s="282"/>
      <c r="CE18" s="282"/>
      <c r="CF18" s="282"/>
      <c r="CG18" s="282"/>
      <c r="CH18" s="282"/>
      <c r="CI18" s="282"/>
      <c r="CJ18" s="282"/>
      <c r="CK18" s="282"/>
      <c r="CL18" s="282"/>
      <c r="CM18" s="282"/>
      <c r="CN18" s="282"/>
      <c r="CO18" s="282"/>
      <c r="CP18" s="282"/>
      <c r="CQ18" s="282"/>
      <c r="CR18" s="282"/>
      <c r="CS18" s="282"/>
      <c r="CT18" s="282"/>
      <c r="CU18" s="282"/>
      <c r="CV18" s="282"/>
      <c r="CW18" s="282"/>
      <c r="CX18" s="282"/>
      <c r="CY18" s="282"/>
      <c r="CZ18" s="282"/>
      <c r="DA18" s="282"/>
      <c r="DB18" s="282"/>
      <c r="DC18" s="282"/>
      <c r="DD18" s="282"/>
      <c r="DE18" s="282"/>
      <c r="DF18" s="282"/>
      <c r="DG18" s="282"/>
      <c r="DH18" s="282"/>
      <c r="DI18" s="282"/>
      <c r="DJ18" s="282"/>
      <c r="DK18" s="282"/>
      <c r="DL18" s="282"/>
      <c r="DM18" s="282"/>
      <c r="DN18" s="282"/>
      <c r="DO18" s="282"/>
      <c r="DP18" s="282"/>
      <c r="DQ18" s="282"/>
      <c r="DR18" s="282"/>
      <c r="DS18" s="282"/>
      <c r="DT18" s="282"/>
      <c r="DU18" s="282"/>
      <c r="DV18" s="282"/>
      <c r="DW18" s="282"/>
      <c r="DX18" s="282"/>
      <c r="DY18" s="282"/>
      <c r="DZ18" s="282"/>
      <c r="EA18" s="282"/>
      <c r="EB18" s="282"/>
      <c r="EC18" s="282"/>
      <c r="ED18" s="282"/>
      <c r="EE18" s="282"/>
      <c r="EF18" s="282"/>
      <c r="EG18" s="282"/>
      <c r="EH18" s="282"/>
      <c r="EI18" s="282"/>
      <c r="EJ18" s="282"/>
      <c r="EK18" s="282"/>
      <c r="EL18" s="282"/>
      <c r="EM18" s="282"/>
      <c r="EN18" s="282"/>
      <c r="EO18" s="282"/>
      <c r="EP18" s="282"/>
      <c r="EQ18" s="282"/>
      <c r="ER18" s="282"/>
      <c r="ES18" s="282"/>
      <c r="ET18" s="282"/>
      <c r="EU18" s="282"/>
      <c r="EV18" s="282"/>
      <c r="EW18" s="282"/>
      <c r="EX18" s="282"/>
      <c r="EY18" s="282"/>
      <c r="EZ18" s="282"/>
      <c r="FA18" s="282"/>
      <c r="FB18" s="282"/>
      <c r="FC18" s="282"/>
      <c r="FD18" s="282"/>
      <c r="FE18" s="282"/>
      <c r="FF18" s="282"/>
      <c r="FG18" s="282"/>
      <c r="FH18" s="282"/>
      <c r="FI18" s="282"/>
      <c r="FJ18" s="282"/>
      <c r="FK18" s="282"/>
      <c r="FL18" s="282"/>
      <c r="FM18" s="282"/>
      <c r="FN18" s="282"/>
      <c r="FO18" s="282"/>
      <c r="FP18" s="282"/>
      <c r="FQ18" s="282"/>
      <c r="FR18" s="282"/>
      <c r="FS18" s="282"/>
      <c r="FT18" s="282"/>
      <c r="FU18" s="282"/>
      <c r="FV18" s="282"/>
      <c r="FW18" s="282"/>
      <c r="FX18" s="282"/>
      <c r="FY18" s="282"/>
      <c r="FZ18" s="282"/>
      <c r="GA18" s="282"/>
      <c r="GB18" s="282"/>
      <c r="GC18" s="282"/>
      <c r="GD18" s="282"/>
      <c r="GE18" s="282"/>
      <c r="GF18" s="282"/>
      <c r="GG18" s="282"/>
      <c r="GH18" s="282"/>
      <c r="GI18" s="282"/>
      <c r="GJ18" s="282"/>
      <c r="GK18" s="282"/>
      <c r="GL18" s="282"/>
      <c r="GM18" s="282"/>
      <c r="GN18" s="282"/>
      <c r="GO18" s="282"/>
      <c r="GP18" s="282"/>
      <c r="GQ18" s="282"/>
      <c r="GR18" s="282"/>
      <c r="GS18" s="282"/>
      <c r="GT18" s="282"/>
      <c r="GU18" s="282"/>
      <c r="GV18" s="282"/>
      <c r="GW18" s="282"/>
      <c r="GX18" s="282"/>
      <c r="GY18" s="282"/>
      <c r="GZ18" s="282"/>
      <c r="HA18" s="282"/>
      <c r="HB18" s="282"/>
      <c r="HC18" s="282"/>
      <c r="HD18" s="282"/>
      <c r="HE18" s="282"/>
      <c r="HF18" s="282"/>
      <c r="HG18" s="282"/>
      <c r="HH18" s="282"/>
      <c r="HI18" s="282"/>
      <c r="HJ18" s="282"/>
      <c r="HK18" s="282"/>
      <c r="HL18" s="282"/>
      <c r="HM18" s="282"/>
      <c r="HN18" s="282"/>
      <c r="HO18" s="282"/>
      <c r="HP18" s="282"/>
      <c r="HQ18" s="282"/>
      <c r="HR18" s="282"/>
      <c r="HS18" s="282"/>
      <c r="HT18" s="282"/>
      <c r="HU18" s="282"/>
      <c r="HV18" s="282"/>
      <c r="HW18" s="282"/>
      <c r="HX18" s="282"/>
      <c r="HY18" s="282"/>
      <c r="HZ18" s="282"/>
      <c r="IA18" s="282"/>
      <c r="IB18" s="282"/>
      <c r="IC18" s="282"/>
      <c r="ID18" s="282"/>
      <c r="IE18" s="282"/>
      <c r="IF18" s="282"/>
      <c r="IG18" s="282"/>
      <c r="IH18" s="282"/>
      <c r="II18" s="282"/>
      <c r="IJ18" s="282"/>
      <c r="IK18" s="282"/>
      <c r="IL18" s="282"/>
      <c r="IM18" s="282"/>
      <c r="IN18" s="282"/>
      <c r="IO18" s="282"/>
      <c r="IP18" s="282"/>
      <c r="IQ18" s="282"/>
      <c r="IR18" s="282"/>
      <c r="IS18" s="282"/>
      <c r="IT18" s="282"/>
      <c r="IU18" s="282"/>
      <c r="IV18" s="282"/>
      <c r="IW18" s="282"/>
      <c r="IX18" s="282"/>
      <c r="IY18" s="282"/>
      <c r="IZ18" s="282"/>
      <c r="JA18" s="282"/>
      <c r="JB18" s="282"/>
      <c r="JC18" s="282"/>
      <c r="JD18" s="282"/>
      <c r="JE18" s="282"/>
      <c r="JF18" s="282"/>
      <c r="JG18" s="282"/>
      <c r="JH18" s="282"/>
      <c r="JI18" s="282"/>
      <c r="JJ18" s="282"/>
    </row>
    <row r="19" spans="1:279" s="281" customFormat="1" ht="16.5">
      <c r="A19" s="447" t="s">
        <v>466</v>
      </c>
      <c r="B19" s="455">
        <v>12</v>
      </c>
      <c r="C19" s="455">
        <v>16</v>
      </c>
      <c r="D19" s="455">
        <v>12</v>
      </c>
      <c r="E19" s="455">
        <v>23</v>
      </c>
      <c r="F19" s="455">
        <v>24</v>
      </c>
      <c r="G19" s="452">
        <v>13</v>
      </c>
      <c r="H19" s="454">
        <v>16</v>
      </c>
      <c r="I19" s="454">
        <v>7</v>
      </c>
      <c r="J19" s="454">
        <v>9</v>
      </c>
      <c r="K19" s="457">
        <v>3</v>
      </c>
      <c r="L19" s="282"/>
      <c r="M19" s="282"/>
      <c r="N19" s="282"/>
      <c r="O19" s="282"/>
      <c r="P19" s="282"/>
      <c r="Q19" s="282"/>
      <c r="R19" s="282"/>
      <c r="S19" s="282"/>
      <c r="T19" s="282"/>
      <c r="U19" s="282"/>
      <c r="V19" s="282"/>
      <c r="W19" s="282"/>
      <c r="AF19" s="282"/>
      <c r="AG19" s="282"/>
      <c r="AH19" s="282"/>
      <c r="AI19" s="282"/>
      <c r="AJ19" s="282"/>
      <c r="AK19" s="282"/>
      <c r="AL19" s="282"/>
      <c r="AM19" s="282"/>
      <c r="AN19" s="282"/>
      <c r="AO19" s="282"/>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c r="BM19" s="282"/>
      <c r="BN19" s="282"/>
      <c r="BO19" s="282"/>
      <c r="BP19" s="282"/>
      <c r="BQ19" s="282"/>
      <c r="BR19" s="282"/>
      <c r="BS19" s="282"/>
      <c r="BT19" s="282"/>
      <c r="BU19" s="282"/>
      <c r="BV19" s="282"/>
      <c r="BW19" s="282"/>
      <c r="BX19" s="282"/>
      <c r="BY19" s="282"/>
      <c r="BZ19" s="282"/>
      <c r="CA19" s="282"/>
      <c r="CB19" s="282"/>
      <c r="CC19" s="282"/>
      <c r="CD19" s="282"/>
      <c r="CE19" s="282"/>
      <c r="CF19" s="282"/>
      <c r="CG19" s="282"/>
      <c r="CH19" s="282"/>
      <c r="CI19" s="282"/>
      <c r="CJ19" s="282"/>
      <c r="CK19" s="282"/>
      <c r="CL19" s="282"/>
      <c r="CM19" s="282"/>
      <c r="CN19" s="282"/>
      <c r="CO19" s="282"/>
      <c r="CP19" s="282"/>
      <c r="CQ19" s="282"/>
      <c r="CR19" s="282"/>
      <c r="CS19" s="282"/>
      <c r="CT19" s="282"/>
      <c r="CU19" s="282"/>
      <c r="CV19" s="282"/>
      <c r="CW19" s="282"/>
      <c r="CX19" s="282"/>
      <c r="CY19" s="282"/>
      <c r="CZ19" s="282"/>
      <c r="DA19" s="282"/>
      <c r="DB19" s="282"/>
      <c r="DC19" s="282"/>
      <c r="DD19" s="282"/>
      <c r="DE19" s="282"/>
      <c r="DF19" s="282"/>
      <c r="DG19" s="282"/>
      <c r="DH19" s="282"/>
      <c r="DI19" s="282"/>
      <c r="DJ19" s="282"/>
      <c r="DK19" s="282"/>
      <c r="DL19" s="282"/>
      <c r="DM19" s="282"/>
      <c r="DN19" s="282"/>
      <c r="DO19" s="282"/>
      <c r="DP19" s="282"/>
      <c r="DQ19" s="282"/>
      <c r="DR19" s="282"/>
      <c r="DS19" s="282"/>
      <c r="DT19" s="282"/>
      <c r="DU19" s="282"/>
      <c r="DV19" s="282"/>
      <c r="DW19" s="282"/>
      <c r="DX19" s="282"/>
      <c r="DY19" s="282"/>
      <c r="DZ19" s="282"/>
      <c r="EA19" s="282"/>
      <c r="EB19" s="282"/>
      <c r="EC19" s="282"/>
      <c r="ED19" s="282"/>
      <c r="EE19" s="282"/>
      <c r="EF19" s="282"/>
      <c r="EG19" s="282"/>
      <c r="EH19" s="282"/>
      <c r="EI19" s="282"/>
      <c r="EJ19" s="282"/>
      <c r="EK19" s="282"/>
      <c r="EL19" s="282"/>
      <c r="EM19" s="282"/>
      <c r="EN19" s="282"/>
      <c r="EO19" s="282"/>
      <c r="EP19" s="282"/>
      <c r="EQ19" s="282"/>
      <c r="ER19" s="282"/>
      <c r="ES19" s="282"/>
      <c r="ET19" s="282"/>
      <c r="EU19" s="282"/>
      <c r="EV19" s="282"/>
      <c r="EW19" s="282"/>
      <c r="EX19" s="282"/>
      <c r="EY19" s="282"/>
      <c r="EZ19" s="282"/>
      <c r="FA19" s="282"/>
      <c r="FB19" s="282"/>
      <c r="FC19" s="282"/>
      <c r="FD19" s="282"/>
      <c r="FE19" s="282"/>
      <c r="FF19" s="282"/>
      <c r="FG19" s="282"/>
      <c r="FH19" s="282"/>
      <c r="FI19" s="282"/>
      <c r="FJ19" s="282"/>
      <c r="FK19" s="282"/>
      <c r="FL19" s="282"/>
      <c r="FM19" s="282"/>
      <c r="FN19" s="282"/>
      <c r="FO19" s="282"/>
      <c r="FP19" s="282"/>
      <c r="FQ19" s="282"/>
      <c r="FR19" s="282"/>
      <c r="FS19" s="282"/>
      <c r="FT19" s="282"/>
      <c r="FU19" s="282"/>
      <c r="FV19" s="282"/>
      <c r="FW19" s="282"/>
      <c r="FX19" s="282"/>
      <c r="FY19" s="282"/>
      <c r="FZ19" s="282"/>
      <c r="GA19" s="282"/>
      <c r="GB19" s="282"/>
      <c r="GC19" s="282"/>
      <c r="GD19" s="282"/>
      <c r="GE19" s="282"/>
      <c r="GF19" s="282"/>
      <c r="GG19" s="282"/>
      <c r="GH19" s="282"/>
      <c r="GI19" s="282"/>
      <c r="GJ19" s="282"/>
      <c r="GK19" s="282"/>
      <c r="GL19" s="282"/>
      <c r="GM19" s="282"/>
      <c r="GN19" s="282"/>
      <c r="GO19" s="282"/>
      <c r="GP19" s="282"/>
      <c r="GQ19" s="282"/>
      <c r="GR19" s="282"/>
      <c r="GS19" s="282"/>
      <c r="GT19" s="282"/>
      <c r="GU19" s="282"/>
      <c r="GV19" s="282"/>
      <c r="GW19" s="282"/>
      <c r="GX19" s="282"/>
      <c r="GY19" s="282"/>
      <c r="GZ19" s="282"/>
      <c r="HA19" s="282"/>
      <c r="HB19" s="282"/>
      <c r="HC19" s="282"/>
      <c r="HD19" s="282"/>
      <c r="HE19" s="282"/>
      <c r="HF19" s="282"/>
      <c r="HG19" s="282"/>
      <c r="HH19" s="282"/>
      <c r="HI19" s="282"/>
      <c r="HJ19" s="282"/>
      <c r="HK19" s="282"/>
      <c r="HL19" s="282"/>
      <c r="HM19" s="282"/>
      <c r="HN19" s="282"/>
      <c r="HO19" s="282"/>
      <c r="HP19" s="282"/>
      <c r="HQ19" s="282"/>
      <c r="HR19" s="282"/>
      <c r="HS19" s="282"/>
      <c r="HT19" s="282"/>
      <c r="HU19" s="282"/>
      <c r="HV19" s="282"/>
      <c r="HW19" s="282"/>
      <c r="HX19" s="282"/>
      <c r="HY19" s="282"/>
      <c r="HZ19" s="282"/>
      <c r="IA19" s="282"/>
      <c r="IB19" s="282"/>
      <c r="IC19" s="282"/>
      <c r="ID19" s="282"/>
      <c r="IE19" s="282"/>
      <c r="IF19" s="282"/>
      <c r="IG19" s="282"/>
      <c r="IH19" s="282"/>
      <c r="II19" s="282"/>
      <c r="IJ19" s="282"/>
      <c r="IK19" s="282"/>
      <c r="IL19" s="282"/>
      <c r="IM19" s="282"/>
      <c r="IN19" s="282"/>
      <c r="IO19" s="282"/>
      <c r="IP19" s="282"/>
      <c r="IQ19" s="282"/>
      <c r="IR19" s="282"/>
      <c r="IS19" s="282"/>
      <c r="IT19" s="282"/>
      <c r="IU19" s="282"/>
      <c r="IV19" s="282"/>
      <c r="IW19" s="282"/>
      <c r="IX19" s="282"/>
      <c r="IY19" s="282"/>
      <c r="IZ19" s="282"/>
      <c r="JA19" s="282"/>
      <c r="JB19" s="282"/>
      <c r="JC19" s="282"/>
      <c r="JD19" s="282"/>
      <c r="JE19" s="282"/>
      <c r="JF19" s="282"/>
      <c r="JG19" s="282"/>
      <c r="JH19" s="282"/>
      <c r="JI19" s="282"/>
      <c r="JJ19" s="282"/>
    </row>
    <row r="20" spans="1:279" s="281" customFormat="1" ht="16.5">
      <c r="A20" s="447" t="s">
        <v>467</v>
      </c>
      <c r="B20" s="455">
        <v>6</v>
      </c>
      <c r="C20" s="455">
        <v>8</v>
      </c>
      <c r="D20" s="455">
        <v>1</v>
      </c>
      <c r="E20" s="455">
        <v>5</v>
      </c>
      <c r="F20" s="455">
        <v>4</v>
      </c>
      <c r="G20" s="452">
        <v>2</v>
      </c>
      <c r="H20" s="454">
        <v>3</v>
      </c>
      <c r="I20" s="454" t="s">
        <v>6</v>
      </c>
      <c r="J20" s="454">
        <v>2</v>
      </c>
      <c r="K20" s="457">
        <v>2</v>
      </c>
      <c r="L20" s="282"/>
      <c r="M20" s="282"/>
      <c r="N20" s="282"/>
      <c r="O20" s="282"/>
      <c r="P20" s="282"/>
      <c r="Q20" s="282"/>
      <c r="R20" s="282"/>
      <c r="S20" s="282"/>
      <c r="T20" s="282"/>
      <c r="U20" s="282"/>
      <c r="V20" s="282"/>
      <c r="W20" s="282"/>
      <c r="AF20" s="282"/>
      <c r="AG20" s="282"/>
      <c r="AH20" s="282"/>
      <c r="AI20" s="282"/>
      <c r="AJ20" s="282"/>
      <c r="AK20" s="282"/>
      <c r="AL20" s="282"/>
      <c r="AM20" s="282"/>
      <c r="AN20" s="282"/>
      <c r="AO20" s="282"/>
      <c r="AP20" s="282"/>
      <c r="AQ20" s="282"/>
      <c r="AR20" s="282"/>
      <c r="AS20" s="282"/>
      <c r="AT20" s="282"/>
      <c r="AU20" s="282"/>
      <c r="AV20" s="282"/>
      <c r="AW20" s="282"/>
      <c r="AX20" s="282"/>
      <c r="AY20" s="282"/>
      <c r="AZ20" s="282"/>
      <c r="BA20" s="282"/>
      <c r="BB20" s="282"/>
      <c r="BC20" s="282"/>
      <c r="BD20" s="282"/>
      <c r="BE20" s="282"/>
      <c r="BF20" s="282"/>
      <c r="BG20" s="282"/>
      <c r="BH20" s="282"/>
      <c r="BI20" s="282"/>
      <c r="BJ20" s="282"/>
      <c r="BK20" s="282"/>
      <c r="BL20" s="282"/>
      <c r="BM20" s="282"/>
      <c r="BN20" s="282"/>
      <c r="BO20" s="282"/>
      <c r="BP20" s="282"/>
      <c r="BQ20" s="282"/>
      <c r="BR20" s="282"/>
      <c r="BS20" s="282"/>
      <c r="BT20" s="282"/>
      <c r="BU20" s="282"/>
      <c r="BV20" s="282"/>
      <c r="BW20" s="282"/>
      <c r="BX20" s="282"/>
      <c r="BY20" s="282"/>
      <c r="BZ20" s="282"/>
      <c r="CA20" s="282"/>
      <c r="CB20" s="282"/>
      <c r="CC20" s="282"/>
      <c r="CD20" s="282"/>
      <c r="CE20" s="282"/>
      <c r="CF20" s="282"/>
      <c r="CG20" s="282"/>
      <c r="CH20" s="282"/>
      <c r="CI20" s="282"/>
      <c r="CJ20" s="282"/>
      <c r="CK20" s="282"/>
      <c r="CL20" s="282"/>
      <c r="CM20" s="282"/>
      <c r="CN20" s="282"/>
      <c r="CO20" s="282"/>
      <c r="CP20" s="282"/>
      <c r="CQ20" s="282"/>
      <c r="CR20" s="282"/>
      <c r="CS20" s="282"/>
      <c r="CT20" s="282"/>
      <c r="CU20" s="282"/>
      <c r="CV20" s="282"/>
      <c r="CW20" s="282"/>
      <c r="CX20" s="282"/>
      <c r="CY20" s="282"/>
      <c r="CZ20" s="282"/>
      <c r="DA20" s="282"/>
      <c r="DB20" s="282"/>
      <c r="DC20" s="282"/>
      <c r="DD20" s="282"/>
      <c r="DE20" s="282"/>
      <c r="DF20" s="282"/>
      <c r="DG20" s="282"/>
      <c r="DH20" s="282"/>
      <c r="DI20" s="282"/>
      <c r="DJ20" s="282"/>
      <c r="DK20" s="282"/>
      <c r="DL20" s="282"/>
      <c r="DM20" s="282"/>
      <c r="DN20" s="282"/>
      <c r="DO20" s="282"/>
      <c r="DP20" s="282"/>
      <c r="DQ20" s="282"/>
      <c r="DR20" s="282"/>
      <c r="DS20" s="282"/>
      <c r="DT20" s="282"/>
      <c r="DU20" s="282"/>
      <c r="DV20" s="282"/>
      <c r="DW20" s="282"/>
      <c r="DX20" s="282"/>
      <c r="DY20" s="282"/>
      <c r="DZ20" s="282"/>
      <c r="EA20" s="282"/>
      <c r="EB20" s="282"/>
      <c r="EC20" s="282"/>
      <c r="ED20" s="282"/>
      <c r="EE20" s="282"/>
      <c r="EF20" s="282"/>
      <c r="EG20" s="282"/>
      <c r="EH20" s="282"/>
      <c r="EI20" s="282"/>
      <c r="EJ20" s="282"/>
      <c r="EK20" s="282"/>
      <c r="EL20" s="282"/>
      <c r="EM20" s="282"/>
      <c r="EN20" s="282"/>
      <c r="EO20" s="282"/>
      <c r="EP20" s="282"/>
      <c r="EQ20" s="282"/>
      <c r="ER20" s="282"/>
      <c r="ES20" s="282"/>
      <c r="ET20" s="282"/>
      <c r="EU20" s="282"/>
      <c r="EV20" s="282"/>
      <c r="EW20" s="282"/>
      <c r="EX20" s="282"/>
      <c r="EY20" s="282"/>
      <c r="EZ20" s="282"/>
      <c r="FA20" s="282"/>
      <c r="FB20" s="282"/>
      <c r="FC20" s="282"/>
      <c r="FD20" s="282"/>
      <c r="FE20" s="282"/>
      <c r="FF20" s="282"/>
      <c r="FG20" s="282"/>
      <c r="FH20" s="282"/>
      <c r="FI20" s="282"/>
      <c r="FJ20" s="282"/>
      <c r="FK20" s="282"/>
      <c r="FL20" s="282"/>
      <c r="FM20" s="282"/>
      <c r="FN20" s="282"/>
      <c r="FO20" s="282"/>
      <c r="FP20" s="282"/>
      <c r="FQ20" s="282"/>
      <c r="FR20" s="282"/>
      <c r="FS20" s="282"/>
      <c r="FT20" s="282"/>
      <c r="FU20" s="282"/>
      <c r="FV20" s="282"/>
      <c r="FW20" s="282"/>
      <c r="FX20" s="282"/>
      <c r="FY20" s="282"/>
      <c r="FZ20" s="282"/>
      <c r="GA20" s="282"/>
      <c r="GB20" s="282"/>
      <c r="GC20" s="282"/>
      <c r="GD20" s="282"/>
      <c r="GE20" s="282"/>
      <c r="GF20" s="282"/>
      <c r="GG20" s="282"/>
      <c r="GH20" s="282"/>
      <c r="GI20" s="282"/>
      <c r="GJ20" s="282"/>
      <c r="GK20" s="282"/>
      <c r="GL20" s="282"/>
      <c r="GM20" s="282"/>
      <c r="GN20" s="282"/>
      <c r="GO20" s="282"/>
      <c r="GP20" s="282"/>
      <c r="GQ20" s="282"/>
      <c r="GR20" s="282"/>
      <c r="GS20" s="282"/>
      <c r="GT20" s="282"/>
      <c r="GU20" s="282"/>
      <c r="GV20" s="282"/>
      <c r="GW20" s="282"/>
      <c r="GX20" s="282"/>
      <c r="GY20" s="282"/>
      <c r="GZ20" s="282"/>
      <c r="HA20" s="282"/>
      <c r="HB20" s="282"/>
      <c r="HC20" s="282"/>
      <c r="HD20" s="282"/>
      <c r="HE20" s="282"/>
      <c r="HF20" s="282"/>
      <c r="HG20" s="282"/>
      <c r="HH20" s="282"/>
      <c r="HI20" s="282"/>
      <c r="HJ20" s="282"/>
      <c r="HK20" s="282"/>
      <c r="HL20" s="282"/>
      <c r="HM20" s="282"/>
      <c r="HN20" s="282"/>
      <c r="HO20" s="282"/>
      <c r="HP20" s="282"/>
      <c r="HQ20" s="282"/>
      <c r="HR20" s="282"/>
      <c r="HS20" s="282"/>
      <c r="HT20" s="282"/>
      <c r="HU20" s="282"/>
      <c r="HV20" s="282"/>
      <c r="HW20" s="282"/>
      <c r="HX20" s="282"/>
      <c r="HY20" s="282"/>
      <c r="HZ20" s="282"/>
      <c r="IA20" s="282"/>
      <c r="IB20" s="282"/>
      <c r="IC20" s="282"/>
      <c r="ID20" s="282"/>
      <c r="IE20" s="282"/>
      <c r="IF20" s="282"/>
      <c r="IG20" s="282"/>
      <c r="IH20" s="282"/>
      <c r="II20" s="282"/>
      <c r="IJ20" s="282"/>
      <c r="IK20" s="282"/>
      <c r="IL20" s="282"/>
      <c r="IM20" s="282"/>
      <c r="IN20" s="282"/>
      <c r="IO20" s="282"/>
      <c r="IP20" s="282"/>
      <c r="IQ20" s="282"/>
      <c r="IR20" s="282"/>
      <c r="IS20" s="282"/>
      <c r="IT20" s="282"/>
      <c r="IU20" s="282"/>
      <c r="IV20" s="282"/>
      <c r="IW20" s="282"/>
      <c r="IX20" s="282"/>
      <c r="IY20" s="282"/>
      <c r="IZ20" s="282"/>
      <c r="JA20" s="282"/>
      <c r="JB20" s="282"/>
      <c r="JC20" s="282"/>
      <c r="JD20" s="282"/>
      <c r="JE20" s="282"/>
      <c r="JF20" s="282"/>
      <c r="JG20" s="282"/>
      <c r="JH20" s="282"/>
      <c r="JI20" s="282"/>
      <c r="JJ20" s="282"/>
    </row>
    <row r="21" spans="1:279" s="281" customFormat="1" ht="16.5">
      <c r="A21" s="447" t="s">
        <v>468</v>
      </c>
      <c r="B21" s="455">
        <v>2</v>
      </c>
      <c r="C21" s="456" t="s">
        <v>6</v>
      </c>
      <c r="D21" s="456" t="s">
        <v>6</v>
      </c>
      <c r="E21" s="455">
        <v>6</v>
      </c>
      <c r="F21" s="455">
        <v>7</v>
      </c>
      <c r="G21" s="452">
        <v>3</v>
      </c>
      <c r="H21" s="454">
        <v>5</v>
      </c>
      <c r="I21" s="454">
        <v>3</v>
      </c>
      <c r="J21" s="454">
        <v>3</v>
      </c>
      <c r="K21" s="457">
        <v>1</v>
      </c>
      <c r="L21" s="282"/>
      <c r="M21" s="282"/>
      <c r="N21" s="282"/>
      <c r="O21" s="282"/>
      <c r="P21" s="282"/>
      <c r="Q21" s="282"/>
      <c r="R21" s="282"/>
      <c r="S21" s="282"/>
      <c r="T21" s="282"/>
      <c r="U21" s="282"/>
      <c r="V21" s="282"/>
      <c r="W21" s="282"/>
      <c r="AF21" s="282"/>
      <c r="AG21" s="282"/>
      <c r="AH21" s="282"/>
      <c r="AI21" s="282"/>
      <c r="AJ21" s="282"/>
      <c r="AK21" s="282"/>
      <c r="AL21" s="282"/>
      <c r="AM21" s="282"/>
      <c r="AN21" s="282"/>
      <c r="AO21" s="282"/>
      <c r="AP21" s="282"/>
      <c r="AQ21" s="282"/>
      <c r="AR21" s="282"/>
      <c r="AS21" s="282"/>
      <c r="AT21" s="282"/>
      <c r="AU21" s="282"/>
      <c r="AV21" s="282"/>
      <c r="AW21" s="282"/>
      <c r="AX21" s="282"/>
      <c r="AY21" s="282"/>
      <c r="AZ21" s="282"/>
      <c r="BA21" s="282"/>
      <c r="BB21" s="282"/>
      <c r="BC21" s="282"/>
      <c r="BD21" s="282"/>
      <c r="BE21" s="282"/>
      <c r="BF21" s="282"/>
      <c r="BG21" s="282"/>
      <c r="BH21" s="282"/>
      <c r="BI21" s="282"/>
      <c r="BJ21" s="282"/>
      <c r="BK21" s="282"/>
      <c r="BL21" s="282"/>
      <c r="BM21" s="282"/>
      <c r="BN21" s="282"/>
      <c r="BO21" s="282"/>
      <c r="BP21" s="282"/>
      <c r="BQ21" s="282"/>
      <c r="BR21" s="282"/>
      <c r="BS21" s="282"/>
      <c r="BT21" s="282"/>
      <c r="BU21" s="282"/>
      <c r="BV21" s="282"/>
      <c r="BW21" s="282"/>
      <c r="BX21" s="282"/>
      <c r="BY21" s="282"/>
      <c r="BZ21" s="282"/>
      <c r="CA21" s="282"/>
      <c r="CB21" s="282"/>
      <c r="CC21" s="282"/>
      <c r="CD21" s="282"/>
      <c r="CE21" s="282"/>
      <c r="CF21" s="282"/>
      <c r="CG21" s="282"/>
      <c r="CH21" s="282"/>
      <c r="CI21" s="282"/>
      <c r="CJ21" s="282"/>
      <c r="CK21" s="282"/>
      <c r="CL21" s="282"/>
      <c r="CM21" s="282"/>
      <c r="CN21" s="282"/>
      <c r="CO21" s="282"/>
      <c r="CP21" s="282"/>
      <c r="CQ21" s="282"/>
      <c r="CR21" s="282"/>
      <c r="CS21" s="282"/>
      <c r="CT21" s="282"/>
      <c r="CU21" s="282"/>
      <c r="CV21" s="282"/>
      <c r="CW21" s="282"/>
      <c r="CX21" s="282"/>
      <c r="CY21" s="282"/>
      <c r="CZ21" s="282"/>
      <c r="DA21" s="282"/>
      <c r="DB21" s="282"/>
      <c r="DC21" s="282"/>
      <c r="DD21" s="282"/>
      <c r="DE21" s="282"/>
      <c r="DF21" s="282"/>
      <c r="DG21" s="282"/>
      <c r="DH21" s="282"/>
      <c r="DI21" s="282"/>
      <c r="DJ21" s="282"/>
      <c r="DK21" s="282"/>
      <c r="DL21" s="282"/>
      <c r="DM21" s="282"/>
      <c r="DN21" s="282"/>
      <c r="DO21" s="282"/>
      <c r="DP21" s="282"/>
      <c r="DQ21" s="282"/>
      <c r="DR21" s="282"/>
      <c r="DS21" s="282"/>
      <c r="DT21" s="282"/>
      <c r="DU21" s="282"/>
      <c r="DV21" s="282"/>
      <c r="DW21" s="282"/>
      <c r="DX21" s="282"/>
      <c r="DY21" s="282"/>
      <c r="DZ21" s="282"/>
      <c r="EA21" s="282"/>
      <c r="EB21" s="282"/>
      <c r="EC21" s="282"/>
      <c r="ED21" s="282"/>
      <c r="EE21" s="282"/>
      <c r="EF21" s="282"/>
      <c r="EG21" s="282"/>
      <c r="EH21" s="282"/>
      <c r="EI21" s="282"/>
      <c r="EJ21" s="282"/>
      <c r="EK21" s="282"/>
      <c r="EL21" s="282"/>
      <c r="EM21" s="282"/>
      <c r="EN21" s="282"/>
      <c r="EO21" s="282"/>
      <c r="EP21" s="282"/>
      <c r="EQ21" s="282"/>
      <c r="ER21" s="282"/>
      <c r="ES21" s="282"/>
      <c r="ET21" s="282"/>
      <c r="EU21" s="282"/>
      <c r="EV21" s="282"/>
      <c r="EW21" s="282"/>
      <c r="EX21" s="282"/>
      <c r="EY21" s="282"/>
      <c r="EZ21" s="282"/>
      <c r="FA21" s="282"/>
      <c r="FB21" s="282"/>
      <c r="FC21" s="282"/>
      <c r="FD21" s="282"/>
      <c r="FE21" s="282"/>
      <c r="FF21" s="282"/>
      <c r="FG21" s="282"/>
      <c r="FH21" s="282"/>
      <c r="FI21" s="282"/>
      <c r="FJ21" s="282"/>
      <c r="FK21" s="282"/>
      <c r="FL21" s="282"/>
      <c r="FM21" s="282"/>
      <c r="FN21" s="282"/>
      <c r="FO21" s="282"/>
      <c r="FP21" s="282"/>
      <c r="FQ21" s="282"/>
      <c r="FR21" s="282"/>
      <c r="FS21" s="282"/>
      <c r="FT21" s="282"/>
      <c r="FU21" s="282"/>
      <c r="FV21" s="282"/>
      <c r="FW21" s="282"/>
      <c r="FX21" s="282"/>
      <c r="FY21" s="282"/>
      <c r="FZ21" s="282"/>
      <c r="GA21" s="282"/>
      <c r="GB21" s="282"/>
      <c r="GC21" s="282"/>
      <c r="GD21" s="282"/>
      <c r="GE21" s="282"/>
      <c r="GF21" s="282"/>
      <c r="GG21" s="282"/>
      <c r="GH21" s="282"/>
      <c r="GI21" s="282"/>
      <c r="GJ21" s="282"/>
      <c r="GK21" s="282"/>
      <c r="GL21" s="282"/>
      <c r="GM21" s="282"/>
      <c r="GN21" s="282"/>
      <c r="GO21" s="282"/>
      <c r="GP21" s="282"/>
      <c r="GQ21" s="282"/>
      <c r="GR21" s="282"/>
      <c r="GS21" s="282"/>
      <c r="GT21" s="282"/>
      <c r="GU21" s="282"/>
      <c r="GV21" s="282"/>
      <c r="GW21" s="282"/>
      <c r="GX21" s="282"/>
      <c r="GY21" s="282"/>
      <c r="GZ21" s="282"/>
      <c r="HA21" s="282"/>
      <c r="HB21" s="282"/>
      <c r="HC21" s="282"/>
      <c r="HD21" s="282"/>
      <c r="HE21" s="282"/>
      <c r="HF21" s="282"/>
      <c r="HG21" s="282"/>
      <c r="HH21" s="282"/>
      <c r="HI21" s="282"/>
      <c r="HJ21" s="282"/>
      <c r="HK21" s="282"/>
      <c r="HL21" s="282"/>
      <c r="HM21" s="282"/>
      <c r="HN21" s="282"/>
      <c r="HO21" s="282"/>
      <c r="HP21" s="282"/>
      <c r="HQ21" s="282"/>
      <c r="HR21" s="282"/>
      <c r="HS21" s="282"/>
      <c r="HT21" s="282"/>
      <c r="HU21" s="282"/>
      <c r="HV21" s="282"/>
      <c r="HW21" s="282"/>
      <c r="HX21" s="282"/>
      <c r="HY21" s="282"/>
      <c r="HZ21" s="282"/>
      <c r="IA21" s="282"/>
      <c r="IB21" s="282"/>
      <c r="IC21" s="282"/>
      <c r="ID21" s="282"/>
      <c r="IE21" s="282"/>
      <c r="IF21" s="282"/>
      <c r="IG21" s="282"/>
      <c r="IH21" s="282"/>
      <c r="II21" s="282"/>
      <c r="IJ21" s="282"/>
      <c r="IK21" s="282"/>
      <c r="IL21" s="282"/>
      <c r="IM21" s="282"/>
      <c r="IN21" s="282"/>
      <c r="IO21" s="282"/>
      <c r="IP21" s="282"/>
      <c r="IQ21" s="282"/>
      <c r="IR21" s="282"/>
      <c r="IS21" s="282"/>
      <c r="IT21" s="282"/>
      <c r="IU21" s="282"/>
      <c r="IV21" s="282"/>
      <c r="IW21" s="282"/>
      <c r="IX21" s="282"/>
      <c r="IY21" s="282"/>
      <c r="IZ21" s="282"/>
      <c r="JA21" s="282"/>
      <c r="JB21" s="282"/>
      <c r="JC21" s="282"/>
      <c r="JD21" s="282"/>
      <c r="JE21" s="282"/>
      <c r="JF21" s="282"/>
      <c r="JG21" s="282"/>
      <c r="JH21" s="282"/>
      <c r="JI21" s="282"/>
      <c r="JJ21" s="282"/>
    </row>
    <row r="22" spans="1:279" s="281" customFormat="1" ht="16.5">
      <c r="A22" s="447" t="s">
        <v>469</v>
      </c>
      <c r="B22" s="455">
        <v>1</v>
      </c>
      <c r="C22" s="456">
        <v>5</v>
      </c>
      <c r="D22" s="455">
        <v>3</v>
      </c>
      <c r="E22" s="455">
        <v>2</v>
      </c>
      <c r="F22" s="455">
        <v>3</v>
      </c>
      <c r="G22" s="452">
        <v>4</v>
      </c>
      <c r="H22" s="454">
        <v>5</v>
      </c>
      <c r="I22" s="454">
        <v>2</v>
      </c>
      <c r="J22" s="454">
        <v>3</v>
      </c>
      <c r="K22" s="457" t="s">
        <v>6</v>
      </c>
      <c r="L22" s="282"/>
      <c r="M22" s="282"/>
      <c r="N22" s="282"/>
      <c r="O22" s="282"/>
      <c r="P22" s="282"/>
      <c r="Q22" s="282"/>
      <c r="R22" s="282"/>
      <c r="S22" s="282"/>
      <c r="T22" s="282"/>
      <c r="U22" s="282"/>
      <c r="V22" s="282"/>
      <c r="W22" s="282"/>
      <c r="AF22" s="282"/>
      <c r="AG22" s="282"/>
      <c r="AH22" s="282"/>
      <c r="AI22" s="282"/>
      <c r="AJ22" s="282"/>
      <c r="AK22" s="282"/>
      <c r="AL22" s="282"/>
      <c r="AM22" s="282"/>
      <c r="AN22" s="282"/>
      <c r="AO22" s="282"/>
      <c r="AP22" s="282"/>
      <c r="AQ22" s="282"/>
      <c r="AR22" s="282"/>
      <c r="AS22" s="282"/>
      <c r="AT22" s="282"/>
      <c r="AU22" s="282"/>
      <c r="AV22" s="282"/>
      <c r="AW22" s="282"/>
      <c r="AX22" s="282"/>
      <c r="AY22" s="282"/>
      <c r="AZ22" s="282"/>
      <c r="BA22" s="282"/>
      <c r="BB22" s="282"/>
      <c r="BC22" s="282"/>
      <c r="BD22" s="282"/>
      <c r="BE22" s="282"/>
      <c r="BF22" s="282"/>
      <c r="BG22" s="282"/>
      <c r="BH22" s="282"/>
      <c r="BI22" s="282"/>
      <c r="BJ22" s="282"/>
      <c r="BK22" s="282"/>
      <c r="BL22" s="282"/>
      <c r="BM22" s="282"/>
      <c r="BN22" s="282"/>
      <c r="BO22" s="282"/>
      <c r="BP22" s="282"/>
      <c r="BQ22" s="282"/>
      <c r="BR22" s="282"/>
      <c r="BS22" s="282"/>
      <c r="BT22" s="282"/>
      <c r="BU22" s="282"/>
      <c r="BV22" s="282"/>
      <c r="BW22" s="282"/>
      <c r="BX22" s="282"/>
      <c r="BY22" s="282"/>
      <c r="BZ22" s="282"/>
      <c r="CA22" s="282"/>
      <c r="CB22" s="282"/>
      <c r="CC22" s="282"/>
      <c r="CD22" s="282"/>
      <c r="CE22" s="282"/>
      <c r="CF22" s="282"/>
      <c r="CG22" s="282"/>
      <c r="CH22" s="282"/>
      <c r="CI22" s="282"/>
      <c r="CJ22" s="282"/>
      <c r="CK22" s="282"/>
      <c r="CL22" s="282"/>
      <c r="CM22" s="282"/>
      <c r="CN22" s="282"/>
      <c r="CO22" s="282"/>
      <c r="CP22" s="282"/>
      <c r="CQ22" s="282"/>
      <c r="CR22" s="282"/>
      <c r="CS22" s="282"/>
      <c r="CT22" s="282"/>
      <c r="CU22" s="282"/>
      <c r="CV22" s="282"/>
      <c r="CW22" s="282"/>
      <c r="CX22" s="282"/>
      <c r="CY22" s="282"/>
      <c r="CZ22" s="282"/>
      <c r="DA22" s="282"/>
      <c r="DB22" s="282"/>
      <c r="DC22" s="282"/>
      <c r="DD22" s="282"/>
      <c r="DE22" s="282"/>
      <c r="DF22" s="282"/>
      <c r="DG22" s="282"/>
      <c r="DH22" s="282"/>
      <c r="DI22" s="282"/>
      <c r="DJ22" s="282"/>
      <c r="DK22" s="282"/>
      <c r="DL22" s="282"/>
      <c r="DM22" s="282"/>
      <c r="DN22" s="282"/>
      <c r="DO22" s="282"/>
      <c r="DP22" s="282"/>
      <c r="DQ22" s="282"/>
      <c r="DR22" s="282"/>
      <c r="DS22" s="282"/>
      <c r="DT22" s="282"/>
      <c r="DU22" s="282"/>
      <c r="DV22" s="282"/>
      <c r="DW22" s="282"/>
      <c r="DX22" s="282"/>
      <c r="DY22" s="282"/>
      <c r="DZ22" s="282"/>
      <c r="EA22" s="282"/>
      <c r="EB22" s="282"/>
      <c r="EC22" s="282"/>
      <c r="ED22" s="282"/>
      <c r="EE22" s="282"/>
      <c r="EF22" s="282"/>
      <c r="EG22" s="282"/>
      <c r="EH22" s="282"/>
      <c r="EI22" s="282"/>
      <c r="EJ22" s="282"/>
      <c r="EK22" s="282"/>
      <c r="EL22" s="282"/>
      <c r="EM22" s="282"/>
      <c r="EN22" s="282"/>
      <c r="EO22" s="282"/>
      <c r="EP22" s="282"/>
      <c r="EQ22" s="282"/>
      <c r="ER22" s="282"/>
      <c r="ES22" s="282"/>
      <c r="ET22" s="282"/>
      <c r="EU22" s="282"/>
      <c r="EV22" s="282"/>
      <c r="EW22" s="282"/>
      <c r="EX22" s="282"/>
      <c r="EY22" s="282"/>
      <c r="EZ22" s="282"/>
      <c r="FA22" s="282"/>
      <c r="FB22" s="282"/>
      <c r="FC22" s="282"/>
      <c r="FD22" s="282"/>
      <c r="FE22" s="282"/>
      <c r="FF22" s="282"/>
      <c r="FG22" s="282"/>
      <c r="FH22" s="282"/>
      <c r="FI22" s="282"/>
      <c r="FJ22" s="282"/>
      <c r="FK22" s="282"/>
      <c r="FL22" s="282"/>
      <c r="FM22" s="282"/>
      <c r="FN22" s="282"/>
      <c r="FO22" s="282"/>
      <c r="FP22" s="282"/>
      <c r="FQ22" s="282"/>
      <c r="FR22" s="282"/>
      <c r="FS22" s="282"/>
      <c r="FT22" s="282"/>
      <c r="FU22" s="282"/>
      <c r="FV22" s="282"/>
      <c r="FW22" s="282"/>
      <c r="FX22" s="282"/>
      <c r="FY22" s="282"/>
      <c r="FZ22" s="282"/>
      <c r="GA22" s="282"/>
      <c r="GB22" s="282"/>
      <c r="GC22" s="282"/>
      <c r="GD22" s="282"/>
      <c r="GE22" s="282"/>
      <c r="GF22" s="282"/>
      <c r="GG22" s="282"/>
      <c r="GH22" s="282"/>
      <c r="GI22" s="282"/>
      <c r="GJ22" s="282"/>
      <c r="GK22" s="282"/>
      <c r="GL22" s="282"/>
      <c r="GM22" s="282"/>
      <c r="GN22" s="282"/>
      <c r="GO22" s="282"/>
      <c r="GP22" s="282"/>
      <c r="GQ22" s="282"/>
      <c r="GR22" s="282"/>
      <c r="GS22" s="282"/>
      <c r="GT22" s="282"/>
      <c r="GU22" s="282"/>
      <c r="GV22" s="282"/>
      <c r="GW22" s="282"/>
      <c r="GX22" s="282"/>
      <c r="GY22" s="282"/>
      <c r="GZ22" s="282"/>
      <c r="HA22" s="282"/>
      <c r="HB22" s="282"/>
      <c r="HC22" s="282"/>
      <c r="HD22" s="282"/>
      <c r="HE22" s="282"/>
      <c r="HF22" s="282"/>
      <c r="HG22" s="282"/>
      <c r="HH22" s="282"/>
      <c r="HI22" s="282"/>
      <c r="HJ22" s="282"/>
      <c r="HK22" s="282"/>
      <c r="HL22" s="282"/>
      <c r="HM22" s="282"/>
      <c r="HN22" s="282"/>
      <c r="HO22" s="282"/>
      <c r="HP22" s="282"/>
      <c r="HQ22" s="282"/>
      <c r="HR22" s="282"/>
      <c r="HS22" s="282"/>
      <c r="HT22" s="282"/>
      <c r="HU22" s="282"/>
      <c r="HV22" s="282"/>
      <c r="HW22" s="282"/>
      <c r="HX22" s="282"/>
      <c r="HY22" s="282"/>
      <c r="HZ22" s="282"/>
      <c r="IA22" s="282"/>
      <c r="IB22" s="282"/>
      <c r="IC22" s="282"/>
      <c r="ID22" s="282"/>
      <c r="IE22" s="282"/>
      <c r="IF22" s="282"/>
      <c r="IG22" s="282"/>
      <c r="IH22" s="282"/>
      <c r="II22" s="282"/>
      <c r="IJ22" s="282"/>
      <c r="IK22" s="282"/>
      <c r="IL22" s="282"/>
      <c r="IM22" s="282"/>
      <c r="IN22" s="282"/>
      <c r="IO22" s="282"/>
      <c r="IP22" s="282"/>
      <c r="IQ22" s="282"/>
      <c r="IR22" s="282"/>
      <c r="IS22" s="282"/>
      <c r="IT22" s="282"/>
      <c r="IU22" s="282"/>
      <c r="IV22" s="282"/>
      <c r="IW22" s="282"/>
      <c r="IX22" s="282"/>
      <c r="IY22" s="282"/>
      <c r="IZ22" s="282"/>
      <c r="JA22" s="282"/>
      <c r="JB22" s="282"/>
      <c r="JC22" s="282"/>
      <c r="JD22" s="282"/>
      <c r="JE22" s="282"/>
      <c r="JF22" s="282"/>
      <c r="JG22" s="282"/>
      <c r="JH22" s="282"/>
      <c r="JI22" s="282"/>
      <c r="JJ22" s="282"/>
    </row>
    <row r="23" spans="1:279" s="281" customFormat="1" ht="16.5">
      <c r="A23" s="447" t="s">
        <v>470</v>
      </c>
      <c r="B23" s="455">
        <v>1</v>
      </c>
      <c r="C23" s="456" t="s">
        <v>6</v>
      </c>
      <c r="D23" s="455">
        <v>1</v>
      </c>
      <c r="E23" s="456" t="s">
        <v>6</v>
      </c>
      <c r="F23" s="456" t="s">
        <v>6</v>
      </c>
      <c r="G23" s="452">
        <v>1</v>
      </c>
      <c r="H23" s="454" t="s">
        <v>6</v>
      </c>
      <c r="I23" s="454">
        <v>1</v>
      </c>
      <c r="J23" s="454" t="s">
        <v>6</v>
      </c>
      <c r="K23" s="457" t="s">
        <v>6</v>
      </c>
      <c r="L23" s="282"/>
      <c r="M23" s="282"/>
      <c r="N23" s="282"/>
      <c r="O23" s="282"/>
      <c r="P23" s="282"/>
      <c r="Q23" s="282"/>
      <c r="R23" s="282"/>
      <c r="S23" s="282"/>
      <c r="T23" s="282"/>
      <c r="U23" s="282"/>
      <c r="V23" s="282"/>
      <c r="W23" s="282"/>
      <c r="AF23" s="282"/>
      <c r="AG23" s="282"/>
      <c r="AH23" s="282"/>
      <c r="AI23" s="282"/>
      <c r="AJ23" s="282"/>
      <c r="AK23" s="282"/>
      <c r="AL23" s="282"/>
      <c r="AM23" s="282"/>
      <c r="AN23" s="282"/>
      <c r="AO23" s="282"/>
      <c r="AP23" s="282"/>
      <c r="AQ23" s="282"/>
      <c r="AR23" s="282"/>
      <c r="AS23" s="282"/>
      <c r="AT23" s="282"/>
      <c r="AU23" s="282"/>
      <c r="AV23" s="282"/>
      <c r="AW23" s="282"/>
      <c r="AX23" s="282"/>
      <c r="AY23" s="282"/>
      <c r="AZ23" s="282"/>
      <c r="BA23" s="282"/>
      <c r="BB23" s="282"/>
      <c r="BC23" s="282"/>
      <c r="BD23" s="282"/>
      <c r="BE23" s="282"/>
      <c r="BF23" s="282"/>
      <c r="BG23" s="282"/>
      <c r="BH23" s="282"/>
      <c r="BI23" s="282"/>
      <c r="BJ23" s="282"/>
      <c r="BK23" s="282"/>
      <c r="BL23" s="282"/>
      <c r="BM23" s="282"/>
      <c r="BN23" s="282"/>
      <c r="BO23" s="282"/>
      <c r="BP23" s="282"/>
      <c r="BQ23" s="282"/>
      <c r="BR23" s="282"/>
      <c r="BS23" s="282"/>
      <c r="BT23" s="282"/>
      <c r="BU23" s="282"/>
      <c r="BV23" s="282"/>
      <c r="BW23" s="282"/>
      <c r="BX23" s="282"/>
      <c r="BY23" s="282"/>
      <c r="BZ23" s="282"/>
      <c r="CA23" s="282"/>
      <c r="CB23" s="282"/>
      <c r="CC23" s="282"/>
      <c r="CD23" s="282"/>
      <c r="CE23" s="282"/>
      <c r="CF23" s="282"/>
      <c r="CG23" s="282"/>
      <c r="CH23" s="282"/>
      <c r="CI23" s="282"/>
      <c r="CJ23" s="282"/>
      <c r="CK23" s="282"/>
      <c r="CL23" s="282"/>
      <c r="CM23" s="282"/>
      <c r="CN23" s="282"/>
      <c r="CO23" s="282"/>
      <c r="CP23" s="282"/>
      <c r="CQ23" s="282"/>
      <c r="CR23" s="282"/>
      <c r="CS23" s="282"/>
      <c r="CT23" s="282"/>
      <c r="CU23" s="282"/>
      <c r="CV23" s="282"/>
      <c r="CW23" s="282"/>
      <c r="CX23" s="282"/>
      <c r="CY23" s="282"/>
      <c r="CZ23" s="282"/>
      <c r="DA23" s="282"/>
      <c r="DB23" s="282"/>
      <c r="DC23" s="282"/>
      <c r="DD23" s="282"/>
      <c r="DE23" s="282"/>
      <c r="DF23" s="282"/>
      <c r="DG23" s="282"/>
      <c r="DH23" s="282"/>
      <c r="DI23" s="282"/>
      <c r="DJ23" s="282"/>
      <c r="DK23" s="282"/>
      <c r="DL23" s="282"/>
      <c r="DM23" s="282"/>
      <c r="DN23" s="282"/>
      <c r="DO23" s="282"/>
      <c r="DP23" s="282"/>
      <c r="DQ23" s="282"/>
      <c r="DR23" s="282"/>
      <c r="DS23" s="282"/>
      <c r="DT23" s="282"/>
      <c r="DU23" s="282"/>
      <c r="DV23" s="282"/>
      <c r="DW23" s="282"/>
      <c r="DX23" s="282"/>
      <c r="DY23" s="282"/>
      <c r="DZ23" s="282"/>
      <c r="EA23" s="282"/>
      <c r="EB23" s="282"/>
      <c r="EC23" s="282"/>
      <c r="ED23" s="282"/>
      <c r="EE23" s="282"/>
      <c r="EF23" s="282"/>
      <c r="EG23" s="282"/>
      <c r="EH23" s="282"/>
      <c r="EI23" s="282"/>
      <c r="EJ23" s="282"/>
      <c r="EK23" s="282"/>
      <c r="EL23" s="282"/>
      <c r="EM23" s="282"/>
      <c r="EN23" s="282"/>
      <c r="EO23" s="282"/>
      <c r="EP23" s="282"/>
      <c r="EQ23" s="282"/>
      <c r="ER23" s="282"/>
      <c r="ES23" s="282"/>
      <c r="ET23" s="282"/>
      <c r="EU23" s="282"/>
      <c r="EV23" s="282"/>
      <c r="EW23" s="282"/>
      <c r="EX23" s="282"/>
      <c r="EY23" s="282"/>
      <c r="EZ23" s="282"/>
      <c r="FA23" s="282"/>
      <c r="FB23" s="282"/>
      <c r="FC23" s="282"/>
      <c r="FD23" s="282"/>
      <c r="FE23" s="282"/>
      <c r="FF23" s="282"/>
      <c r="FG23" s="282"/>
      <c r="FH23" s="282"/>
      <c r="FI23" s="282"/>
      <c r="FJ23" s="282"/>
      <c r="FK23" s="282"/>
      <c r="FL23" s="282"/>
      <c r="FM23" s="282"/>
      <c r="FN23" s="282"/>
      <c r="FO23" s="282"/>
      <c r="FP23" s="282"/>
      <c r="FQ23" s="282"/>
      <c r="FR23" s="282"/>
      <c r="FS23" s="282"/>
      <c r="FT23" s="282"/>
      <c r="FU23" s="282"/>
      <c r="FV23" s="282"/>
      <c r="FW23" s="282"/>
      <c r="FX23" s="282"/>
      <c r="FY23" s="282"/>
      <c r="FZ23" s="282"/>
      <c r="GA23" s="282"/>
      <c r="GB23" s="282"/>
      <c r="GC23" s="282"/>
      <c r="GD23" s="282"/>
      <c r="GE23" s="282"/>
      <c r="GF23" s="282"/>
      <c r="GG23" s="282"/>
      <c r="GH23" s="282"/>
      <c r="GI23" s="282"/>
      <c r="GJ23" s="282"/>
      <c r="GK23" s="282"/>
      <c r="GL23" s="282"/>
      <c r="GM23" s="282"/>
      <c r="GN23" s="282"/>
      <c r="GO23" s="282"/>
      <c r="GP23" s="282"/>
      <c r="GQ23" s="282"/>
      <c r="GR23" s="282"/>
      <c r="GS23" s="282"/>
      <c r="GT23" s="282"/>
      <c r="GU23" s="282"/>
      <c r="GV23" s="282"/>
      <c r="GW23" s="282"/>
      <c r="GX23" s="282"/>
      <c r="GY23" s="282"/>
      <c r="GZ23" s="282"/>
      <c r="HA23" s="282"/>
      <c r="HB23" s="282"/>
      <c r="HC23" s="282"/>
      <c r="HD23" s="282"/>
      <c r="HE23" s="282"/>
      <c r="HF23" s="282"/>
      <c r="HG23" s="282"/>
      <c r="HH23" s="282"/>
      <c r="HI23" s="282"/>
      <c r="HJ23" s="282"/>
      <c r="HK23" s="282"/>
      <c r="HL23" s="282"/>
      <c r="HM23" s="282"/>
      <c r="HN23" s="282"/>
      <c r="HO23" s="282"/>
      <c r="HP23" s="282"/>
      <c r="HQ23" s="282"/>
      <c r="HR23" s="282"/>
      <c r="HS23" s="282"/>
      <c r="HT23" s="282"/>
      <c r="HU23" s="282"/>
      <c r="HV23" s="282"/>
      <c r="HW23" s="282"/>
      <c r="HX23" s="282"/>
      <c r="HY23" s="282"/>
      <c r="HZ23" s="282"/>
      <c r="IA23" s="282"/>
      <c r="IB23" s="282"/>
      <c r="IC23" s="282"/>
      <c r="ID23" s="282"/>
      <c r="IE23" s="282"/>
      <c r="IF23" s="282"/>
      <c r="IG23" s="282"/>
      <c r="IH23" s="282"/>
      <c r="II23" s="282"/>
      <c r="IJ23" s="282"/>
      <c r="IK23" s="282"/>
      <c r="IL23" s="282"/>
      <c r="IM23" s="282"/>
      <c r="IN23" s="282"/>
      <c r="IO23" s="282"/>
      <c r="IP23" s="282"/>
      <c r="IQ23" s="282"/>
      <c r="IR23" s="282"/>
      <c r="IS23" s="282"/>
      <c r="IT23" s="282"/>
      <c r="IU23" s="282"/>
      <c r="IV23" s="282"/>
      <c r="IW23" s="282"/>
      <c r="IX23" s="282"/>
      <c r="IY23" s="282"/>
      <c r="IZ23" s="282"/>
      <c r="JA23" s="282"/>
      <c r="JB23" s="282"/>
      <c r="JC23" s="282"/>
      <c r="JD23" s="282"/>
      <c r="JE23" s="282"/>
      <c r="JF23" s="282"/>
      <c r="JG23" s="282"/>
      <c r="JH23" s="282"/>
      <c r="JI23" s="282"/>
      <c r="JJ23" s="282"/>
    </row>
    <row r="24" spans="1:279" s="281" customFormat="1" ht="19.5" customHeight="1">
      <c r="A24" s="449" t="s">
        <v>471</v>
      </c>
      <c r="B24" s="458">
        <v>6</v>
      </c>
      <c r="C24" s="458">
        <v>6</v>
      </c>
      <c r="D24" s="458">
        <v>6</v>
      </c>
      <c r="E24" s="458">
        <v>5</v>
      </c>
      <c r="F24" s="458">
        <v>7</v>
      </c>
      <c r="G24" s="459">
        <v>5</v>
      </c>
      <c r="H24" s="460">
        <v>8</v>
      </c>
      <c r="I24" s="460">
        <v>2</v>
      </c>
      <c r="J24" s="460" t="s">
        <v>6</v>
      </c>
      <c r="K24" s="461" t="s">
        <v>6</v>
      </c>
      <c r="L24" s="282"/>
      <c r="M24" s="282"/>
      <c r="N24" s="282"/>
      <c r="O24" s="282"/>
      <c r="P24" s="282"/>
      <c r="Q24" s="282"/>
      <c r="R24" s="282"/>
      <c r="S24" s="282"/>
      <c r="T24" s="282"/>
      <c r="U24" s="282"/>
      <c r="V24" s="282"/>
      <c r="W24" s="282"/>
      <c r="AF24" s="282"/>
      <c r="AG24" s="282"/>
      <c r="AH24" s="282"/>
      <c r="AI24" s="282"/>
      <c r="AJ24" s="282"/>
      <c r="AK24" s="282"/>
      <c r="AL24" s="282"/>
      <c r="AM24" s="282"/>
      <c r="AN24" s="282"/>
      <c r="AO24" s="282"/>
      <c r="AP24" s="282"/>
      <c r="AQ24" s="282"/>
      <c r="AR24" s="282"/>
      <c r="AS24" s="282"/>
      <c r="AT24" s="282"/>
      <c r="AU24" s="282"/>
      <c r="AV24" s="282"/>
      <c r="AW24" s="282"/>
      <c r="AX24" s="282"/>
      <c r="AY24" s="282"/>
      <c r="AZ24" s="282"/>
      <c r="BA24" s="282"/>
      <c r="BB24" s="282"/>
      <c r="BC24" s="282"/>
      <c r="BD24" s="282"/>
      <c r="BE24" s="282"/>
      <c r="BF24" s="282"/>
      <c r="BG24" s="282"/>
      <c r="BH24" s="282"/>
      <c r="BI24" s="282"/>
      <c r="BJ24" s="282"/>
      <c r="BK24" s="282"/>
      <c r="BL24" s="282"/>
      <c r="BM24" s="282"/>
      <c r="BN24" s="282"/>
      <c r="BO24" s="282"/>
      <c r="BP24" s="282"/>
      <c r="BQ24" s="282"/>
      <c r="BR24" s="282"/>
      <c r="BS24" s="282"/>
      <c r="BT24" s="282"/>
      <c r="BU24" s="282"/>
      <c r="BV24" s="282"/>
      <c r="BW24" s="282"/>
      <c r="BX24" s="282"/>
      <c r="BY24" s="282"/>
      <c r="BZ24" s="282"/>
      <c r="CA24" s="282"/>
      <c r="CB24" s="282"/>
      <c r="CC24" s="282"/>
      <c r="CD24" s="282"/>
      <c r="CE24" s="282"/>
      <c r="CF24" s="282"/>
      <c r="CG24" s="282"/>
      <c r="CH24" s="282"/>
      <c r="CI24" s="282"/>
      <c r="CJ24" s="282"/>
      <c r="CK24" s="282"/>
      <c r="CL24" s="282"/>
      <c r="CM24" s="282"/>
      <c r="CN24" s="282"/>
      <c r="CO24" s="282"/>
      <c r="CP24" s="282"/>
      <c r="CQ24" s="282"/>
      <c r="CR24" s="282"/>
      <c r="CS24" s="282"/>
      <c r="CT24" s="282"/>
      <c r="CU24" s="282"/>
      <c r="CV24" s="282"/>
      <c r="CW24" s="282"/>
      <c r="CX24" s="282"/>
      <c r="CY24" s="282"/>
      <c r="CZ24" s="282"/>
      <c r="DA24" s="282"/>
      <c r="DB24" s="282"/>
      <c r="DC24" s="282"/>
      <c r="DD24" s="282"/>
      <c r="DE24" s="282"/>
      <c r="DF24" s="282"/>
      <c r="DG24" s="282"/>
      <c r="DH24" s="282"/>
      <c r="DI24" s="282"/>
      <c r="DJ24" s="282"/>
      <c r="DK24" s="282"/>
      <c r="DL24" s="282"/>
      <c r="DM24" s="282"/>
      <c r="DN24" s="282"/>
      <c r="DO24" s="282"/>
      <c r="DP24" s="282"/>
      <c r="DQ24" s="282"/>
      <c r="DR24" s="282"/>
      <c r="DS24" s="282"/>
      <c r="DT24" s="282"/>
      <c r="DU24" s="282"/>
      <c r="DV24" s="282"/>
      <c r="DW24" s="282"/>
      <c r="DX24" s="282"/>
      <c r="DY24" s="282"/>
      <c r="DZ24" s="282"/>
      <c r="EA24" s="282"/>
      <c r="EB24" s="282"/>
      <c r="EC24" s="282"/>
      <c r="ED24" s="282"/>
      <c r="EE24" s="282"/>
      <c r="EF24" s="282"/>
      <c r="EG24" s="282"/>
      <c r="EH24" s="282"/>
      <c r="EI24" s="282"/>
      <c r="EJ24" s="282"/>
      <c r="EK24" s="282"/>
      <c r="EL24" s="282"/>
      <c r="EM24" s="282"/>
      <c r="EN24" s="282"/>
      <c r="EO24" s="282"/>
      <c r="EP24" s="282"/>
      <c r="EQ24" s="282"/>
      <c r="ER24" s="282"/>
      <c r="ES24" s="282"/>
      <c r="ET24" s="282"/>
      <c r="EU24" s="282"/>
      <c r="EV24" s="282"/>
      <c r="EW24" s="282"/>
      <c r="EX24" s="282"/>
      <c r="EY24" s="282"/>
      <c r="EZ24" s="282"/>
      <c r="FA24" s="282"/>
      <c r="FB24" s="282"/>
      <c r="FC24" s="282"/>
      <c r="FD24" s="282"/>
      <c r="FE24" s="282"/>
      <c r="FF24" s="282"/>
      <c r="FG24" s="282"/>
      <c r="FH24" s="282"/>
      <c r="FI24" s="282"/>
      <c r="FJ24" s="282"/>
      <c r="FK24" s="282"/>
      <c r="FL24" s="282"/>
      <c r="FM24" s="282"/>
      <c r="FN24" s="282"/>
      <c r="FO24" s="282"/>
      <c r="FP24" s="282"/>
      <c r="FQ24" s="282"/>
      <c r="FR24" s="282"/>
      <c r="FS24" s="282"/>
      <c r="FT24" s="282"/>
      <c r="FU24" s="282"/>
      <c r="FV24" s="282"/>
      <c r="FW24" s="282"/>
      <c r="FX24" s="282"/>
      <c r="FY24" s="282"/>
      <c r="FZ24" s="282"/>
      <c r="GA24" s="282"/>
      <c r="GB24" s="282"/>
      <c r="GC24" s="282"/>
      <c r="GD24" s="282"/>
      <c r="GE24" s="282"/>
      <c r="GF24" s="282"/>
      <c r="GG24" s="282"/>
      <c r="GH24" s="282"/>
      <c r="GI24" s="282"/>
      <c r="GJ24" s="282"/>
      <c r="GK24" s="282"/>
      <c r="GL24" s="282"/>
      <c r="GM24" s="282"/>
      <c r="GN24" s="282"/>
      <c r="GO24" s="282"/>
      <c r="GP24" s="282"/>
      <c r="GQ24" s="282"/>
      <c r="GR24" s="282"/>
      <c r="GS24" s="282"/>
      <c r="GT24" s="282"/>
      <c r="GU24" s="282"/>
      <c r="GV24" s="282"/>
      <c r="GW24" s="282"/>
      <c r="GX24" s="282"/>
      <c r="GY24" s="282"/>
      <c r="GZ24" s="282"/>
      <c r="HA24" s="282"/>
      <c r="HB24" s="282"/>
      <c r="HC24" s="282"/>
      <c r="HD24" s="282"/>
      <c r="HE24" s="282"/>
      <c r="HF24" s="282"/>
      <c r="HG24" s="282"/>
      <c r="HH24" s="282"/>
      <c r="HI24" s="282"/>
      <c r="HJ24" s="282"/>
      <c r="HK24" s="282"/>
      <c r="HL24" s="282"/>
      <c r="HM24" s="282"/>
      <c r="HN24" s="282"/>
      <c r="HO24" s="282"/>
      <c r="HP24" s="282"/>
      <c r="HQ24" s="282"/>
      <c r="HR24" s="282"/>
      <c r="HS24" s="282"/>
      <c r="HT24" s="282"/>
      <c r="HU24" s="282"/>
      <c r="HV24" s="282"/>
      <c r="HW24" s="282"/>
      <c r="HX24" s="282"/>
      <c r="HY24" s="282"/>
      <c r="HZ24" s="282"/>
      <c r="IA24" s="282"/>
      <c r="IB24" s="282"/>
      <c r="IC24" s="282"/>
      <c r="ID24" s="282"/>
      <c r="IE24" s="282"/>
      <c r="IF24" s="282"/>
      <c r="IG24" s="282"/>
      <c r="IH24" s="282"/>
      <c r="II24" s="282"/>
      <c r="IJ24" s="282"/>
      <c r="IK24" s="282"/>
      <c r="IL24" s="282"/>
      <c r="IM24" s="282"/>
      <c r="IN24" s="282"/>
      <c r="IO24" s="282"/>
      <c r="IP24" s="282"/>
      <c r="IQ24" s="282"/>
      <c r="IR24" s="282"/>
      <c r="IS24" s="282"/>
      <c r="IT24" s="282"/>
      <c r="IU24" s="282"/>
      <c r="IV24" s="282"/>
      <c r="IW24" s="282"/>
      <c r="IX24" s="282"/>
      <c r="IY24" s="282"/>
      <c r="IZ24" s="282"/>
      <c r="JA24" s="282"/>
      <c r="JB24" s="282"/>
      <c r="JC24" s="282"/>
      <c r="JD24" s="282"/>
      <c r="JE24" s="282"/>
      <c r="JF24" s="282"/>
      <c r="JG24" s="282"/>
      <c r="JH24" s="282"/>
      <c r="JI24" s="282"/>
      <c r="JJ24" s="282"/>
    </row>
    <row r="25" spans="1:279" s="282" customFormat="1" ht="19.5" customHeight="1">
      <c r="A25" s="446" t="s">
        <v>454</v>
      </c>
      <c r="G25" s="251"/>
      <c r="H25" s="249"/>
      <c r="I25" s="249"/>
      <c r="J25" s="249"/>
      <c r="K25" s="249"/>
    </row>
    <row r="26" spans="1:279" s="282" customFormat="1" ht="22.7" customHeight="1">
      <c r="A26" s="2933" t="s">
        <v>452</v>
      </c>
      <c r="B26" s="2933"/>
      <c r="C26" s="2933"/>
      <c r="D26" s="2933"/>
      <c r="E26" s="2933"/>
      <c r="F26" s="2933"/>
      <c r="G26" s="2933"/>
      <c r="H26" s="2933"/>
      <c r="I26" s="2933"/>
      <c r="J26" s="2933"/>
      <c r="K26" s="2933"/>
    </row>
    <row r="27" spans="1:279" ht="15.75">
      <c r="A27" s="444"/>
      <c r="B27" s="362" t="s">
        <v>7</v>
      </c>
      <c r="C27" s="361" t="s">
        <v>443</v>
      </c>
      <c r="D27" s="361" t="s">
        <v>444</v>
      </c>
      <c r="E27" s="361" t="s">
        <v>445</v>
      </c>
      <c r="F27" s="361" t="s">
        <v>446</v>
      </c>
      <c r="G27" s="361" t="s">
        <v>447</v>
      </c>
      <c r="H27" s="361" t="s">
        <v>448</v>
      </c>
      <c r="I27" s="361" t="s">
        <v>449</v>
      </c>
      <c r="J27" s="361" t="s">
        <v>450</v>
      </c>
      <c r="K27" s="361" t="s">
        <v>451</v>
      </c>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c r="CI27" s="154"/>
      <c r="CJ27" s="154"/>
      <c r="CK27" s="154"/>
      <c r="CL27" s="154"/>
      <c r="CM27" s="154"/>
      <c r="CN27" s="154"/>
      <c r="CO27" s="154"/>
      <c r="CP27" s="154"/>
      <c r="CQ27" s="154"/>
      <c r="CR27" s="154"/>
      <c r="CS27" s="154"/>
      <c r="CT27" s="154"/>
      <c r="CU27" s="154"/>
      <c r="CV27" s="154"/>
      <c r="CW27" s="154"/>
      <c r="CX27" s="154"/>
      <c r="CY27" s="154"/>
      <c r="CZ27" s="154"/>
      <c r="DA27" s="154"/>
      <c r="DB27" s="154"/>
      <c r="DC27" s="154"/>
      <c r="DD27" s="154"/>
      <c r="DE27" s="154"/>
      <c r="DF27" s="154"/>
      <c r="DG27" s="154"/>
      <c r="DH27" s="154"/>
      <c r="DI27" s="154"/>
      <c r="DJ27" s="154"/>
      <c r="DK27" s="154"/>
      <c r="DL27" s="154"/>
      <c r="DM27" s="154"/>
      <c r="DN27" s="154"/>
      <c r="DO27" s="154"/>
      <c r="DP27" s="154"/>
      <c r="DQ27" s="154"/>
      <c r="DR27" s="154"/>
      <c r="DS27" s="154"/>
      <c r="DT27" s="154"/>
      <c r="DU27" s="154"/>
      <c r="DV27" s="154"/>
      <c r="DW27" s="154"/>
      <c r="DX27" s="154"/>
      <c r="DY27" s="154"/>
      <c r="DZ27" s="154"/>
      <c r="EA27" s="154"/>
      <c r="EB27" s="154"/>
      <c r="EC27" s="154"/>
      <c r="ED27" s="154"/>
      <c r="EE27" s="154"/>
      <c r="EF27" s="154"/>
      <c r="EG27" s="154"/>
      <c r="EH27" s="154"/>
      <c r="EI27" s="154"/>
      <c r="EJ27" s="154"/>
      <c r="EK27" s="154"/>
      <c r="EL27" s="154"/>
      <c r="EM27" s="154"/>
      <c r="EN27" s="154"/>
      <c r="EO27" s="154"/>
      <c r="EP27" s="154"/>
      <c r="EQ27" s="154"/>
      <c r="ER27" s="154"/>
      <c r="ES27" s="154"/>
      <c r="ET27" s="154"/>
      <c r="EU27" s="154"/>
      <c r="EV27" s="154"/>
      <c r="EW27" s="154"/>
      <c r="EX27" s="154"/>
      <c r="EY27" s="154"/>
      <c r="EZ27" s="154"/>
      <c r="FA27" s="154"/>
      <c r="FB27" s="154"/>
      <c r="FC27" s="154"/>
      <c r="FD27" s="154"/>
      <c r="FE27" s="154"/>
      <c r="FF27" s="154"/>
      <c r="FG27" s="154"/>
      <c r="FH27" s="154"/>
      <c r="FI27" s="154"/>
      <c r="FJ27" s="154"/>
      <c r="FK27" s="154"/>
      <c r="FL27" s="154"/>
      <c r="FM27" s="154"/>
      <c r="FN27" s="154"/>
      <c r="FO27" s="154"/>
      <c r="FP27" s="154"/>
      <c r="FQ27" s="154"/>
      <c r="FR27" s="154"/>
      <c r="FS27" s="154"/>
      <c r="FT27" s="154"/>
      <c r="FU27" s="154"/>
      <c r="FV27" s="154"/>
      <c r="FW27" s="154"/>
      <c r="FX27" s="154"/>
      <c r="FY27" s="154"/>
      <c r="FZ27" s="154"/>
      <c r="GA27" s="154"/>
      <c r="GB27" s="154"/>
      <c r="GC27" s="154"/>
      <c r="GD27" s="154"/>
      <c r="GE27" s="154"/>
      <c r="GF27" s="154"/>
      <c r="GG27" s="154"/>
      <c r="GH27" s="154"/>
      <c r="GI27" s="154"/>
      <c r="GJ27" s="154"/>
      <c r="GK27" s="154"/>
      <c r="GL27" s="154"/>
      <c r="GM27" s="154"/>
      <c r="GN27" s="154"/>
      <c r="GO27" s="154"/>
      <c r="GP27" s="154"/>
      <c r="GQ27" s="154"/>
      <c r="GR27" s="154"/>
      <c r="GS27" s="154"/>
      <c r="GT27" s="154"/>
      <c r="GU27" s="154"/>
      <c r="GV27" s="154"/>
      <c r="GW27" s="154"/>
      <c r="GX27" s="154"/>
      <c r="GY27" s="154"/>
      <c r="GZ27" s="154"/>
      <c r="HA27" s="154"/>
      <c r="HB27" s="154"/>
      <c r="HC27" s="154"/>
      <c r="HD27" s="154"/>
      <c r="HE27" s="154"/>
      <c r="HF27" s="154"/>
      <c r="HG27" s="154"/>
      <c r="HH27" s="154"/>
      <c r="HI27" s="154"/>
      <c r="HJ27" s="154"/>
      <c r="HK27" s="154"/>
      <c r="HL27" s="154"/>
      <c r="HM27" s="154"/>
      <c r="HN27" s="154"/>
      <c r="HO27" s="154"/>
      <c r="HP27" s="154"/>
      <c r="HQ27" s="154"/>
      <c r="HR27" s="154"/>
      <c r="HS27" s="154"/>
      <c r="HT27" s="154"/>
      <c r="HU27" s="154"/>
      <c r="HV27" s="154"/>
      <c r="HW27" s="154"/>
      <c r="HX27" s="154"/>
      <c r="HY27" s="154"/>
      <c r="HZ27" s="154"/>
      <c r="IA27" s="154"/>
      <c r="IB27" s="154"/>
      <c r="IC27" s="154"/>
      <c r="ID27" s="154"/>
      <c r="IE27" s="154"/>
      <c r="IF27" s="154"/>
      <c r="IG27" s="154"/>
      <c r="IH27" s="154"/>
      <c r="II27" s="154"/>
      <c r="IJ27" s="154"/>
      <c r="IK27" s="154"/>
      <c r="IL27" s="154"/>
      <c r="IM27" s="154"/>
      <c r="IN27" s="154"/>
      <c r="IO27" s="154"/>
      <c r="IP27" s="154"/>
      <c r="IQ27" s="154"/>
      <c r="IR27" s="154"/>
      <c r="IS27" s="154"/>
      <c r="IT27" s="154"/>
      <c r="IU27" s="154"/>
      <c r="IV27" s="154"/>
      <c r="IW27" s="154"/>
      <c r="IX27" s="154"/>
      <c r="IY27" s="154"/>
      <c r="IZ27" s="154"/>
      <c r="JA27" s="154"/>
      <c r="JB27" s="154"/>
      <c r="JC27" s="154"/>
      <c r="JD27" s="154"/>
      <c r="JE27" s="154"/>
      <c r="JF27" s="154"/>
      <c r="JG27" s="154"/>
      <c r="JH27" s="154"/>
      <c r="JI27" s="154"/>
      <c r="JJ27" s="154"/>
      <c r="JK27" s="154"/>
      <c r="JL27" s="154"/>
      <c r="JM27" s="154"/>
      <c r="JN27" s="154"/>
      <c r="JO27" s="154"/>
      <c r="JP27" s="154"/>
      <c r="JQ27" s="154"/>
      <c r="JR27" s="154"/>
      <c r="JS27" s="154"/>
    </row>
    <row r="28" spans="1:279" ht="16.5">
      <c r="A28" s="284" t="s">
        <v>374</v>
      </c>
      <c r="B28" s="450">
        <v>2051</v>
      </c>
      <c r="C28" s="450">
        <v>1993</v>
      </c>
      <c r="D28" s="450">
        <v>2105</v>
      </c>
      <c r="E28" s="450">
        <v>2708</v>
      </c>
      <c r="F28" s="450">
        <v>2492</v>
      </c>
      <c r="G28" s="450">
        <v>2340</v>
      </c>
      <c r="H28" s="450">
        <v>2110</v>
      </c>
      <c r="I28" s="450">
        <v>2395</v>
      </c>
      <c r="J28" s="450">
        <v>3742</v>
      </c>
      <c r="K28" s="451">
        <v>2661</v>
      </c>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c r="CF28" s="154"/>
      <c r="CG28" s="154"/>
      <c r="CH28" s="154"/>
      <c r="CI28" s="154"/>
      <c r="CJ28" s="154"/>
      <c r="CK28" s="154"/>
      <c r="CL28" s="154"/>
      <c r="CM28" s="154"/>
      <c r="CN28" s="154"/>
      <c r="CO28" s="154"/>
      <c r="CP28" s="154"/>
      <c r="CQ28" s="154"/>
      <c r="CR28" s="154"/>
      <c r="CS28" s="154"/>
      <c r="CT28" s="154"/>
      <c r="CU28" s="154"/>
      <c r="CV28" s="154"/>
      <c r="CW28" s="154"/>
      <c r="CX28" s="154"/>
      <c r="CY28" s="154"/>
      <c r="CZ28" s="154"/>
      <c r="DA28" s="154"/>
      <c r="DB28" s="154"/>
      <c r="DC28" s="154"/>
      <c r="DD28" s="154"/>
      <c r="DE28" s="154"/>
      <c r="DF28" s="154"/>
      <c r="DG28" s="154"/>
      <c r="DH28" s="154"/>
      <c r="DI28" s="154"/>
      <c r="DJ28" s="154"/>
      <c r="DK28" s="154"/>
      <c r="DL28" s="154"/>
      <c r="DM28" s="154"/>
      <c r="DN28" s="154"/>
      <c r="DO28" s="154"/>
      <c r="DP28" s="154"/>
      <c r="DQ28" s="154"/>
      <c r="DR28" s="154"/>
      <c r="DS28" s="154"/>
      <c r="DT28" s="154"/>
      <c r="DU28" s="154"/>
      <c r="DV28" s="154"/>
      <c r="DW28" s="154"/>
      <c r="DX28" s="154"/>
      <c r="DY28" s="154"/>
      <c r="DZ28" s="154"/>
      <c r="EA28" s="154"/>
      <c r="EB28" s="154"/>
      <c r="EC28" s="154"/>
      <c r="ED28" s="154"/>
      <c r="EE28" s="154"/>
      <c r="EF28" s="154"/>
      <c r="EG28" s="154"/>
      <c r="EH28" s="154"/>
      <c r="EI28" s="154"/>
      <c r="EJ28" s="154"/>
      <c r="EK28" s="154"/>
      <c r="EL28" s="154"/>
      <c r="EM28" s="154"/>
      <c r="EN28" s="154"/>
      <c r="EO28" s="154"/>
      <c r="EP28" s="154"/>
      <c r="EQ28" s="154"/>
      <c r="ER28" s="154"/>
      <c r="ES28" s="154"/>
      <c r="ET28" s="154"/>
      <c r="EU28" s="154"/>
      <c r="EV28" s="154"/>
      <c r="EW28" s="154"/>
      <c r="EX28" s="154"/>
      <c r="EY28" s="154"/>
      <c r="EZ28" s="154"/>
      <c r="FA28" s="154"/>
      <c r="FB28" s="154"/>
      <c r="FC28" s="154"/>
      <c r="FD28" s="154"/>
      <c r="FE28" s="154"/>
      <c r="FF28" s="154"/>
      <c r="FG28" s="154"/>
      <c r="FH28" s="154"/>
      <c r="FI28" s="154"/>
      <c r="FJ28" s="154"/>
      <c r="FK28" s="154"/>
      <c r="FL28" s="154"/>
      <c r="FM28" s="154"/>
      <c r="FN28" s="154"/>
      <c r="FO28" s="154"/>
      <c r="FP28" s="154"/>
      <c r="FQ28" s="154"/>
      <c r="FR28" s="154"/>
      <c r="FS28" s="154"/>
      <c r="FT28" s="154"/>
      <c r="FU28" s="154"/>
      <c r="FV28" s="154"/>
      <c r="FW28" s="154"/>
      <c r="FX28" s="154"/>
      <c r="FY28" s="154"/>
      <c r="FZ28" s="154"/>
      <c r="GA28" s="154"/>
      <c r="GB28" s="154"/>
      <c r="GC28" s="154"/>
      <c r="GD28" s="154"/>
      <c r="GE28" s="154"/>
      <c r="GF28" s="154"/>
      <c r="GG28" s="154"/>
      <c r="GH28" s="154"/>
      <c r="GI28" s="154"/>
      <c r="GJ28" s="154"/>
      <c r="GK28" s="154"/>
    </row>
    <row r="29" spans="1:279" ht="16.5">
      <c r="A29" s="447" t="s">
        <v>375</v>
      </c>
      <c r="B29" s="452">
        <v>43</v>
      </c>
      <c r="C29" s="452">
        <v>45</v>
      </c>
      <c r="D29" s="452">
        <v>50</v>
      </c>
      <c r="E29" s="452">
        <v>83</v>
      </c>
      <c r="F29" s="452">
        <v>100</v>
      </c>
      <c r="G29" s="452">
        <v>150</v>
      </c>
      <c r="H29" s="452">
        <v>230</v>
      </c>
      <c r="I29" s="452">
        <v>379</v>
      </c>
      <c r="J29" s="452">
        <v>1802</v>
      </c>
      <c r="K29" s="453">
        <v>717</v>
      </c>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c r="FY29" s="154"/>
      <c r="FZ29" s="154"/>
      <c r="GA29" s="154"/>
      <c r="GB29" s="154"/>
      <c r="GC29" s="154"/>
      <c r="GD29" s="154"/>
      <c r="GE29" s="154"/>
      <c r="GF29" s="154"/>
      <c r="GG29" s="154"/>
      <c r="GH29" s="154"/>
      <c r="GI29" s="154"/>
      <c r="GJ29" s="154"/>
      <c r="GK29" s="154"/>
    </row>
    <row r="30" spans="1:279" ht="16.5">
      <c r="A30" s="447" t="s">
        <v>376</v>
      </c>
      <c r="B30" s="452">
        <v>96</v>
      </c>
      <c r="C30" s="452">
        <v>158</v>
      </c>
      <c r="D30" s="452">
        <v>418</v>
      </c>
      <c r="E30" s="452">
        <v>284</v>
      </c>
      <c r="F30" s="452">
        <v>280</v>
      </c>
      <c r="G30" s="452">
        <v>285</v>
      </c>
      <c r="H30" s="452">
        <v>372</v>
      </c>
      <c r="I30" s="452">
        <v>508</v>
      </c>
      <c r="J30" s="452">
        <v>462</v>
      </c>
      <c r="K30" s="453">
        <v>582</v>
      </c>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c r="CM30" s="154"/>
      <c r="CN30" s="154"/>
      <c r="CO30" s="154"/>
      <c r="CP30" s="154"/>
      <c r="CQ30" s="154"/>
      <c r="CR30" s="154"/>
      <c r="CS30" s="154"/>
      <c r="CT30" s="154"/>
      <c r="CU30" s="154"/>
      <c r="CV30" s="154"/>
      <c r="CW30" s="154"/>
      <c r="CX30" s="154"/>
      <c r="CY30" s="154"/>
      <c r="CZ30" s="154"/>
      <c r="DA30" s="154"/>
      <c r="DB30" s="154"/>
      <c r="DC30" s="154"/>
      <c r="DD30" s="154"/>
      <c r="DE30" s="154"/>
      <c r="DF30" s="154"/>
      <c r="DG30" s="154"/>
      <c r="DH30" s="154"/>
      <c r="DI30" s="154"/>
      <c r="DJ30" s="154"/>
      <c r="DK30" s="154"/>
      <c r="DL30" s="154"/>
      <c r="DM30" s="154"/>
      <c r="DN30" s="154"/>
      <c r="DO30" s="154"/>
      <c r="DP30" s="154"/>
      <c r="DQ30" s="154"/>
      <c r="DR30" s="154"/>
      <c r="DS30" s="154"/>
      <c r="DT30" s="154"/>
      <c r="DU30" s="154"/>
      <c r="DV30" s="154"/>
      <c r="DW30" s="154"/>
      <c r="DX30" s="154"/>
      <c r="DY30" s="154"/>
      <c r="DZ30" s="154"/>
      <c r="EA30" s="154"/>
      <c r="EB30" s="154"/>
      <c r="EC30" s="154"/>
      <c r="ED30" s="154"/>
      <c r="EE30" s="154"/>
      <c r="EF30" s="154"/>
      <c r="EG30" s="154"/>
      <c r="EH30" s="154"/>
      <c r="EI30" s="154"/>
      <c r="EJ30" s="154"/>
      <c r="EK30" s="154"/>
      <c r="EL30" s="154"/>
      <c r="EM30" s="154"/>
      <c r="EN30" s="154"/>
      <c r="EO30" s="154"/>
      <c r="EP30" s="154"/>
      <c r="EQ30" s="154"/>
      <c r="ER30" s="154"/>
      <c r="ES30" s="154"/>
      <c r="ET30" s="154"/>
      <c r="EU30" s="154"/>
      <c r="EV30" s="154"/>
      <c r="EW30" s="154"/>
      <c r="EX30" s="154"/>
      <c r="EY30" s="154"/>
      <c r="EZ30" s="154"/>
      <c r="FA30" s="154"/>
      <c r="FB30" s="154"/>
      <c r="FC30" s="154"/>
      <c r="FD30" s="154"/>
      <c r="FE30" s="154"/>
      <c r="FF30" s="154"/>
      <c r="FG30" s="154"/>
      <c r="FH30" s="154"/>
      <c r="FI30" s="154"/>
      <c r="FJ30" s="154"/>
      <c r="FK30" s="154"/>
      <c r="FL30" s="154"/>
      <c r="FM30" s="154"/>
      <c r="FN30" s="154"/>
      <c r="FO30" s="154"/>
      <c r="FP30" s="154"/>
      <c r="FQ30" s="154"/>
      <c r="FR30" s="154"/>
      <c r="FS30" s="154"/>
      <c r="FT30" s="154"/>
      <c r="FU30" s="154"/>
      <c r="FV30" s="154"/>
      <c r="FW30" s="154"/>
      <c r="FX30" s="154"/>
      <c r="FY30" s="154"/>
      <c r="FZ30" s="154"/>
      <c r="GA30" s="154"/>
      <c r="GB30" s="154"/>
      <c r="GC30" s="154"/>
      <c r="GD30" s="154"/>
      <c r="GE30" s="154"/>
      <c r="GF30" s="154"/>
      <c r="GG30" s="154"/>
      <c r="GH30" s="154"/>
      <c r="GI30" s="154"/>
      <c r="GJ30" s="154"/>
      <c r="GK30" s="154"/>
    </row>
    <row r="31" spans="1:279" ht="16.5">
      <c r="A31" s="447" t="s">
        <v>456</v>
      </c>
      <c r="B31" s="452">
        <v>717</v>
      </c>
      <c r="C31" s="452">
        <v>636</v>
      </c>
      <c r="D31" s="452">
        <v>655</v>
      </c>
      <c r="E31" s="452">
        <v>825</v>
      </c>
      <c r="F31" s="452">
        <v>894</v>
      </c>
      <c r="G31" s="452">
        <v>680</v>
      </c>
      <c r="H31" s="452">
        <v>491</v>
      </c>
      <c r="I31" s="452">
        <v>519</v>
      </c>
      <c r="J31" s="452">
        <v>644</v>
      </c>
      <c r="K31" s="453">
        <v>553</v>
      </c>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c r="CQ31" s="154"/>
      <c r="CR31" s="154"/>
      <c r="CS31" s="154"/>
      <c r="CT31" s="154"/>
      <c r="CU31" s="154"/>
      <c r="CV31" s="154"/>
      <c r="CW31" s="154"/>
      <c r="CX31" s="154"/>
      <c r="CY31" s="154"/>
      <c r="CZ31" s="154"/>
      <c r="DA31" s="154"/>
      <c r="DB31" s="154"/>
      <c r="DC31" s="154"/>
      <c r="DD31" s="154"/>
      <c r="DE31" s="154"/>
      <c r="DF31" s="154"/>
      <c r="DG31" s="154"/>
      <c r="DH31" s="154"/>
      <c r="DI31" s="154"/>
      <c r="DJ31" s="154"/>
      <c r="DK31" s="154"/>
      <c r="DL31" s="154"/>
      <c r="DM31" s="154"/>
      <c r="DN31" s="154"/>
      <c r="DO31" s="154"/>
      <c r="DP31" s="154"/>
      <c r="DQ31" s="154"/>
      <c r="DR31" s="154"/>
      <c r="DS31" s="154"/>
      <c r="DT31" s="154"/>
      <c r="DU31" s="154"/>
      <c r="DV31" s="154"/>
      <c r="DW31" s="154"/>
      <c r="DX31" s="154"/>
      <c r="DY31" s="154"/>
      <c r="DZ31" s="154"/>
      <c r="EA31" s="154"/>
      <c r="EB31" s="154"/>
      <c r="EC31" s="154"/>
      <c r="ED31" s="154"/>
      <c r="EE31" s="154"/>
      <c r="EF31" s="154"/>
      <c r="EG31" s="154"/>
      <c r="EH31" s="154"/>
      <c r="EI31" s="154"/>
      <c r="EJ31" s="154"/>
      <c r="EK31" s="154"/>
      <c r="EL31" s="154"/>
      <c r="EM31" s="154"/>
      <c r="EN31" s="154"/>
      <c r="EO31" s="154"/>
      <c r="EP31" s="154"/>
      <c r="EQ31" s="154"/>
      <c r="ER31" s="154"/>
      <c r="ES31" s="154"/>
      <c r="ET31" s="154"/>
      <c r="EU31" s="154"/>
      <c r="EV31" s="154"/>
      <c r="EW31" s="154"/>
      <c r="EX31" s="154"/>
      <c r="EY31" s="154"/>
      <c r="EZ31" s="154"/>
      <c r="FA31" s="154"/>
      <c r="FB31" s="154"/>
      <c r="FC31" s="154"/>
      <c r="FD31" s="154"/>
      <c r="FE31" s="154"/>
      <c r="FF31" s="154"/>
      <c r="FG31" s="154"/>
      <c r="FH31" s="154"/>
      <c r="FI31" s="154"/>
      <c r="FJ31" s="154"/>
      <c r="FK31" s="154"/>
      <c r="FL31" s="154"/>
      <c r="FM31" s="154"/>
      <c r="FN31" s="154"/>
      <c r="FO31" s="154"/>
      <c r="FP31" s="154"/>
      <c r="FQ31" s="154"/>
      <c r="FR31" s="154"/>
      <c r="FS31" s="154"/>
      <c r="FT31" s="154"/>
      <c r="FU31" s="154"/>
      <c r="FV31" s="154"/>
      <c r="FW31" s="154"/>
      <c r="FX31" s="154"/>
      <c r="FY31" s="154"/>
      <c r="FZ31" s="154"/>
      <c r="GA31" s="154"/>
      <c r="GB31" s="154"/>
      <c r="GC31" s="154"/>
      <c r="GD31" s="154"/>
      <c r="GE31" s="154"/>
      <c r="GF31" s="154"/>
      <c r="GG31" s="154"/>
      <c r="GH31" s="154"/>
      <c r="GI31" s="154"/>
      <c r="GJ31" s="154"/>
      <c r="GK31" s="154"/>
    </row>
    <row r="32" spans="1:279" ht="16.5">
      <c r="A32" s="447" t="s">
        <v>472</v>
      </c>
      <c r="B32" s="452">
        <v>231</v>
      </c>
      <c r="C32" s="452">
        <v>204</v>
      </c>
      <c r="D32" s="452">
        <v>324</v>
      </c>
      <c r="E32" s="452">
        <v>363</v>
      </c>
      <c r="F32" s="452">
        <v>501</v>
      </c>
      <c r="G32" s="452">
        <v>526</v>
      </c>
      <c r="H32" s="452">
        <v>354</v>
      </c>
      <c r="I32" s="452">
        <v>429</v>
      </c>
      <c r="J32" s="452">
        <v>337</v>
      </c>
      <c r="K32" s="453">
        <v>332</v>
      </c>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154"/>
      <c r="DH32" s="154"/>
      <c r="DI32" s="154"/>
      <c r="DJ32" s="154"/>
      <c r="DK32" s="154"/>
      <c r="DL32" s="154"/>
      <c r="DM32" s="154"/>
      <c r="DN32" s="154"/>
      <c r="DO32" s="154"/>
      <c r="DP32" s="154"/>
      <c r="DQ32" s="154"/>
      <c r="DR32" s="154"/>
      <c r="DS32" s="154"/>
      <c r="DT32" s="154"/>
      <c r="DU32" s="154"/>
      <c r="DV32" s="154"/>
      <c r="DW32" s="154"/>
      <c r="DX32" s="154"/>
      <c r="DY32" s="154"/>
      <c r="DZ32" s="154"/>
      <c r="EA32" s="154"/>
      <c r="EB32" s="154"/>
      <c r="EC32" s="154"/>
      <c r="ED32" s="154"/>
      <c r="EE32" s="154"/>
      <c r="EF32" s="154"/>
      <c r="EG32" s="154"/>
      <c r="EH32" s="154"/>
      <c r="EI32" s="154"/>
      <c r="EJ32" s="154"/>
      <c r="EK32" s="154"/>
      <c r="EL32" s="154"/>
      <c r="EM32" s="154"/>
      <c r="EN32" s="154"/>
      <c r="EO32" s="154"/>
      <c r="EP32" s="154"/>
      <c r="EQ32" s="154"/>
      <c r="ER32" s="154"/>
      <c r="ES32" s="154"/>
      <c r="ET32" s="154"/>
      <c r="EU32" s="154"/>
      <c r="EV32" s="154"/>
      <c r="EW32" s="154"/>
      <c r="EX32" s="154"/>
      <c r="EY32" s="154"/>
      <c r="EZ32" s="154"/>
      <c r="FA32" s="154"/>
      <c r="FB32" s="154"/>
      <c r="FC32" s="154"/>
      <c r="FD32" s="154"/>
      <c r="FE32" s="154"/>
      <c r="FF32" s="154"/>
      <c r="FG32" s="154"/>
      <c r="FH32" s="154"/>
      <c r="FI32" s="154"/>
      <c r="FJ32" s="154"/>
      <c r="FK32" s="154"/>
      <c r="FL32" s="154"/>
      <c r="FM32" s="154"/>
      <c r="FN32" s="154"/>
      <c r="FO32" s="154"/>
      <c r="FP32" s="154"/>
      <c r="FQ32" s="154"/>
      <c r="FR32" s="154"/>
      <c r="FS32" s="154"/>
      <c r="FT32" s="154"/>
      <c r="FU32" s="154"/>
      <c r="FV32" s="154"/>
      <c r="FW32" s="154"/>
      <c r="FX32" s="154"/>
      <c r="FY32" s="154"/>
      <c r="FZ32" s="154"/>
      <c r="GA32" s="154"/>
      <c r="GB32" s="154"/>
      <c r="GC32" s="154"/>
      <c r="GD32" s="154"/>
      <c r="GE32" s="154"/>
      <c r="GF32" s="154"/>
      <c r="GG32" s="154"/>
      <c r="GH32" s="154"/>
      <c r="GI32" s="154"/>
      <c r="GJ32" s="154"/>
      <c r="GK32" s="154"/>
    </row>
    <row r="33" spans="1:269" ht="15.75" customHeight="1">
      <c r="A33" s="447" t="s">
        <v>474</v>
      </c>
      <c r="B33" s="452">
        <v>414</v>
      </c>
      <c r="C33" s="452">
        <v>306</v>
      </c>
      <c r="D33" s="452">
        <v>189</v>
      </c>
      <c r="E33" s="452">
        <v>528</v>
      </c>
      <c r="F33" s="452">
        <v>152</v>
      </c>
      <c r="G33" s="452">
        <v>134</v>
      </c>
      <c r="H33" s="452">
        <v>34</v>
      </c>
      <c r="I33" s="452">
        <v>27</v>
      </c>
      <c r="J33" s="452">
        <v>82</v>
      </c>
      <c r="K33" s="453">
        <v>125</v>
      </c>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c r="FY33" s="154"/>
      <c r="FZ33" s="154"/>
      <c r="GA33" s="154"/>
      <c r="GB33" s="154"/>
      <c r="GC33" s="154"/>
      <c r="GD33" s="154"/>
      <c r="GE33" s="154"/>
      <c r="GF33" s="154"/>
      <c r="GG33" s="154"/>
      <c r="GH33" s="154"/>
      <c r="GI33" s="154"/>
      <c r="GJ33" s="154"/>
      <c r="GK33" s="154"/>
    </row>
    <row r="34" spans="1:269" ht="16.5">
      <c r="A34" s="447" t="s">
        <v>473</v>
      </c>
      <c r="B34" s="452">
        <v>69</v>
      </c>
      <c r="C34" s="452">
        <v>126</v>
      </c>
      <c r="D34" s="452">
        <v>75</v>
      </c>
      <c r="E34" s="452">
        <v>89</v>
      </c>
      <c r="F34" s="452">
        <v>72</v>
      </c>
      <c r="G34" s="452">
        <v>137</v>
      </c>
      <c r="H34" s="452">
        <v>89</v>
      </c>
      <c r="I34" s="452">
        <v>81</v>
      </c>
      <c r="J34" s="452">
        <v>66</v>
      </c>
      <c r="K34" s="453">
        <v>64</v>
      </c>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c r="CN34" s="154"/>
      <c r="CO34" s="154"/>
      <c r="CP34" s="154"/>
      <c r="CQ34" s="154"/>
      <c r="CR34" s="154"/>
      <c r="CS34" s="154"/>
      <c r="CT34" s="154"/>
      <c r="CU34" s="154"/>
      <c r="CV34" s="154"/>
      <c r="CW34" s="154"/>
      <c r="CX34" s="154"/>
      <c r="CY34" s="154"/>
      <c r="CZ34" s="154"/>
      <c r="DA34" s="154"/>
      <c r="DB34" s="154"/>
      <c r="DC34" s="154"/>
      <c r="DD34" s="154"/>
      <c r="DE34" s="154"/>
      <c r="DF34" s="154"/>
      <c r="DG34" s="154"/>
      <c r="DH34" s="154"/>
      <c r="DI34" s="154"/>
      <c r="DJ34" s="154"/>
      <c r="DK34" s="154"/>
      <c r="DL34" s="154"/>
      <c r="DM34" s="154"/>
      <c r="DN34" s="154"/>
      <c r="DO34" s="154"/>
      <c r="DP34" s="154"/>
      <c r="DQ34" s="154"/>
      <c r="DR34" s="154"/>
      <c r="DS34" s="154"/>
      <c r="DT34" s="154"/>
      <c r="DU34" s="154"/>
      <c r="DV34" s="154"/>
      <c r="DW34" s="154"/>
      <c r="DX34" s="154"/>
      <c r="DY34" s="154"/>
      <c r="DZ34" s="154"/>
      <c r="EA34" s="154"/>
      <c r="EB34" s="154"/>
      <c r="EC34" s="154"/>
      <c r="ED34" s="154"/>
      <c r="EE34" s="154"/>
      <c r="EF34" s="154"/>
      <c r="EG34" s="154"/>
      <c r="EH34" s="154"/>
      <c r="EI34" s="154"/>
      <c r="EJ34" s="154"/>
      <c r="EK34" s="154"/>
      <c r="EL34" s="154"/>
      <c r="EM34" s="154"/>
      <c r="EN34" s="154"/>
      <c r="EO34" s="154"/>
      <c r="EP34" s="154"/>
      <c r="EQ34" s="154"/>
      <c r="ER34" s="154"/>
      <c r="ES34" s="154"/>
      <c r="ET34" s="154"/>
      <c r="EU34" s="154"/>
      <c r="EV34" s="154"/>
      <c r="EW34" s="154"/>
      <c r="EX34" s="154"/>
      <c r="EY34" s="154"/>
      <c r="EZ34" s="154"/>
      <c r="FA34" s="154"/>
      <c r="FB34" s="154"/>
      <c r="FC34" s="154"/>
      <c r="FD34" s="154"/>
      <c r="FE34" s="154"/>
      <c r="FF34" s="154"/>
      <c r="FG34" s="154"/>
      <c r="FH34" s="154"/>
      <c r="FI34" s="154"/>
      <c r="FJ34" s="154"/>
      <c r="FK34" s="154"/>
      <c r="FL34" s="154"/>
      <c r="FM34" s="154"/>
      <c r="FN34" s="154"/>
      <c r="FO34" s="154"/>
      <c r="FP34" s="154"/>
      <c r="FQ34" s="154"/>
      <c r="FR34" s="154"/>
      <c r="FS34" s="154"/>
      <c r="FT34" s="154"/>
      <c r="FU34" s="154"/>
      <c r="FV34" s="154"/>
      <c r="FW34" s="154"/>
      <c r="FX34" s="154"/>
      <c r="FY34" s="154"/>
      <c r="FZ34" s="154"/>
      <c r="GA34" s="154"/>
      <c r="GB34" s="154"/>
      <c r="GC34" s="154"/>
      <c r="GD34" s="154"/>
      <c r="GE34" s="154"/>
      <c r="GF34" s="154"/>
      <c r="GG34" s="154"/>
      <c r="GH34" s="154"/>
      <c r="GI34" s="154"/>
      <c r="GJ34" s="154"/>
      <c r="GK34" s="154"/>
    </row>
    <row r="35" spans="1:269" ht="16.5">
      <c r="A35" s="447" t="s">
        <v>377</v>
      </c>
      <c r="B35" s="463">
        <v>143</v>
      </c>
      <c r="C35" s="463">
        <v>76</v>
      </c>
      <c r="D35" s="463">
        <v>86</v>
      </c>
      <c r="E35" s="463">
        <v>120</v>
      </c>
      <c r="F35" s="463">
        <v>57</v>
      </c>
      <c r="G35" s="452">
        <v>62</v>
      </c>
      <c r="H35" s="452">
        <v>77</v>
      </c>
      <c r="I35" s="452">
        <v>118</v>
      </c>
      <c r="J35" s="452">
        <v>62</v>
      </c>
      <c r="K35" s="453">
        <v>62</v>
      </c>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row>
    <row r="36" spans="1:269" ht="16.5">
      <c r="A36" s="447" t="s">
        <v>475</v>
      </c>
      <c r="B36" s="463">
        <v>48</v>
      </c>
      <c r="C36" s="463">
        <v>133</v>
      </c>
      <c r="D36" s="463">
        <v>68</v>
      </c>
      <c r="E36" s="463">
        <v>118</v>
      </c>
      <c r="F36" s="463">
        <v>124</v>
      </c>
      <c r="G36" s="452">
        <v>75</v>
      </c>
      <c r="H36" s="452">
        <v>109</v>
      </c>
      <c r="I36" s="452">
        <v>72</v>
      </c>
      <c r="J36" s="452">
        <v>102</v>
      </c>
      <c r="K36" s="453">
        <v>57</v>
      </c>
      <c r="L36" s="154"/>
      <c r="M36" s="154"/>
      <c r="N36" s="154"/>
      <c r="O36" s="154"/>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54"/>
      <c r="CJ36" s="154"/>
      <c r="CK36" s="154"/>
      <c r="CL36" s="154"/>
      <c r="CM36" s="154"/>
      <c r="CN36" s="154"/>
      <c r="CO36" s="154"/>
      <c r="CP36" s="154"/>
      <c r="CQ36" s="154"/>
      <c r="CR36" s="154"/>
      <c r="CS36" s="154"/>
      <c r="CT36" s="154"/>
      <c r="CU36" s="154"/>
      <c r="CV36" s="154"/>
      <c r="CW36" s="154"/>
      <c r="CX36" s="154"/>
      <c r="CY36" s="154"/>
      <c r="CZ36" s="154"/>
      <c r="DA36" s="154"/>
      <c r="DB36" s="154"/>
      <c r="DC36" s="154"/>
      <c r="DD36" s="154"/>
      <c r="DE36" s="154"/>
      <c r="DF36" s="154"/>
      <c r="DG36" s="154"/>
      <c r="DH36" s="154"/>
      <c r="DI36" s="154"/>
      <c r="DJ36" s="154"/>
      <c r="DK36" s="154"/>
      <c r="DL36" s="154"/>
      <c r="DM36" s="154"/>
      <c r="DN36" s="154"/>
      <c r="DO36" s="154"/>
      <c r="DP36" s="154"/>
      <c r="DQ36" s="154"/>
      <c r="DR36" s="154"/>
      <c r="DS36" s="154"/>
      <c r="DT36" s="154"/>
      <c r="DU36" s="154"/>
      <c r="DV36" s="154"/>
      <c r="DW36" s="154"/>
      <c r="DX36" s="154"/>
      <c r="DY36" s="154"/>
      <c r="DZ36" s="154"/>
      <c r="EA36" s="154"/>
      <c r="EB36" s="154"/>
      <c r="EC36" s="154"/>
      <c r="ED36" s="154"/>
      <c r="EE36" s="154"/>
      <c r="EF36" s="154"/>
      <c r="EG36" s="154"/>
      <c r="EH36" s="154"/>
      <c r="EI36" s="154"/>
      <c r="EJ36" s="154"/>
      <c r="EK36" s="154"/>
      <c r="EL36" s="154"/>
      <c r="EM36" s="154"/>
      <c r="EN36" s="154"/>
      <c r="EO36" s="154"/>
      <c r="EP36" s="154"/>
      <c r="EQ36" s="154"/>
      <c r="ER36" s="154"/>
      <c r="ES36" s="154"/>
      <c r="ET36" s="154"/>
      <c r="EU36" s="154"/>
      <c r="EV36" s="154"/>
      <c r="EW36" s="154"/>
      <c r="EX36" s="154"/>
      <c r="EY36" s="154"/>
      <c r="EZ36" s="154"/>
      <c r="FA36" s="154"/>
      <c r="FB36" s="154"/>
      <c r="FC36" s="154"/>
      <c r="FD36" s="154"/>
      <c r="FE36" s="154"/>
      <c r="FF36" s="154"/>
      <c r="FG36" s="154"/>
      <c r="FH36" s="154"/>
      <c r="FI36" s="154"/>
      <c r="FJ36" s="154"/>
      <c r="FK36" s="154"/>
      <c r="FL36" s="154"/>
      <c r="FM36" s="154"/>
      <c r="FN36" s="154"/>
      <c r="FO36" s="154"/>
      <c r="FP36" s="154"/>
      <c r="FQ36" s="154"/>
      <c r="FR36" s="154"/>
      <c r="FS36" s="154"/>
      <c r="FT36" s="154"/>
      <c r="FU36" s="154"/>
      <c r="FV36" s="154"/>
      <c r="FW36" s="154"/>
      <c r="FX36" s="154"/>
      <c r="FY36" s="154"/>
      <c r="FZ36" s="154"/>
      <c r="GA36" s="154"/>
      <c r="GB36" s="154"/>
      <c r="GC36" s="154"/>
      <c r="GD36" s="154"/>
      <c r="GE36" s="154"/>
      <c r="GF36" s="154"/>
      <c r="GG36" s="154"/>
      <c r="GH36" s="154"/>
      <c r="GI36" s="154"/>
      <c r="GJ36" s="154"/>
      <c r="GK36" s="154"/>
      <c r="GL36" s="154"/>
      <c r="GM36" s="154"/>
      <c r="GN36" s="154"/>
      <c r="GO36" s="154"/>
      <c r="GP36" s="154"/>
      <c r="GQ36" s="154"/>
      <c r="GR36" s="154"/>
      <c r="GS36" s="154"/>
      <c r="GT36" s="154"/>
      <c r="GU36" s="154"/>
      <c r="GV36" s="154"/>
      <c r="GW36" s="154"/>
      <c r="GX36" s="154"/>
      <c r="GY36" s="154"/>
      <c r="GZ36" s="154"/>
      <c r="HA36" s="154"/>
      <c r="HB36" s="154"/>
      <c r="HC36" s="154"/>
      <c r="HD36" s="154"/>
      <c r="HE36" s="154"/>
      <c r="HF36" s="154"/>
      <c r="HG36" s="154"/>
      <c r="HH36" s="154"/>
      <c r="HI36" s="154"/>
      <c r="HJ36" s="154"/>
      <c r="HK36" s="154"/>
      <c r="HL36" s="154"/>
      <c r="HM36" s="154"/>
      <c r="HN36" s="154"/>
      <c r="HO36" s="154"/>
      <c r="HP36" s="154"/>
      <c r="HQ36" s="154"/>
      <c r="HR36" s="154"/>
      <c r="HS36" s="154"/>
      <c r="HT36" s="154"/>
      <c r="HU36" s="154"/>
      <c r="HV36" s="154"/>
      <c r="HW36" s="154"/>
      <c r="HX36" s="154"/>
      <c r="HY36" s="154"/>
      <c r="HZ36" s="154"/>
      <c r="IA36" s="154"/>
      <c r="IB36" s="154"/>
      <c r="IC36" s="154"/>
      <c r="ID36" s="154"/>
      <c r="IE36" s="154"/>
      <c r="IF36" s="154"/>
      <c r="IG36" s="154"/>
      <c r="IH36" s="154"/>
      <c r="II36" s="154"/>
      <c r="IJ36" s="154"/>
      <c r="IK36" s="154"/>
      <c r="IL36" s="154"/>
      <c r="IM36" s="154"/>
      <c r="IN36" s="154"/>
      <c r="IO36" s="154"/>
      <c r="IP36" s="154"/>
      <c r="IQ36" s="154"/>
      <c r="IR36" s="154"/>
      <c r="IS36" s="154"/>
      <c r="IT36" s="154"/>
      <c r="IU36" s="154"/>
      <c r="IV36" s="154"/>
      <c r="IW36" s="154"/>
      <c r="IX36" s="154"/>
      <c r="IY36" s="154"/>
      <c r="IZ36" s="154"/>
      <c r="JA36" s="154"/>
      <c r="JB36" s="154"/>
      <c r="JC36" s="154"/>
      <c r="JD36" s="154"/>
      <c r="JE36" s="154"/>
      <c r="JF36" s="154"/>
      <c r="JG36" s="154"/>
      <c r="JH36" s="154"/>
    </row>
    <row r="37" spans="1:269" s="250" customFormat="1" ht="16.5">
      <c r="A37" s="447" t="s">
        <v>476</v>
      </c>
      <c r="B37" s="462" t="s">
        <v>1</v>
      </c>
      <c r="C37" s="462" t="s">
        <v>1</v>
      </c>
      <c r="D37" s="462" t="s">
        <v>1</v>
      </c>
      <c r="E37" s="462" t="s">
        <v>1</v>
      </c>
      <c r="F37" s="463">
        <v>8</v>
      </c>
      <c r="G37" s="452">
        <v>38</v>
      </c>
      <c r="H37" s="452">
        <v>48</v>
      </c>
      <c r="I37" s="452">
        <v>50</v>
      </c>
      <c r="J37" s="452">
        <v>68</v>
      </c>
      <c r="K37" s="453">
        <v>42</v>
      </c>
      <c r="L37" s="251"/>
      <c r="M37" s="251"/>
      <c r="N37" s="251"/>
      <c r="O37" s="251"/>
      <c r="P37" s="251"/>
      <c r="Q37" s="251"/>
      <c r="R37" s="251"/>
      <c r="S37" s="251"/>
      <c r="T37" s="251"/>
      <c r="U37" s="251"/>
      <c r="V37" s="251"/>
      <c r="W37" s="251"/>
      <c r="X37" s="251"/>
      <c r="Y37" s="251"/>
      <c r="Z37" s="251"/>
      <c r="AA37" s="251"/>
      <c r="AB37" s="251"/>
      <c r="AC37" s="251"/>
      <c r="AD37" s="251"/>
      <c r="AE37" s="251"/>
      <c r="AF37" s="251"/>
      <c r="AG37" s="251"/>
      <c r="AH37" s="251"/>
      <c r="AI37" s="251"/>
      <c r="AJ37" s="251"/>
      <c r="AK37" s="251"/>
      <c r="AL37" s="251"/>
      <c r="AM37" s="251"/>
      <c r="AN37" s="251"/>
      <c r="AO37" s="251"/>
      <c r="AP37" s="251"/>
      <c r="AQ37" s="251"/>
      <c r="AR37" s="251"/>
      <c r="AS37" s="251"/>
      <c r="AT37" s="251"/>
      <c r="AU37" s="251"/>
      <c r="AV37" s="251"/>
      <c r="AW37" s="251"/>
      <c r="AX37" s="251"/>
      <c r="AY37" s="251"/>
      <c r="AZ37" s="251"/>
      <c r="BA37" s="251"/>
      <c r="BB37" s="251"/>
      <c r="BC37" s="251"/>
      <c r="BD37" s="251"/>
      <c r="BE37" s="251"/>
      <c r="BF37" s="251"/>
      <c r="BG37" s="251"/>
      <c r="BH37" s="251"/>
      <c r="BI37" s="251"/>
      <c r="BJ37" s="251"/>
      <c r="BK37" s="251"/>
      <c r="BL37" s="251"/>
      <c r="BM37" s="251"/>
      <c r="BN37" s="251"/>
      <c r="BO37" s="251"/>
      <c r="BP37" s="251"/>
      <c r="BQ37" s="251"/>
      <c r="BR37" s="251"/>
      <c r="BS37" s="251"/>
      <c r="BT37" s="251"/>
      <c r="BU37" s="251"/>
      <c r="BV37" s="251"/>
      <c r="BW37" s="251"/>
      <c r="BX37" s="251"/>
      <c r="BY37" s="251"/>
      <c r="BZ37" s="251"/>
      <c r="CA37" s="251"/>
      <c r="CB37" s="251"/>
      <c r="CC37" s="251"/>
      <c r="CD37" s="251"/>
      <c r="CE37" s="251"/>
      <c r="CF37" s="251"/>
      <c r="CG37" s="251"/>
      <c r="CH37" s="251"/>
      <c r="CI37" s="251"/>
      <c r="CJ37" s="251"/>
      <c r="CK37" s="251"/>
      <c r="CL37" s="251"/>
      <c r="CM37" s="251"/>
      <c r="CN37" s="251"/>
      <c r="CO37" s="251"/>
      <c r="CP37" s="251"/>
      <c r="CQ37" s="251"/>
      <c r="CR37" s="251"/>
      <c r="CS37" s="251"/>
      <c r="CT37" s="251"/>
      <c r="CU37" s="251"/>
      <c r="CV37" s="251"/>
      <c r="CW37" s="251"/>
      <c r="CX37" s="251"/>
      <c r="CY37" s="251"/>
      <c r="CZ37" s="251"/>
      <c r="DA37" s="251"/>
      <c r="DB37" s="251"/>
      <c r="DC37" s="251"/>
      <c r="DD37" s="251"/>
      <c r="DE37" s="251"/>
      <c r="DF37" s="251"/>
      <c r="DG37" s="251"/>
      <c r="DH37" s="251"/>
      <c r="DI37" s="251"/>
      <c r="DJ37" s="251"/>
      <c r="DK37" s="251"/>
      <c r="DL37" s="251"/>
      <c r="DM37" s="251"/>
      <c r="DN37" s="251"/>
      <c r="DO37" s="251"/>
      <c r="DP37" s="251"/>
      <c r="DQ37" s="251"/>
      <c r="DR37" s="251"/>
      <c r="DS37" s="251"/>
      <c r="DT37" s="251"/>
      <c r="DU37" s="251"/>
      <c r="DV37" s="251"/>
      <c r="DW37" s="251"/>
      <c r="DX37" s="251"/>
      <c r="DY37" s="251"/>
      <c r="DZ37" s="251"/>
      <c r="EA37" s="251"/>
      <c r="EB37" s="251"/>
      <c r="EC37" s="251"/>
      <c r="ED37" s="251"/>
      <c r="EE37" s="251"/>
      <c r="EF37" s="251"/>
      <c r="EG37" s="251"/>
      <c r="EH37" s="251"/>
      <c r="EI37" s="251"/>
      <c r="EJ37" s="251"/>
      <c r="EK37" s="251"/>
      <c r="EL37" s="251"/>
      <c r="EM37" s="251"/>
      <c r="EN37" s="251"/>
      <c r="EO37" s="251"/>
      <c r="EP37" s="251"/>
      <c r="EQ37" s="251"/>
      <c r="ER37" s="251"/>
      <c r="ES37" s="251"/>
      <c r="ET37" s="251"/>
      <c r="EU37" s="251"/>
      <c r="EV37" s="251"/>
      <c r="EW37" s="251"/>
      <c r="EX37" s="251"/>
      <c r="EY37" s="251"/>
      <c r="EZ37" s="251"/>
      <c r="FA37" s="251"/>
      <c r="FB37" s="251"/>
      <c r="FC37" s="251"/>
      <c r="FD37" s="251"/>
      <c r="FE37" s="251"/>
      <c r="FF37" s="251"/>
      <c r="FG37" s="251"/>
      <c r="FH37" s="251"/>
      <c r="FI37" s="251"/>
      <c r="FJ37" s="251"/>
      <c r="FK37" s="251"/>
      <c r="FL37" s="251"/>
      <c r="FM37" s="251"/>
      <c r="FN37" s="251"/>
      <c r="FO37" s="251"/>
      <c r="FP37" s="251"/>
      <c r="FQ37" s="251"/>
      <c r="FR37" s="251"/>
      <c r="FS37" s="251"/>
      <c r="FT37" s="251"/>
      <c r="FU37" s="251"/>
      <c r="FV37" s="251"/>
      <c r="FW37" s="251"/>
      <c r="FX37" s="251"/>
      <c r="FY37" s="251"/>
      <c r="FZ37" s="251"/>
      <c r="GA37" s="251"/>
      <c r="GB37" s="251"/>
      <c r="GC37" s="251"/>
      <c r="GD37" s="251"/>
      <c r="GE37" s="251"/>
      <c r="GF37" s="251"/>
      <c r="GG37" s="251"/>
      <c r="GH37" s="251"/>
      <c r="GI37" s="251"/>
      <c r="GJ37" s="251"/>
      <c r="GK37" s="251"/>
      <c r="GL37" s="251"/>
      <c r="GM37" s="251"/>
      <c r="GN37" s="251"/>
      <c r="GO37" s="251"/>
      <c r="GP37" s="251"/>
      <c r="GQ37" s="251"/>
      <c r="GR37" s="251"/>
      <c r="GS37" s="251"/>
      <c r="GT37" s="251"/>
      <c r="GU37" s="251"/>
      <c r="GV37" s="251"/>
      <c r="GW37" s="251"/>
      <c r="GX37" s="251"/>
      <c r="GY37" s="251"/>
      <c r="GZ37" s="251"/>
      <c r="HA37" s="251"/>
      <c r="HB37" s="251"/>
      <c r="HC37" s="251"/>
      <c r="HD37" s="251"/>
      <c r="HE37" s="251"/>
      <c r="HF37" s="251"/>
      <c r="HG37" s="251"/>
      <c r="HH37" s="251"/>
      <c r="HI37" s="251"/>
      <c r="HJ37" s="251"/>
      <c r="HK37" s="251"/>
      <c r="HL37" s="251"/>
      <c r="HM37" s="251"/>
      <c r="HN37" s="251"/>
      <c r="HO37" s="251"/>
      <c r="HP37" s="251"/>
      <c r="HQ37" s="251"/>
      <c r="HR37" s="251"/>
      <c r="HS37" s="251"/>
      <c r="HT37" s="251"/>
      <c r="HU37" s="251"/>
      <c r="HV37" s="251"/>
      <c r="HW37" s="251"/>
      <c r="HX37" s="251"/>
      <c r="HY37" s="251"/>
      <c r="HZ37" s="251"/>
      <c r="IA37" s="251"/>
      <c r="IB37" s="251"/>
      <c r="IC37" s="251"/>
      <c r="ID37" s="251"/>
      <c r="IE37" s="251"/>
      <c r="IF37" s="251"/>
      <c r="IG37" s="251"/>
      <c r="IH37" s="251"/>
      <c r="II37" s="251"/>
      <c r="IJ37" s="251"/>
      <c r="IK37" s="251"/>
      <c r="IL37" s="251"/>
      <c r="IM37" s="251"/>
      <c r="IN37" s="251"/>
      <c r="IO37" s="251"/>
      <c r="IP37" s="251"/>
      <c r="IQ37" s="251"/>
      <c r="IR37" s="251"/>
      <c r="IS37" s="251"/>
      <c r="IT37" s="251"/>
      <c r="IU37" s="251"/>
      <c r="IV37" s="251"/>
      <c r="IW37" s="251"/>
      <c r="IX37" s="251"/>
      <c r="IY37" s="251"/>
      <c r="IZ37" s="251"/>
      <c r="JA37" s="251"/>
      <c r="JB37" s="251"/>
      <c r="JC37" s="251"/>
      <c r="JD37" s="251"/>
      <c r="JE37" s="251"/>
      <c r="JF37" s="251"/>
      <c r="JG37" s="251"/>
      <c r="JH37" s="251"/>
      <c r="JI37" s="283"/>
    </row>
    <row r="38" spans="1:269" s="250" customFormat="1" ht="16.5">
      <c r="A38" s="447" t="s">
        <v>464</v>
      </c>
      <c r="B38" s="462">
        <v>178</v>
      </c>
      <c r="C38" s="462">
        <v>127</v>
      </c>
      <c r="D38" s="462">
        <v>117</v>
      </c>
      <c r="E38" s="462">
        <v>91</v>
      </c>
      <c r="F38" s="463">
        <v>58</v>
      </c>
      <c r="G38" s="452">
        <v>76</v>
      </c>
      <c r="H38" s="452">
        <v>137</v>
      </c>
      <c r="I38" s="452">
        <v>53</v>
      </c>
      <c r="J38" s="452">
        <v>26</v>
      </c>
      <c r="K38" s="453">
        <v>39</v>
      </c>
      <c r="L38" s="251"/>
      <c r="M38" s="251"/>
      <c r="N38" s="251"/>
      <c r="O38" s="251"/>
      <c r="P38" s="251"/>
      <c r="Q38" s="251"/>
      <c r="R38" s="251"/>
      <c r="S38" s="251"/>
      <c r="T38" s="251"/>
      <c r="U38" s="251"/>
      <c r="V38" s="251"/>
      <c r="W38" s="251"/>
      <c r="X38" s="251"/>
      <c r="Y38" s="251"/>
      <c r="Z38" s="251"/>
      <c r="AA38" s="251"/>
      <c r="AB38" s="251"/>
      <c r="AC38" s="251"/>
      <c r="AD38" s="251"/>
      <c r="AE38" s="251"/>
      <c r="AF38" s="251"/>
      <c r="AG38" s="251"/>
      <c r="AH38" s="251"/>
      <c r="AI38" s="251"/>
      <c r="AJ38" s="251"/>
      <c r="AK38" s="251"/>
      <c r="AL38" s="251"/>
      <c r="AM38" s="251"/>
      <c r="AN38" s="251"/>
      <c r="AO38" s="251"/>
      <c r="AP38" s="251"/>
      <c r="AQ38" s="251"/>
      <c r="AR38" s="251"/>
      <c r="AS38" s="251"/>
      <c r="AT38" s="251"/>
      <c r="AU38" s="251"/>
      <c r="AV38" s="251"/>
      <c r="AW38" s="251"/>
      <c r="AX38" s="251"/>
      <c r="AY38" s="251"/>
      <c r="AZ38" s="251"/>
      <c r="BA38" s="251"/>
      <c r="BB38" s="251"/>
      <c r="BC38" s="251"/>
      <c r="BD38" s="251"/>
      <c r="BE38" s="251"/>
      <c r="BF38" s="251"/>
      <c r="BG38" s="251"/>
      <c r="BH38" s="251"/>
      <c r="BI38" s="251"/>
      <c r="BJ38" s="251"/>
      <c r="BK38" s="251"/>
      <c r="BL38" s="251"/>
      <c r="BM38" s="251"/>
      <c r="BN38" s="251"/>
      <c r="BO38" s="251"/>
      <c r="BP38" s="251"/>
      <c r="BQ38" s="251"/>
      <c r="BR38" s="251"/>
      <c r="BS38" s="251"/>
      <c r="BT38" s="251"/>
      <c r="BU38" s="251"/>
      <c r="BV38" s="251"/>
      <c r="BW38" s="251"/>
      <c r="BX38" s="251"/>
      <c r="BY38" s="251"/>
      <c r="BZ38" s="251"/>
      <c r="CA38" s="251"/>
      <c r="CB38" s="251"/>
      <c r="CC38" s="251"/>
      <c r="CD38" s="251"/>
      <c r="CE38" s="251"/>
      <c r="CF38" s="251"/>
      <c r="CG38" s="251"/>
      <c r="CH38" s="251"/>
      <c r="CI38" s="251"/>
      <c r="CJ38" s="251"/>
      <c r="CK38" s="251"/>
      <c r="CL38" s="251"/>
      <c r="CM38" s="251"/>
      <c r="CN38" s="251"/>
      <c r="CO38" s="251"/>
      <c r="CP38" s="251"/>
      <c r="CQ38" s="251"/>
      <c r="CR38" s="251"/>
      <c r="CS38" s="251"/>
      <c r="CT38" s="251"/>
      <c r="CU38" s="251"/>
      <c r="CV38" s="251"/>
      <c r="CW38" s="251"/>
      <c r="CX38" s="251"/>
      <c r="CY38" s="251"/>
      <c r="CZ38" s="251"/>
      <c r="DA38" s="251"/>
      <c r="DB38" s="251"/>
      <c r="DC38" s="251"/>
      <c r="DD38" s="251"/>
      <c r="DE38" s="251"/>
      <c r="DF38" s="251"/>
      <c r="DG38" s="251"/>
      <c r="DH38" s="251"/>
      <c r="DI38" s="251"/>
      <c r="DJ38" s="251"/>
      <c r="DK38" s="251"/>
      <c r="DL38" s="251"/>
      <c r="DM38" s="251"/>
      <c r="DN38" s="251"/>
      <c r="DO38" s="251"/>
      <c r="DP38" s="251"/>
      <c r="DQ38" s="251"/>
      <c r="DR38" s="251"/>
      <c r="DS38" s="251"/>
      <c r="DT38" s="251"/>
      <c r="DU38" s="251"/>
      <c r="DV38" s="251"/>
      <c r="DW38" s="251"/>
      <c r="DX38" s="251"/>
      <c r="DY38" s="251"/>
      <c r="DZ38" s="251"/>
      <c r="EA38" s="251"/>
      <c r="EB38" s="251"/>
      <c r="EC38" s="251"/>
      <c r="ED38" s="251"/>
      <c r="EE38" s="251"/>
      <c r="EF38" s="251"/>
      <c r="EG38" s="251"/>
      <c r="EH38" s="251"/>
      <c r="EI38" s="251"/>
      <c r="EJ38" s="251"/>
      <c r="EK38" s="251"/>
      <c r="EL38" s="251"/>
      <c r="EM38" s="251"/>
      <c r="EN38" s="251"/>
      <c r="EO38" s="251"/>
      <c r="EP38" s="251"/>
      <c r="EQ38" s="251"/>
      <c r="ER38" s="251"/>
      <c r="ES38" s="251"/>
      <c r="ET38" s="251"/>
      <c r="EU38" s="251"/>
      <c r="EV38" s="251"/>
      <c r="EW38" s="251"/>
      <c r="EX38" s="251"/>
      <c r="EY38" s="251"/>
      <c r="EZ38" s="251"/>
      <c r="FA38" s="251"/>
      <c r="FB38" s="251"/>
      <c r="FC38" s="251"/>
      <c r="FD38" s="251"/>
      <c r="FE38" s="251"/>
      <c r="FF38" s="251"/>
      <c r="FG38" s="251"/>
      <c r="FH38" s="251"/>
      <c r="FI38" s="251"/>
      <c r="FJ38" s="251"/>
      <c r="FK38" s="251"/>
      <c r="FL38" s="251"/>
      <c r="FM38" s="251"/>
      <c r="FN38" s="251"/>
      <c r="FO38" s="251"/>
      <c r="FP38" s="251"/>
      <c r="FQ38" s="251"/>
      <c r="FR38" s="251"/>
      <c r="FS38" s="251"/>
      <c r="FT38" s="251"/>
      <c r="FU38" s="251"/>
      <c r="FV38" s="251"/>
      <c r="FW38" s="251"/>
      <c r="FX38" s="251"/>
      <c r="FY38" s="251"/>
      <c r="FZ38" s="251"/>
      <c r="GA38" s="251"/>
      <c r="GB38" s="251"/>
      <c r="GC38" s="251"/>
      <c r="GD38" s="251"/>
      <c r="GE38" s="251"/>
      <c r="GF38" s="251"/>
      <c r="GG38" s="251"/>
      <c r="GH38" s="251"/>
      <c r="GI38" s="251"/>
      <c r="GJ38" s="251"/>
      <c r="GK38" s="251"/>
      <c r="GL38" s="251"/>
      <c r="GM38" s="251"/>
      <c r="GN38" s="251"/>
      <c r="GO38" s="251"/>
      <c r="GP38" s="251"/>
      <c r="GQ38" s="251"/>
      <c r="GR38" s="251"/>
      <c r="GS38" s="251"/>
      <c r="GT38" s="251"/>
      <c r="GU38" s="251"/>
      <c r="GV38" s="251"/>
      <c r="GW38" s="251"/>
      <c r="GX38" s="251"/>
      <c r="GY38" s="251"/>
      <c r="GZ38" s="251"/>
      <c r="HA38" s="251"/>
      <c r="HB38" s="251"/>
      <c r="HC38" s="251"/>
      <c r="HD38" s="251"/>
      <c r="HE38" s="251"/>
      <c r="HF38" s="251"/>
      <c r="HG38" s="251"/>
      <c r="HH38" s="251"/>
      <c r="HI38" s="251"/>
      <c r="HJ38" s="251"/>
      <c r="HK38" s="251"/>
      <c r="HL38" s="251"/>
      <c r="HM38" s="251"/>
      <c r="HN38" s="251"/>
      <c r="HO38" s="251"/>
      <c r="HP38" s="251"/>
      <c r="HQ38" s="251"/>
      <c r="HR38" s="251"/>
      <c r="HS38" s="251"/>
      <c r="HT38" s="251"/>
      <c r="HU38" s="251"/>
      <c r="HV38" s="251"/>
      <c r="HW38" s="251"/>
      <c r="HX38" s="251"/>
      <c r="HY38" s="251"/>
      <c r="HZ38" s="251"/>
      <c r="IA38" s="251"/>
      <c r="IB38" s="251"/>
      <c r="IC38" s="251"/>
      <c r="ID38" s="251"/>
      <c r="IE38" s="251"/>
      <c r="IF38" s="251"/>
      <c r="IG38" s="251"/>
      <c r="IH38" s="251"/>
      <c r="II38" s="251"/>
      <c r="IJ38" s="251"/>
      <c r="IK38" s="251"/>
      <c r="IL38" s="251"/>
      <c r="IM38" s="251"/>
      <c r="IN38" s="251"/>
      <c r="IO38" s="251"/>
      <c r="IP38" s="251"/>
      <c r="IQ38" s="251"/>
      <c r="IR38" s="251"/>
      <c r="IS38" s="251"/>
      <c r="IT38" s="251"/>
      <c r="IU38" s="251"/>
      <c r="IV38" s="251"/>
      <c r="IW38" s="251"/>
      <c r="IX38" s="251"/>
      <c r="IY38" s="251"/>
      <c r="IZ38" s="251"/>
      <c r="JA38" s="251"/>
      <c r="JB38" s="251"/>
      <c r="JC38" s="251"/>
      <c r="JD38" s="251"/>
      <c r="JE38" s="251"/>
      <c r="JF38" s="251"/>
      <c r="JG38" s="251"/>
      <c r="JH38" s="251"/>
      <c r="JI38" s="283"/>
    </row>
    <row r="39" spans="1:269" s="250" customFormat="1" ht="16.5">
      <c r="A39" s="447" t="s">
        <v>477</v>
      </c>
      <c r="B39" s="462">
        <v>5</v>
      </c>
      <c r="C39" s="462">
        <v>49</v>
      </c>
      <c r="D39" s="462">
        <v>36</v>
      </c>
      <c r="E39" s="462">
        <v>19</v>
      </c>
      <c r="F39" s="463">
        <v>34</v>
      </c>
      <c r="G39" s="452">
        <v>20</v>
      </c>
      <c r="H39" s="452">
        <v>16</v>
      </c>
      <c r="I39" s="452">
        <v>9</v>
      </c>
      <c r="J39" s="452">
        <v>16</v>
      </c>
      <c r="K39" s="453">
        <v>31</v>
      </c>
      <c r="L39" s="251"/>
      <c r="M39" s="251"/>
      <c r="N39" s="251"/>
      <c r="O39" s="251"/>
      <c r="P39" s="251"/>
      <c r="Q39" s="251"/>
      <c r="R39" s="251"/>
      <c r="S39" s="251"/>
      <c r="T39" s="251"/>
      <c r="U39" s="251"/>
      <c r="V39" s="251"/>
      <c r="W39" s="251"/>
      <c r="X39" s="251"/>
      <c r="Y39" s="251"/>
      <c r="Z39" s="251"/>
      <c r="AA39" s="251"/>
      <c r="AB39" s="251"/>
      <c r="AC39" s="251"/>
      <c r="AD39" s="251"/>
      <c r="AE39" s="251"/>
      <c r="AF39" s="251"/>
      <c r="AG39" s="251"/>
      <c r="AH39" s="251"/>
      <c r="AI39" s="251"/>
      <c r="AJ39" s="251"/>
      <c r="AK39" s="251"/>
      <c r="AL39" s="251"/>
      <c r="AM39" s="251"/>
      <c r="AN39" s="251"/>
      <c r="AO39" s="251"/>
      <c r="AP39" s="251"/>
      <c r="AQ39" s="251"/>
      <c r="AR39" s="251"/>
      <c r="AS39" s="251"/>
      <c r="AT39" s="251"/>
      <c r="AU39" s="251"/>
      <c r="AV39" s="251"/>
      <c r="AW39" s="251"/>
      <c r="AX39" s="251"/>
      <c r="AY39" s="251"/>
      <c r="AZ39" s="251"/>
      <c r="BA39" s="251"/>
      <c r="BB39" s="251"/>
      <c r="BC39" s="251"/>
      <c r="BD39" s="251"/>
      <c r="BE39" s="251"/>
      <c r="BF39" s="251"/>
      <c r="BG39" s="251"/>
      <c r="BH39" s="251"/>
      <c r="BI39" s="251"/>
      <c r="BJ39" s="251"/>
      <c r="BK39" s="251"/>
      <c r="BL39" s="251"/>
      <c r="BM39" s="251"/>
      <c r="BN39" s="251"/>
      <c r="BO39" s="251"/>
      <c r="BP39" s="251"/>
      <c r="BQ39" s="251"/>
      <c r="BR39" s="251"/>
      <c r="BS39" s="251"/>
      <c r="BT39" s="251"/>
      <c r="BU39" s="251"/>
      <c r="BV39" s="251"/>
      <c r="BW39" s="251"/>
      <c r="BX39" s="251"/>
      <c r="BY39" s="251"/>
      <c r="BZ39" s="251"/>
      <c r="CA39" s="251"/>
      <c r="CB39" s="251"/>
      <c r="CC39" s="251"/>
      <c r="CD39" s="251"/>
      <c r="CE39" s="251"/>
      <c r="CF39" s="251"/>
      <c r="CG39" s="251"/>
      <c r="CH39" s="251"/>
      <c r="CI39" s="251"/>
      <c r="CJ39" s="251"/>
      <c r="CK39" s="251"/>
      <c r="CL39" s="251"/>
      <c r="CM39" s="251"/>
      <c r="CN39" s="251"/>
      <c r="CO39" s="251"/>
      <c r="CP39" s="251"/>
      <c r="CQ39" s="251"/>
      <c r="CR39" s="251"/>
      <c r="CS39" s="251"/>
      <c r="CT39" s="251"/>
      <c r="CU39" s="251"/>
      <c r="CV39" s="251"/>
      <c r="CW39" s="251"/>
      <c r="CX39" s="251"/>
      <c r="CY39" s="251"/>
      <c r="CZ39" s="251"/>
      <c r="DA39" s="251"/>
      <c r="DB39" s="251"/>
      <c r="DC39" s="251"/>
      <c r="DD39" s="251"/>
      <c r="DE39" s="251"/>
      <c r="DF39" s="251"/>
      <c r="DG39" s="251"/>
      <c r="DH39" s="251"/>
      <c r="DI39" s="251"/>
      <c r="DJ39" s="251"/>
      <c r="DK39" s="251"/>
      <c r="DL39" s="251"/>
      <c r="DM39" s="251"/>
      <c r="DN39" s="251"/>
      <c r="DO39" s="251"/>
      <c r="DP39" s="251"/>
      <c r="DQ39" s="251"/>
      <c r="DR39" s="251"/>
      <c r="DS39" s="251"/>
      <c r="DT39" s="251"/>
      <c r="DU39" s="251"/>
      <c r="DV39" s="251"/>
      <c r="DW39" s="251"/>
      <c r="DX39" s="251"/>
      <c r="DY39" s="251"/>
      <c r="DZ39" s="251"/>
      <c r="EA39" s="251"/>
      <c r="EB39" s="251"/>
      <c r="EC39" s="251"/>
      <c r="ED39" s="251"/>
      <c r="EE39" s="251"/>
      <c r="EF39" s="251"/>
      <c r="EG39" s="251"/>
      <c r="EH39" s="251"/>
      <c r="EI39" s="251"/>
      <c r="EJ39" s="251"/>
      <c r="EK39" s="251"/>
      <c r="EL39" s="251"/>
      <c r="EM39" s="251"/>
      <c r="EN39" s="251"/>
      <c r="EO39" s="251"/>
      <c r="EP39" s="251"/>
      <c r="EQ39" s="251"/>
      <c r="ER39" s="251"/>
      <c r="ES39" s="251"/>
      <c r="ET39" s="251"/>
      <c r="EU39" s="251"/>
      <c r="EV39" s="251"/>
      <c r="EW39" s="251"/>
      <c r="EX39" s="251"/>
      <c r="EY39" s="251"/>
      <c r="EZ39" s="251"/>
      <c r="FA39" s="251"/>
      <c r="FB39" s="251"/>
      <c r="FC39" s="251"/>
      <c r="FD39" s="251"/>
      <c r="FE39" s="251"/>
      <c r="FF39" s="251"/>
      <c r="FG39" s="251"/>
      <c r="FH39" s="251"/>
      <c r="FI39" s="251"/>
      <c r="FJ39" s="251"/>
      <c r="FK39" s="251"/>
      <c r="FL39" s="251"/>
      <c r="FM39" s="251"/>
      <c r="FN39" s="251"/>
      <c r="FO39" s="251"/>
      <c r="FP39" s="251"/>
      <c r="FQ39" s="251"/>
      <c r="FR39" s="251"/>
      <c r="FS39" s="251"/>
      <c r="FT39" s="251"/>
      <c r="FU39" s="251"/>
      <c r="FV39" s="251"/>
      <c r="FW39" s="251"/>
      <c r="FX39" s="251"/>
      <c r="FY39" s="251"/>
      <c r="FZ39" s="251"/>
      <c r="GA39" s="251"/>
      <c r="GB39" s="251"/>
      <c r="GC39" s="251"/>
      <c r="GD39" s="251"/>
      <c r="GE39" s="251"/>
      <c r="GF39" s="251"/>
      <c r="GG39" s="251"/>
      <c r="GH39" s="251"/>
      <c r="GI39" s="251"/>
      <c r="GJ39" s="251"/>
      <c r="GK39" s="251"/>
      <c r="GL39" s="251"/>
      <c r="GM39" s="251"/>
      <c r="GN39" s="251"/>
      <c r="GO39" s="251"/>
      <c r="GP39" s="251"/>
      <c r="GQ39" s="251"/>
      <c r="GR39" s="251"/>
      <c r="GS39" s="251"/>
      <c r="GT39" s="251"/>
      <c r="GU39" s="251"/>
      <c r="GV39" s="251"/>
      <c r="GW39" s="251"/>
      <c r="GX39" s="251"/>
      <c r="GY39" s="251"/>
      <c r="GZ39" s="251"/>
      <c r="HA39" s="251"/>
      <c r="HB39" s="251"/>
      <c r="HC39" s="251"/>
      <c r="HD39" s="251"/>
      <c r="HE39" s="251"/>
      <c r="HF39" s="251"/>
      <c r="HG39" s="251"/>
      <c r="HH39" s="251"/>
      <c r="HI39" s="251"/>
      <c r="HJ39" s="251"/>
      <c r="HK39" s="251"/>
      <c r="HL39" s="251"/>
      <c r="HM39" s="251"/>
      <c r="HN39" s="251"/>
      <c r="HO39" s="251"/>
      <c r="HP39" s="251"/>
      <c r="HQ39" s="251"/>
      <c r="HR39" s="251"/>
      <c r="HS39" s="251"/>
      <c r="HT39" s="251"/>
      <c r="HU39" s="251"/>
      <c r="HV39" s="251"/>
      <c r="HW39" s="251"/>
      <c r="HX39" s="251"/>
      <c r="HY39" s="251"/>
      <c r="HZ39" s="251"/>
      <c r="IA39" s="251"/>
      <c r="IB39" s="251"/>
      <c r="IC39" s="251"/>
      <c r="ID39" s="251"/>
      <c r="IE39" s="251"/>
      <c r="IF39" s="251"/>
      <c r="IG39" s="251"/>
      <c r="IH39" s="251"/>
      <c r="II39" s="251"/>
      <c r="IJ39" s="251"/>
      <c r="IK39" s="251"/>
      <c r="IL39" s="251"/>
      <c r="IM39" s="251"/>
      <c r="IN39" s="251"/>
      <c r="IO39" s="251"/>
      <c r="IP39" s="251"/>
      <c r="IQ39" s="251"/>
      <c r="IR39" s="251"/>
      <c r="IS39" s="251"/>
      <c r="IT39" s="251"/>
      <c r="IU39" s="251"/>
      <c r="IV39" s="251"/>
      <c r="IW39" s="251"/>
      <c r="IX39" s="251"/>
      <c r="IY39" s="251"/>
      <c r="IZ39" s="251"/>
      <c r="JA39" s="251"/>
      <c r="JB39" s="251"/>
      <c r="JC39" s="251"/>
      <c r="JD39" s="251"/>
      <c r="JE39" s="251"/>
      <c r="JF39" s="251"/>
      <c r="JG39" s="251"/>
      <c r="JH39" s="251"/>
      <c r="JI39" s="283"/>
    </row>
    <row r="40" spans="1:269" s="250" customFormat="1" ht="16.5">
      <c r="A40" s="447" t="s">
        <v>478</v>
      </c>
      <c r="B40" s="448" t="s">
        <v>1</v>
      </c>
      <c r="C40" s="464">
        <v>17</v>
      </c>
      <c r="D40" s="464">
        <v>15</v>
      </c>
      <c r="E40" s="464">
        <v>36</v>
      </c>
      <c r="F40" s="464">
        <v>38</v>
      </c>
      <c r="G40" s="452">
        <v>22</v>
      </c>
      <c r="H40" s="452">
        <v>9</v>
      </c>
      <c r="I40" s="452">
        <v>6</v>
      </c>
      <c r="J40" s="452">
        <v>15</v>
      </c>
      <c r="K40" s="453">
        <v>15</v>
      </c>
      <c r="L40" s="251"/>
      <c r="M40" s="251"/>
      <c r="N40" s="251"/>
      <c r="O40" s="251"/>
      <c r="P40" s="251"/>
      <c r="Q40" s="251"/>
      <c r="R40" s="251"/>
      <c r="S40" s="251"/>
      <c r="T40" s="251"/>
      <c r="U40" s="251"/>
      <c r="V40" s="251"/>
      <c r="W40" s="251"/>
      <c r="X40" s="251"/>
      <c r="Y40" s="251"/>
      <c r="Z40" s="251"/>
      <c r="AA40" s="251"/>
      <c r="AB40" s="251"/>
      <c r="AC40" s="251"/>
      <c r="AD40" s="251"/>
      <c r="AE40" s="251"/>
      <c r="AF40" s="251"/>
      <c r="AG40" s="251"/>
      <c r="AH40" s="251"/>
      <c r="AI40" s="251"/>
      <c r="AJ40" s="251"/>
      <c r="AK40" s="251"/>
      <c r="AL40" s="251"/>
      <c r="AM40" s="251"/>
      <c r="AN40" s="251"/>
      <c r="AO40" s="251"/>
      <c r="AP40" s="251"/>
      <c r="AQ40" s="251"/>
      <c r="AR40" s="251"/>
      <c r="AS40" s="251"/>
      <c r="AT40" s="251"/>
      <c r="AU40" s="251"/>
      <c r="AV40" s="251"/>
      <c r="AW40" s="251"/>
      <c r="AX40" s="251"/>
      <c r="AY40" s="251"/>
      <c r="AZ40" s="251"/>
      <c r="BA40" s="251"/>
      <c r="BB40" s="251"/>
      <c r="BC40" s="251"/>
      <c r="BD40" s="251"/>
      <c r="BE40" s="251"/>
      <c r="BF40" s="251"/>
      <c r="BG40" s="251"/>
      <c r="BH40" s="251"/>
      <c r="BI40" s="251"/>
      <c r="BJ40" s="251"/>
      <c r="BK40" s="251"/>
      <c r="BL40" s="251"/>
      <c r="BM40" s="251"/>
      <c r="BN40" s="251"/>
      <c r="BO40" s="251"/>
      <c r="BP40" s="251"/>
      <c r="BQ40" s="251"/>
      <c r="BR40" s="251"/>
      <c r="BS40" s="251"/>
      <c r="BT40" s="251"/>
      <c r="BU40" s="251"/>
      <c r="BV40" s="251"/>
      <c r="BW40" s="251"/>
      <c r="BX40" s="251"/>
      <c r="BY40" s="251"/>
      <c r="BZ40" s="251"/>
      <c r="CA40" s="251"/>
      <c r="CB40" s="251"/>
      <c r="CC40" s="251"/>
      <c r="CD40" s="251"/>
      <c r="CE40" s="251"/>
      <c r="CF40" s="251"/>
      <c r="CG40" s="251"/>
      <c r="CH40" s="251"/>
      <c r="CI40" s="251"/>
      <c r="CJ40" s="251"/>
      <c r="CK40" s="251"/>
      <c r="CL40" s="251"/>
      <c r="CM40" s="251"/>
      <c r="CN40" s="251"/>
      <c r="CO40" s="251"/>
      <c r="CP40" s="251"/>
      <c r="CQ40" s="251"/>
      <c r="CR40" s="251"/>
      <c r="CS40" s="251"/>
      <c r="CT40" s="251"/>
      <c r="CU40" s="251"/>
      <c r="CV40" s="251"/>
      <c r="CW40" s="251"/>
      <c r="CX40" s="251"/>
      <c r="CY40" s="251"/>
      <c r="CZ40" s="251"/>
      <c r="DA40" s="251"/>
      <c r="DB40" s="251"/>
      <c r="DC40" s="251"/>
      <c r="DD40" s="251"/>
      <c r="DE40" s="251"/>
      <c r="DF40" s="251"/>
      <c r="DG40" s="251"/>
      <c r="DH40" s="251"/>
      <c r="DI40" s="251"/>
      <c r="DJ40" s="251"/>
      <c r="DK40" s="251"/>
      <c r="DL40" s="251"/>
      <c r="DM40" s="251"/>
      <c r="DN40" s="251"/>
      <c r="DO40" s="251"/>
      <c r="DP40" s="251"/>
      <c r="DQ40" s="251"/>
      <c r="DR40" s="251"/>
      <c r="DS40" s="251"/>
      <c r="DT40" s="251"/>
      <c r="DU40" s="251"/>
      <c r="DV40" s="251"/>
      <c r="DW40" s="251"/>
      <c r="DX40" s="251"/>
      <c r="DY40" s="251"/>
      <c r="DZ40" s="251"/>
      <c r="EA40" s="251"/>
      <c r="EB40" s="251"/>
      <c r="EC40" s="251"/>
      <c r="ED40" s="251"/>
      <c r="EE40" s="251"/>
      <c r="EF40" s="251"/>
      <c r="EG40" s="251"/>
      <c r="EH40" s="251"/>
      <c r="EI40" s="251"/>
      <c r="EJ40" s="251"/>
      <c r="EK40" s="251"/>
      <c r="EL40" s="251"/>
      <c r="EM40" s="251"/>
      <c r="EN40" s="251"/>
      <c r="EO40" s="251"/>
      <c r="EP40" s="251"/>
      <c r="EQ40" s="251"/>
      <c r="ER40" s="251"/>
      <c r="ES40" s="251"/>
      <c r="ET40" s="251"/>
      <c r="EU40" s="251"/>
      <c r="EV40" s="251"/>
      <c r="EW40" s="251"/>
      <c r="EX40" s="251"/>
      <c r="EY40" s="251"/>
      <c r="EZ40" s="251"/>
      <c r="FA40" s="251"/>
      <c r="FB40" s="251"/>
      <c r="FC40" s="251"/>
      <c r="FD40" s="251"/>
      <c r="FE40" s="251"/>
      <c r="FF40" s="251"/>
      <c r="FG40" s="251"/>
      <c r="FH40" s="251"/>
      <c r="FI40" s="251"/>
      <c r="FJ40" s="251"/>
      <c r="FK40" s="251"/>
      <c r="FL40" s="251"/>
      <c r="FM40" s="251"/>
      <c r="FN40" s="251"/>
      <c r="FO40" s="251"/>
      <c r="FP40" s="251"/>
      <c r="FQ40" s="251"/>
      <c r="FR40" s="251"/>
      <c r="FS40" s="251"/>
      <c r="FT40" s="251"/>
      <c r="FU40" s="251"/>
      <c r="FV40" s="251"/>
      <c r="FW40" s="251"/>
      <c r="FX40" s="251"/>
      <c r="FY40" s="251"/>
      <c r="FZ40" s="251"/>
      <c r="GA40" s="251"/>
      <c r="GB40" s="251"/>
      <c r="GC40" s="251"/>
      <c r="GD40" s="251"/>
      <c r="GE40" s="251"/>
      <c r="GF40" s="251"/>
      <c r="GG40" s="251"/>
      <c r="GH40" s="251"/>
      <c r="GI40" s="251"/>
      <c r="GJ40" s="251"/>
      <c r="GK40" s="251"/>
      <c r="GL40" s="251"/>
      <c r="GM40" s="251"/>
      <c r="GN40" s="251"/>
      <c r="GO40" s="251"/>
      <c r="GP40" s="251"/>
      <c r="GQ40" s="251"/>
      <c r="GR40" s="251"/>
      <c r="GS40" s="251"/>
      <c r="GT40" s="251"/>
      <c r="GU40" s="251"/>
      <c r="GV40" s="251"/>
      <c r="GW40" s="251"/>
      <c r="GX40" s="251"/>
      <c r="GY40" s="251"/>
      <c r="GZ40" s="251"/>
      <c r="HA40" s="251"/>
      <c r="HB40" s="251"/>
      <c r="HC40" s="251"/>
      <c r="HD40" s="251"/>
      <c r="HE40" s="251"/>
      <c r="HF40" s="251"/>
      <c r="HG40" s="251"/>
      <c r="HH40" s="251"/>
      <c r="HI40" s="251"/>
      <c r="HJ40" s="251"/>
      <c r="HK40" s="251"/>
      <c r="HL40" s="251"/>
      <c r="HM40" s="251"/>
      <c r="HN40" s="251"/>
      <c r="HO40" s="251"/>
      <c r="HP40" s="251"/>
      <c r="HQ40" s="251"/>
      <c r="HR40" s="251"/>
      <c r="HS40" s="251"/>
      <c r="HT40" s="251"/>
      <c r="HU40" s="251"/>
      <c r="HV40" s="251"/>
      <c r="HW40" s="251"/>
      <c r="HX40" s="251"/>
      <c r="HY40" s="251"/>
      <c r="HZ40" s="251"/>
      <c r="IA40" s="251"/>
      <c r="IB40" s="251"/>
      <c r="IC40" s="251"/>
      <c r="ID40" s="251"/>
      <c r="IE40" s="251"/>
      <c r="IF40" s="251"/>
      <c r="IG40" s="251"/>
      <c r="IH40" s="251"/>
      <c r="II40" s="251"/>
      <c r="IJ40" s="251"/>
      <c r="IK40" s="251"/>
      <c r="IL40" s="251"/>
      <c r="IM40" s="251"/>
      <c r="IN40" s="251"/>
      <c r="IO40" s="251"/>
      <c r="IP40" s="251"/>
      <c r="IQ40" s="251"/>
      <c r="IR40" s="251"/>
      <c r="IS40" s="251"/>
      <c r="IT40" s="251"/>
      <c r="IU40" s="251"/>
      <c r="IV40" s="251"/>
      <c r="IW40" s="251"/>
      <c r="IX40" s="251"/>
      <c r="IY40" s="251"/>
      <c r="IZ40" s="251"/>
      <c r="JA40" s="251"/>
      <c r="JB40" s="251"/>
      <c r="JC40" s="251"/>
      <c r="JD40" s="251"/>
      <c r="JE40" s="251"/>
      <c r="JF40" s="251"/>
      <c r="JG40" s="251"/>
      <c r="JH40" s="251"/>
      <c r="JI40" s="283"/>
    </row>
    <row r="41" spans="1:269" s="250" customFormat="1" ht="16.5">
      <c r="A41" s="447" t="s">
        <v>379</v>
      </c>
      <c r="B41" s="464">
        <v>20</v>
      </c>
      <c r="C41" s="464">
        <v>10</v>
      </c>
      <c r="D41" s="464">
        <v>6</v>
      </c>
      <c r="E41" s="464">
        <v>22</v>
      </c>
      <c r="F41" s="464">
        <v>14</v>
      </c>
      <c r="G41" s="452">
        <v>24</v>
      </c>
      <c r="H41" s="452">
        <v>11</v>
      </c>
      <c r="I41" s="452">
        <v>32</v>
      </c>
      <c r="J41" s="452">
        <v>8</v>
      </c>
      <c r="K41" s="453">
        <v>12</v>
      </c>
      <c r="L41" s="251"/>
      <c r="M41" s="251"/>
      <c r="N41" s="251"/>
      <c r="O41" s="251"/>
      <c r="P41" s="251"/>
      <c r="Q41" s="251"/>
      <c r="R41" s="251"/>
      <c r="S41" s="251"/>
      <c r="T41" s="251"/>
      <c r="U41" s="251"/>
      <c r="V41" s="251"/>
      <c r="W41" s="251"/>
      <c r="X41" s="251"/>
      <c r="Y41" s="251"/>
      <c r="Z41" s="251"/>
      <c r="AA41" s="251"/>
      <c r="AB41" s="251"/>
      <c r="AC41" s="251"/>
      <c r="AD41" s="251"/>
      <c r="AE41" s="251"/>
      <c r="AF41" s="251"/>
      <c r="AG41" s="251"/>
      <c r="AH41" s="251"/>
      <c r="AI41" s="251"/>
      <c r="AJ41" s="251"/>
      <c r="AK41" s="251"/>
      <c r="AL41" s="251"/>
      <c r="AM41" s="251"/>
      <c r="AN41" s="251"/>
      <c r="AO41" s="251"/>
      <c r="AP41" s="251"/>
      <c r="AQ41" s="251"/>
      <c r="AR41" s="251"/>
      <c r="AS41" s="251"/>
      <c r="AT41" s="251"/>
      <c r="AU41" s="251"/>
      <c r="AV41" s="251"/>
      <c r="AW41" s="251"/>
      <c r="AX41" s="251"/>
      <c r="AY41" s="251"/>
      <c r="AZ41" s="251"/>
      <c r="BA41" s="251"/>
      <c r="BB41" s="251"/>
      <c r="BC41" s="251"/>
      <c r="BD41" s="251"/>
      <c r="BE41" s="251"/>
      <c r="BF41" s="251"/>
      <c r="BG41" s="251"/>
      <c r="BH41" s="251"/>
      <c r="BI41" s="251"/>
      <c r="BJ41" s="251"/>
      <c r="BK41" s="251"/>
      <c r="BL41" s="251"/>
      <c r="BM41" s="251"/>
      <c r="BN41" s="251"/>
      <c r="BO41" s="251"/>
      <c r="BP41" s="251"/>
      <c r="BQ41" s="251"/>
      <c r="BR41" s="251"/>
      <c r="BS41" s="251"/>
      <c r="BT41" s="251"/>
      <c r="BU41" s="251"/>
      <c r="BV41" s="251"/>
      <c r="BW41" s="251"/>
      <c r="BX41" s="251"/>
      <c r="BY41" s="251"/>
      <c r="BZ41" s="251"/>
      <c r="CA41" s="251"/>
      <c r="CB41" s="251"/>
      <c r="CC41" s="251"/>
      <c r="CD41" s="251"/>
      <c r="CE41" s="251"/>
      <c r="CF41" s="251"/>
      <c r="CG41" s="251"/>
      <c r="CH41" s="251"/>
      <c r="CI41" s="251"/>
      <c r="CJ41" s="251"/>
      <c r="CK41" s="251"/>
      <c r="CL41" s="251"/>
      <c r="CM41" s="251"/>
      <c r="CN41" s="251"/>
      <c r="CO41" s="251"/>
      <c r="CP41" s="251"/>
      <c r="CQ41" s="251"/>
      <c r="CR41" s="251"/>
      <c r="CS41" s="251"/>
      <c r="CT41" s="251"/>
      <c r="CU41" s="251"/>
      <c r="CV41" s="251"/>
      <c r="CW41" s="251"/>
      <c r="CX41" s="251"/>
      <c r="CY41" s="251"/>
      <c r="CZ41" s="251"/>
      <c r="DA41" s="251"/>
      <c r="DB41" s="251"/>
      <c r="DC41" s="251"/>
      <c r="DD41" s="251"/>
      <c r="DE41" s="251"/>
      <c r="DF41" s="251"/>
      <c r="DG41" s="251"/>
      <c r="DH41" s="251"/>
      <c r="DI41" s="251"/>
      <c r="DJ41" s="251"/>
      <c r="DK41" s="251"/>
      <c r="DL41" s="251"/>
      <c r="DM41" s="251"/>
      <c r="DN41" s="251"/>
      <c r="DO41" s="251"/>
      <c r="DP41" s="251"/>
      <c r="DQ41" s="251"/>
      <c r="DR41" s="251"/>
      <c r="DS41" s="251"/>
      <c r="DT41" s="251"/>
      <c r="DU41" s="251"/>
      <c r="DV41" s="251"/>
      <c r="DW41" s="251"/>
      <c r="DX41" s="251"/>
      <c r="DY41" s="251"/>
      <c r="DZ41" s="251"/>
      <c r="EA41" s="251"/>
      <c r="EB41" s="251"/>
      <c r="EC41" s="251"/>
      <c r="ED41" s="251"/>
      <c r="EE41" s="251"/>
      <c r="EF41" s="251"/>
      <c r="EG41" s="251"/>
      <c r="EH41" s="251"/>
      <c r="EI41" s="251"/>
      <c r="EJ41" s="251"/>
      <c r="EK41" s="251"/>
      <c r="EL41" s="251"/>
      <c r="EM41" s="251"/>
      <c r="EN41" s="251"/>
      <c r="EO41" s="251"/>
      <c r="EP41" s="251"/>
      <c r="EQ41" s="251"/>
      <c r="ER41" s="251"/>
      <c r="ES41" s="251"/>
      <c r="ET41" s="251"/>
      <c r="EU41" s="251"/>
      <c r="EV41" s="251"/>
      <c r="EW41" s="251"/>
      <c r="EX41" s="251"/>
      <c r="EY41" s="251"/>
      <c r="EZ41" s="251"/>
      <c r="FA41" s="251"/>
      <c r="FB41" s="251"/>
      <c r="FC41" s="251"/>
      <c r="FD41" s="251"/>
      <c r="FE41" s="251"/>
      <c r="FF41" s="251"/>
      <c r="FG41" s="251"/>
      <c r="FH41" s="251"/>
      <c r="FI41" s="251"/>
      <c r="FJ41" s="251"/>
      <c r="FK41" s="251"/>
      <c r="FL41" s="251"/>
      <c r="FM41" s="251"/>
      <c r="FN41" s="251"/>
      <c r="FO41" s="251"/>
      <c r="FP41" s="251"/>
      <c r="FQ41" s="251"/>
      <c r="FR41" s="251"/>
      <c r="FS41" s="251"/>
      <c r="FT41" s="251"/>
      <c r="FU41" s="251"/>
      <c r="FV41" s="251"/>
      <c r="FW41" s="251"/>
      <c r="FX41" s="251"/>
      <c r="FY41" s="251"/>
      <c r="FZ41" s="251"/>
      <c r="GA41" s="251"/>
      <c r="GB41" s="251"/>
      <c r="GC41" s="251"/>
      <c r="GD41" s="251"/>
      <c r="GE41" s="251"/>
      <c r="GF41" s="251"/>
      <c r="GG41" s="251"/>
      <c r="GH41" s="251"/>
      <c r="GI41" s="251"/>
      <c r="GJ41" s="251"/>
      <c r="GK41" s="251"/>
      <c r="GL41" s="251"/>
      <c r="GM41" s="251"/>
      <c r="GN41" s="251"/>
      <c r="GO41" s="251"/>
      <c r="GP41" s="251"/>
      <c r="GQ41" s="251"/>
      <c r="GR41" s="251"/>
      <c r="GS41" s="251"/>
      <c r="GT41" s="251"/>
      <c r="GU41" s="251"/>
      <c r="GV41" s="251"/>
      <c r="GW41" s="251"/>
      <c r="GX41" s="251"/>
      <c r="GY41" s="251"/>
      <c r="GZ41" s="251"/>
      <c r="HA41" s="251"/>
      <c r="HB41" s="251"/>
      <c r="HC41" s="251"/>
      <c r="HD41" s="251"/>
      <c r="HE41" s="251"/>
      <c r="HF41" s="251"/>
      <c r="HG41" s="251"/>
      <c r="HH41" s="251"/>
      <c r="HI41" s="251"/>
      <c r="HJ41" s="251"/>
      <c r="HK41" s="251"/>
      <c r="HL41" s="251"/>
      <c r="HM41" s="251"/>
      <c r="HN41" s="251"/>
      <c r="HO41" s="251"/>
      <c r="HP41" s="251"/>
      <c r="HQ41" s="251"/>
      <c r="HR41" s="251"/>
      <c r="HS41" s="251"/>
      <c r="HT41" s="251"/>
      <c r="HU41" s="251"/>
      <c r="HV41" s="251"/>
      <c r="HW41" s="251"/>
      <c r="HX41" s="251"/>
      <c r="HY41" s="251"/>
      <c r="HZ41" s="251"/>
      <c r="IA41" s="251"/>
      <c r="IB41" s="251"/>
      <c r="IC41" s="251"/>
      <c r="ID41" s="251"/>
      <c r="IE41" s="251"/>
      <c r="IF41" s="251"/>
      <c r="IG41" s="251"/>
      <c r="IH41" s="251"/>
      <c r="II41" s="251"/>
      <c r="IJ41" s="251"/>
      <c r="IK41" s="251"/>
      <c r="IL41" s="251"/>
      <c r="IM41" s="251"/>
      <c r="IN41" s="251"/>
      <c r="IO41" s="251"/>
      <c r="IP41" s="251"/>
      <c r="IQ41" s="251"/>
      <c r="IR41" s="251"/>
      <c r="IS41" s="251"/>
      <c r="IT41" s="251"/>
      <c r="IU41" s="251"/>
      <c r="IV41" s="251"/>
      <c r="IW41" s="251"/>
      <c r="IX41" s="251"/>
      <c r="IY41" s="251"/>
      <c r="IZ41" s="251"/>
      <c r="JA41" s="251"/>
      <c r="JB41" s="251"/>
      <c r="JC41" s="251"/>
      <c r="JD41" s="251"/>
      <c r="JE41" s="251"/>
      <c r="JF41" s="251"/>
      <c r="JG41" s="251"/>
      <c r="JH41" s="251"/>
      <c r="JI41" s="283"/>
    </row>
    <row r="42" spans="1:269" s="250" customFormat="1" ht="16.5">
      <c r="A42" s="447" t="s">
        <v>465</v>
      </c>
      <c r="B42" s="464">
        <v>32</v>
      </c>
      <c r="C42" s="464">
        <v>25</v>
      </c>
      <c r="D42" s="448">
        <v>38</v>
      </c>
      <c r="E42" s="464">
        <v>35</v>
      </c>
      <c r="F42" s="464">
        <v>49</v>
      </c>
      <c r="G42" s="452">
        <v>56</v>
      </c>
      <c r="H42" s="454">
        <v>42</v>
      </c>
      <c r="I42" s="454">
        <v>48</v>
      </c>
      <c r="J42" s="454">
        <v>10</v>
      </c>
      <c r="K42" s="457">
        <v>8</v>
      </c>
      <c r="L42" s="251"/>
      <c r="M42" s="251"/>
      <c r="N42" s="251"/>
      <c r="O42" s="251"/>
      <c r="P42" s="251"/>
      <c r="Q42" s="251"/>
      <c r="R42" s="251"/>
      <c r="S42" s="251"/>
      <c r="T42" s="251"/>
      <c r="U42" s="251"/>
      <c r="V42" s="251"/>
      <c r="W42" s="251"/>
      <c r="X42" s="251"/>
      <c r="Y42" s="251"/>
      <c r="Z42" s="251"/>
      <c r="AA42" s="251"/>
      <c r="AB42" s="251"/>
      <c r="AC42" s="251"/>
      <c r="AD42" s="251"/>
      <c r="AE42" s="251"/>
      <c r="AF42" s="251"/>
      <c r="AG42" s="251"/>
      <c r="AH42" s="251"/>
      <c r="AI42" s="251"/>
      <c r="AJ42" s="251"/>
      <c r="AK42" s="251"/>
      <c r="AL42" s="251"/>
      <c r="AM42" s="251"/>
      <c r="AN42" s="251"/>
      <c r="AO42" s="251"/>
      <c r="AP42" s="251"/>
      <c r="AQ42" s="251"/>
      <c r="AR42" s="251"/>
      <c r="AS42" s="251"/>
      <c r="AT42" s="251"/>
      <c r="AU42" s="251"/>
      <c r="AV42" s="251"/>
      <c r="AW42" s="251"/>
      <c r="AX42" s="251"/>
      <c r="AY42" s="251"/>
      <c r="AZ42" s="251"/>
      <c r="BA42" s="251"/>
      <c r="BB42" s="251"/>
      <c r="BC42" s="251"/>
      <c r="BD42" s="251"/>
      <c r="BE42" s="251"/>
      <c r="BF42" s="251"/>
      <c r="BG42" s="251"/>
      <c r="BH42" s="251"/>
      <c r="BI42" s="251"/>
      <c r="BJ42" s="251"/>
      <c r="BK42" s="251"/>
      <c r="BL42" s="251"/>
      <c r="BM42" s="251"/>
      <c r="BN42" s="251"/>
      <c r="BO42" s="251"/>
      <c r="BP42" s="251"/>
      <c r="BQ42" s="251"/>
      <c r="BR42" s="251"/>
      <c r="BS42" s="251"/>
      <c r="BT42" s="251"/>
      <c r="BU42" s="251"/>
      <c r="BV42" s="251"/>
      <c r="BW42" s="251"/>
      <c r="BX42" s="251"/>
      <c r="BY42" s="251"/>
      <c r="BZ42" s="251"/>
      <c r="CA42" s="251"/>
      <c r="CB42" s="251"/>
      <c r="CC42" s="251"/>
      <c r="CD42" s="251"/>
      <c r="CE42" s="251"/>
      <c r="CF42" s="251"/>
      <c r="CG42" s="251"/>
      <c r="CH42" s="251"/>
      <c r="CI42" s="251"/>
      <c r="CJ42" s="251"/>
      <c r="CK42" s="251"/>
      <c r="CL42" s="251"/>
      <c r="CM42" s="251"/>
      <c r="CN42" s="251"/>
      <c r="CO42" s="251"/>
      <c r="CP42" s="251"/>
      <c r="CQ42" s="251"/>
      <c r="CR42" s="251"/>
      <c r="CS42" s="251"/>
      <c r="CT42" s="251"/>
      <c r="CU42" s="251"/>
      <c r="CV42" s="251"/>
      <c r="CW42" s="251"/>
      <c r="CX42" s="251"/>
      <c r="CY42" s="251"/>
      <c r="CZ42" s="251"/>
      <c r="DA42" s="251"/>
      <c r="DB42" s="251"/>
      <c r="DC42" s="251"/>
      <c r="DD42" s="251"/>
      <c r="DE42" s="251"/>
      <c r="DF42" s="251"/>
      <c r="DG42" s="251"/>
      <c r="DH42" s="251"/>
      <c r="DI42" s="251"/>
      <c r="DJ42" s="251"/>
      <c r="DK42" s="251"/>
      <c r="DL42" s="251"/>
      <c r="DM42" s="251"/>
      <c r="DN42" s="251"/>
      <c r="DO42" s="251"/>
      <c r="DP42" s="251"/>
      <c r="DQ42" s="251"/>
      <c r="DR42" s="251"/>
      <c r="DS42" s="251"/>
      <c r="DT42" s="251"/>
      <c r="DU42" s="251"/>
      <c r="DV42" s="251"/>
      <c r="DW42" s="251"/>
      <c r="DX42" s="251"/>
      <c r="DY42" s="251"/>
      <c r="DZ42" s="251"/>
      <c r="EA42" s="251"/>
      <c r="EB42" s="251"/>
      <c r="EC42" s="251"/>
      <c r="ED42" s="251"/>
      <c r="EE42" s="251"/>
      <c r="EF42" s="251"/>
      <c r="EG42" s="251"/>
      <c r="EH42" s="251"/>
      <c r="EI42" s="251"/>
      <c r="EJ42" s="251"/>
      <c r="EK42" s="251"/>
      <c r="EL42" s="251"/>
      <c r="EM42" s="251"/>
      <c r="EN42" s="251"/>
      <c r="EO42" s="251"/>
      <c r="EP42" s="251"/>
      <c r="EQ42" s="251"/>
      <c r="ER42" s="251"/>
      <c r="ES42" s="251"/>
      <c r="ET42" s="251"/>
      <c r="EU42" s="251"/>
      <c r="EV42" s="251"/>
      <c r="EW42" s="251"/>
      <c r="EX42" s="251"/>
      <c r="EY42" s="251"/>
      <c r="EZ42" s="251"/>
      <c r="FA42" s="251"/>
      <c r="FB42" s="251"/>
      <c r="FC42" s="251"/>
      <c r="FD42" s="251"/>
      <c r="FE42" s="251"/>
      <c r="FF42" s="251"/>
      <c r="FG42" s="251"/>
      <c r="FH42" s="251"/>
      <c r="FI42" s="251"/>
      <c r="FJ42" s="251"/>
      <c r="FK42" s="251"/>
      <c r="FL42" s="251"/>
      <c r="FM42" s="251"/>
      <c r="FN42" s="251"/>
      <c r="FO42" s="251"/>
      <c r="FP42" s="251"/>
      <c r="FQ42" s="251"/>
      <c r="FR42" s="251"/>
      <c r="FS42" s="251"/>
      <c r="FT42" s="251"/>
      <c r="FU42" s="251"/>
      <c r="FV42" s="251"/>
      <c r="FW42" s="251"/>
      <c r="FX42" s="251"/>
      <c r="FY42" s="251"/>
      <c r="FZ42" s="251"/>
      <c r="GA42" s="251"/>
      <c r="GB42" s="251"/>
      <c r="GC42" s="251"/>
      <c r="GD42" s="251"/>
      <c r="GE42" s="251"/>
      <c r="GF42" s="251"/>
      <c r="GG42" s="251"/>
      <c r="GH42" s="251"/>
      <c r="GI42" s="251"/>
      <c r="GJ42" s="251"/>
      <c r="GK42" s="251"/>
      <c r="GL42" s="251"/>
      <c r="GM42" s="251"/>
      <c r="GN42" s="251"/>
      <c r="GO42" s="251"/>
      <c r="GP42" s="251"/>
      <c r="GQ42" s="251"/>
      <c r="GR42" s="251"/>
      <c r="GS42" s="251"/>
      <c r="GT42" s="251"/>
      <c r="GU42" s="251"/>
      <c r="GV42" s="251"/>
      <c r="GW42" s="251"/>
      <c r="GX42" s="251"/>
      <c r="GY42" s="251"/>
      <c r="GZ42" s="251"/>
      <c r="HA42" s="251"/>
      <c r="HB42" s="251"/>
      <c r="HC42" s="251"/>
      <c r="HD42" s="251"/>
      <c r="HE42" s="251"/>
      <c r="HF42" s="251"/>
      <c r="HG42" s="251"/>
      <c r="HH42" s="251"/>
      <c r="HI42" s="251"/>
      <c r="HJ42" s="251"/>
      <c r="HK42" s="251"/>
      <c r="HL42" s="251"/>
      <c r="HM42" s="251"/>
      <c r="HN42" s="251"/>
      <c r="HO42" s="251"/>
      <c r="HP42" s="251"/>
      <c r="HQ42" s="251"/>
      <c r="HR42" s="251"/>
      <c r="HS42" s="251"/>
      <c r="HT42" s="251"/>
      <c r="HU42" s="251"/>
      <c r="HV42" s="251"/>
      <c r="HW42" s="251"/>
      <c r="HX42" s="251"/>
      <c r="HY42" s="251"/>
      <c r="HZ42" s="251"/>
      <c r="IA42" s="251"/>
      <c r="IB42" s="251"/>
      <c r="IC42" s="251"/>
      <c r="ID42" s="251"/>
      <c r="IE42" s="251"/>
      <c r="IF42" s="251"/>
      <c r="IG42" s="251"/>
      <c r="IH42" s="251"/>
      <c r="II42" s="251"/>
      <c r="IJ42" s="251"/>
      <c r="IK42" s="251"/>
      <c r="IL42" s="251"/>
      <c r="IM42" s="251"/>
      <c r="IN42" s="251"/>
      <c r="IO42" s="251"/>
      <c r="IP42" s="251"/>
      <c r="IQ42" s="251"/>
      <c r="IR42" s="251"/>
      <c r="IS42" s="251"/>
      <c r="IT42" s="251"/>
      <c r="IU42" s="251"/>
      <c r="IV42" s="251"/>
      <c r="IW42" s="251"/>
      <c r="IX42" s="251"/>
      <c r="IY42" s="251"/>
      <c r="IZ42" s="251"/>
      <c r="JA42" s="251"/>
      <c r="JB42" s="251"/>
      <c r="JC42" s="251"/>
      <c r="JD42" s="251"/>
      <c r="JE42" s="251"/>
      <c r="JF42" s="251"/>
      <c r="JG42" s="251"/>
      <c r="JH42" s="251"/>
      <c r="JI42" s="283"/>
    </row>
    <row r="43" spans="1:269" s="250" customFormat="1" ht="16.5">
      <c r="A43" s="447" t="s">
        <v>480</v>
      </c>
      <c r="B43" s="464">
        <v>8</v>
      </c>
      <c r="C43" s="464">
        <v>32</v>
      </c>
      <c r="D43" s="464">
        <v>1</v>
      </c>
      <c r="E43" s="464">
        <v>14</v>
      </c>
      <c r="F43" s="464">
        <v>7</v>
      </c>
      <c r="G43" s="452">
        <v>4</v>
      </c>
      <c r="H43" s="454">
        <v>6</v>
      </c>
      <c r="I43" s="454" t="s">
        <v>6</v>
      </c>
      <c r="J43" s="454">
        <v>2</v>
      </c>
      <c r="K43" s="457">
        <v>8</v>
      </c>
      <c r="L43" s="251"/>
      <c r="M43" s="251"/>
      <c r="N43" s="251"/>
      <c r="O43" s="251"/>
      <c r="P43" s="251"/>
      <c r="Q43" s="251"/>
      <c r="R43" s="251"/>
      <c r="S43" s="251"/>
      <c r="T43" s="251"/>
      <c r="U43" s="251"/>
      <c r="V43" s="251"/>
      <c r="W43" s="251"/>
      <c r="X43" s="251"/>
      <c r="Y43" s="251"/>
      <c r="Z43" s="251"/>
      <c r="AA43" s="251"/>
      <c r="AB43" s="251"/>
      <c r="AC43" s="251"/>
      <c r="AD43" s="251"/>
      <c r="AE43" s="251"/>
      <c r="AF43" s="251"/>
      <c r="AG43" s="251"/>
      <c r="AH43" s="251"/>
      <c r="AI43" s="251"/>
      <c r="AJ43" s="251"/>
      <c r="AK43" s="251"/>
      <c r="AL43" s="251"/>
      <c r="AM43" s="251"/>
      <c r="AN43" s="251"/>
      <c r="AO43" s="251"/>
      <c r="AP43" s="251"/>
      <c r="AQ43" s="251"/>
      <c r="AR43" s="251"/>
      <c r="AS43" s="251"/>
      <c r="AT43" s="251"/>
      <c r="AU43" s="251"/>
      <c r="AV43" s="251"/>
      <c r="AW43" s="251"/>
      <c r="AX43" s="251"/>
      <c r="AY43" s="251"/>
      <c r="AZ43" s="251"/>
      <c r="BA43" s="251"/>
      <c r="BB43" s="251"/>
      <c r="BC43" s="251"/>
      <c r="BD43" s="251"/>
      <c r="BE43" s="251"/>
      <c r="BF43" s="251"/>
      <c r="BG43" s="251"/>
      <c r="BH43" s="251"/>
      <c r="BI43" s="251"/>
      <c r="BJ43" s="251"/>
      <c r="BK43" s="251"/>
      <c r="BL43" s="251"/>
      <c r="BM43" s="251"/>
      <c r="BN43" s="251"/>
      <c r="BO43" s="251"/>
      <c r="BP43" s="251"/>
      <c r="BQ43" s="251"/>
      <c r="BR43" s="251"/>
      <c r="BS43" s="251"/>
      <c r="BT43" s="251"/>
      <c r="BU43" s="251"/>
      <c r="BV43" s="251"/>
      <c r="BW43" s="251"/>
      <c r="BX43" s="251"/>
      <c r="BY43" s="251"/>
      <c r="BZ43" s="251"/>
      <c r="CA43" s="251"/>
      <c r="CB43" s="251"/>
      <c r="CC43" s="251"/>
      <c r="CD43" s="251"/>
      <c r="CE43" s="251"/>
      <c r="CF43" s="251"/>
      <c r="CG43" s="251"/>
      <c r="CH43" s="251"/>
      <c r="CI43" s="251"/>
      <c r="CJ43" s="251"/>
      <c r="CK43" s="251"/>
      <c r="CL43" s="251"/>
      <c r="CM43" s="251"/>
      <c r="CN43" s="251"/>
      <c r="CO43" s="251"/>
      <c r="CP43" s="251"/>
      <c r="CQ43" s="251"/>
      <c r="CR43" s="251"/>
      <c r="CS43" s="251"/>
      <c r="CT43" s="251"/>
      <c r="CU43" s="251"/>
      <c r="CV43" s="251"/>
      <c r="CW43" s="251"/>
      <c r="CX43" s="251"/>
      <c r="CY43" s="251"/>
      <c r="CZ43" s="251"/>
      <c r="DA43" s="251"/>
      <c r="DB43" s="251"/>
      <c r="DC43" s="251"/>
      <c r="DD43" s="251"/>
      <c r="DE43" s="251"/>
      <c r="DF43" s="251"/>
      <c r="DG43" s="251"/>
      <c r="DH43" s="251"/>
      <c r="DI43" s="251"/>
      <c r="DJ43" s="251"/>
      <c r="DK43" s="251"/>
      <c r="DL43" s="251"/>
      <c r="DM43" s="251"/>
      <c r="DN43" s="251"/>
      <c r="DO43" s="251"/>
      <c r="DP43" s="251"/>
      <c r="DQ43" s="251"/>
      <c r="DR43" s="251"/>
      <c r="DS43" s="251"/>
      <c r="DT43" s="251"/>
      <c r="DU43" s="251"/>
      <c r="DV43" s="251"/>
      <c r="DW43" s="251"/>
      <c r="DX43" s="251"/>
      <c r="DY43" s="251"/>
      <c r="DZ43" s="251"/>
      <c r="EA43" s="251"/>
      <c r="EB43" s="251"/>
      <c r="EC43" s="251"/>
      <c r="ED43" s="251"/>
      <c r="EE43" s="251"/>
      <c r="EF43" s="251"/>
      <c r="EG43" s="251"/>
      <c r="EH43" s="251"/>
      <c r="EI43" s="251"/>
      <c r="EJ43" s="251"/>
      <c r="EK43" s="251"/>
      <c r="EL43" s="251"/>
      <c r="EM43" s="251"/>
      <c r="EN43" s="251"/>
      <c r="EO43" s="251"/>
      <c r="EP43" s="251"/>
      <c r="EQ43" s="251"/>
      <c r="ER43" s="251"/>
      <c r="ES43" s="251"/>
      <c r="ET43" s="251"/>
      <c r="EU43" s="251"/>
      <c r="EV43" s="251"/>
      <c r="EW43" s="251"/>
      <c r="EX43" s="251"/>
      <c r="EY43" s="251"/>
      <c r="EZ43" s="251"/>
      <c r="FA43" s="251"/>
      <c r="FB43" s="251"/>
      <c r="FC43" s="251"/>
      <c r="FD43" s="251"/>
      <c r="FE43" s="251"/>
      <c r="FF43" s="251"/>
      <c r="FG43" s="251"/>
      <c r="FH43" s="251"/>
      <c r="FI43" s="251"/>
      <c r="FJ43" s="251"/>
      <c r="FK43" s="251"/>
      <c r="FL43" s="251"/>
      <c r="FM43" s="251"/>
      <c r="FN43" s="251"/>
      <c r="FO43" s="251"/>
      <c r="FP43" s="251"/>
      <c r="FQ43" s="251"/>
      <c r="FR43" s="251"/>
      <c r="FS43" s="251"/>
      <c r="FT43" s="251"/>
      <c r="FU43" s="251"/>
      <c r="FV43" s="251"/>
      <c r="FW43" s="251"/>
      <c r="FX43" s="251"/>
      <c r="FY43" s="251"/>
      <c r="FZ43" s="251"/>
      <c r="GA43" s="251"/>
      <c r="GB43" s="251"/>
      <c r="GC43" s="251"/>
      <c r="GD43" s="251"/>
      <c r="GE43" s="251"/>
      <c r="GF43" s="251"/>
      <c r="GG43" s="251"/>
      <c r="GH43" s="251"/>
      <c r="GI43" s="251"/>
      <c r="GJ43" s="251"/>
      <c r="GK43" s="251"/>
      <c r="GL43" s="251"/>
      <c r="GM43" s="251"/>
      <c r="GN43" s="251"/>
      <c r="GO43" s="251"/>
      <c r="GP43" s="251"/>
      <c r="GQ43" s="251"/>
      <c r="GR43" s="251"/>
      <c r="GS43" s="251"/>
      <c r="GT43" s="251"/>
      <c r="GU43" s="251"/>
      <c r="GV43" s="251"/>
      <c r="GW43" s="251"/>
      <c r="GX43" s="251"/>
      <c r="GY43" s="251"/>
      <c r="GZ43" s="251"/>
      <c r="HA43" s="251"/>
      <c r="HB43" s="251"/>
      <c r="HC43" s="251"/>
      <c r="HD43" s="251"/>
      <c r="HE43" s="251"/>
      <c r="HF43" s="251"/>
      <c r="HG43" s="251"/>
      <c r="HH43" s="251"/>
      <c r="HI43" s="251"/>
      <c r="HJ43" s="251"/>
      <c r="HK43" s="251"/>
      <c r="HL43" s="251"/>
      <c r="HM43" s="251"/>
      <c r="HN43" s="251"/>
      <c r="HO43" s="251"/>
      <c r="HP43" s="251"/>
      <c r="HQ43" s="251"/>
      <c r="HR43" s="251"/>
      <c r="HS43" s="251"/>
      <c r="HT43" s="251"/>
      <c r="HU43" s="251"/>
      <c r="HV43" s="251"/>
      <c r="HW43" s="251"/>
      <c r="HX43" s="251"/>
      <c r="HY43" s="251"/>
      <c r="HZ43" s="251"/>
      <c r="IA43" s="251"/>
      <c r="IB43" s="251"/>
      <c r="IC43" s="251"/>
      <c r="ID43" s="251"/>
      <c r="IE43" s="251"/>
      <c r="IF43" s="251"/>
      <c r="IG43" s="251"/>
      <c r="IH43" s="251"/>
      <c r="II43" s="251"/>
      <c r="IJ43" s="251"/>
      <c r="IK43" s="251"/>
      <c r="IL43" s="251"/>
      <c r="IM43" s="251"/>
      <c r="IN43" s="251"/>
      <c r="IO43" s="251"/>
      <c r="IP43" s="251"/>
      <c r="IQ43" s="251"/>
      <c r="IR43" s="251"/>
      <c r="IS43" s="251"/>
      <c r="IT43" s="251"/>
      <c r="IU43" s="251"/>
      <c r="IV43" s="251"/>
      <c r="IW43" s="251"/>
      <c r="IX43" s="251"/>
      <c r="IY43" s="251"/>
      <c r="IZ43" s="251"/>
      <c r="JA43" s="251"/>
      <c r="JB43" s="251"/>
      <c r="JC43" s="251"/>
      <c r="JD43" s="251"/>
      <c r="JE43" s="251"/>
      <c r="JF43" s="251"/>
      <c r="JG43" s="251"/>
      <c r="JH43" s="251"/>
      <c r="JI43" s="283"/>
    </row>
    <row r="44" spans="1:269" s="250" customFormat="1" ht="16.5">
      <c r="A44" s="447" t="s">
        <v>463</v>
      </c>
      <c r="B44" s="454" t="s">
        <v>1</v>
      </c>
      <c r="C44" s="454" t="s">
        <v>1</v>
      </c>
      <c r="D44" s="454" t="s">
        <v>1</v>
      </c>
      <c r="E44" s="454" t="s">
        <v>1</v>
      </c>
      <c r="F44" s="454" t="s">
        <v>1</v>
      </c>
      <c r="G44" s="454" t="s">
        <v>1</v>
      </c>
      <c r="H44" s="454" t="s">
        <v>1</v>
      </c>
      <c r="I44" s="454">
        <v>38</v>
      </c>
      <c r="J44" s="454">
        <v>22</v>
      </c>
      <c r="K44" s="457">
        <v>6</v>
      </c>
      <c r="L44" s="251"/>
      <c r="M44" s="251"/>
      <c r="N44" s="251"/>
      <c r="O44" s="251"/>
      <c r="P44" s="251"/>
      <c r="Q44" s="251"/>
      <c r="R44" s="251"/>
      <c r="S44" s="251"/>
      <c r="T44" s="251"/>
      <c r="U44" s="251"/>
      <c r="V44" s="251"/>
      <c r="W44" s="251"/>
      <c r="X44" s="251"/>
      <c r="Y44" s="251"/>
      <c r="Z44" s="251"/>
      <c r="AA44" s="251"/>
      <c r="AB44" s="251"/>
      <c r="AC44" s="251"/>
      <c r="AD44" s="251"/>
      <c r="AE44" s="251"/>
      <c r="AF44" s="251"/>
      <c r="AG44" s="251"/>
      <c r="AH44" s="251"/>
      <c r="AI44" s="251"/>
      <c r="AJ44" s="251"/>
      <c r="AK44" s="251"/>
      <c r="AL44" s="251"/>
      <c r="AM44" s="251"/>
      <c r="AN44" s="251"/>
      <c r="AO44" s="251"/>
      <c r="AP44" s="251"/>
      <c r="AQ44" s="251"/>
      <c r="AR44" s="251"/>
      <c r="AS44" s="251"/>
      <c r="AT44" s="251"/>
      <c r="AU44" s="251"/>
      <c r="AV44" s="251"/>
      <c r="AW44" s="251"/>
      <c r="AX44" s="251"/>
      <c r="AY44" s="251"/>
      <c r="AZ44" s="251"/>
      <c r="BA44" s="251"/>
      <c r="BB44" s="251"/>
      <c r="BC44" s="251"/>
      <c r="BD44" s="251"/>
      <c r="BE44" s="251"/>
      <c r="BF44" s="251"/>
      <c r="BG44" s="251"/>
      <c r="BH44" s="251"/>
      <c r="BI44" s="251"/>
      <c r="BJ44" s="251"/>
      <c r="BK44" s="251"/>
      <c r="BL44" s="251"/>
      <c r="BM44" s="251"/>
      <c r="BN44" s="251"/>
      <c r="BO44" s="251"/>
      <c r="BP44" s="251"/>
      <c r="BQ44" s="251"/>
      <c r="BR44" s="251"/>
      <c r="BS44" s="251"/>
      <c r="BT44" s="251"/>
      <c r="BU44" s="251"/>
      <c r="BV44" s="251"/>
      <c r="BW44" s="251"/>
      <c r="BX44" s="251"/>
      <c r="BY44" s="251"/>
      <c r="BZ44" s="251"/>
      <c r="CA44" s="251"/>
      <c r="CB44" s="251"/>
      <c r="CC44" s="251"/>
      <c r="CD44" s="251"/>
      <c r="CE44" s="251"/>
      <c r="CF44" s="251"/>
      <c r="CG44" s="251"/>
      <c r="CH44" s="251"/>
      <c r="CI44" s="251"/>
      <c r="CJ44" s="251"/>
      <c r="CK44" s="251"/>
      <c r="CL44" s="251"/>
      <c r="CM44" s="251"/>
      <c r="CN44" s="251"/>
      <c r="CO44" s="251"/>
      <c r="CP44" s="251"/>
      <c r="CQ44" s="251"/>
      <c r="CR44" s="251"/>
      <c r="CS44" s="251"/>
      <c r="CT44" s="251"/>
      <c r="CU44" s="251"/>
      <c r="CV44" s="251"/>
      <c r="CW44" s="251"/>
      <c r="CX44" s="251"/>
      <c r="CY44" s="251"/>
      <c r="CZ44" s="251"/>
      <c r="DA44" s="251"/>
      <c r="DB44" s="251"/>
      <c r="DC44" s="251"/>
      <c r="DD44" s="251"/>
      <c r="DE44" s="251"/>
      <c r="DF44" s="251"/>
      <c r="DG44" s="251"/>
      <c r="DH44" s="251"/>
      <c r="DI44" s="251"/>
      <c r="DJ44" s="251"/>
      <c r="DK44" s="251"/>
      <c r="DL44" s="251"/>
      <c r="DM44" s="251"/>
      <c r="DN44" s="251"/>
      <c r="DO44" s="251"/>
      <c r="DP44" s="251"/>
      <c r="DQ44" s="251"/>
      <c r="DR44" s="251"/>
      <c r="DS44" s="251"/>
      <c r="DT44" s="251"/>
      <c r="DU44" s="251"/>
      <c r="DV44" s="251"/>
      <c r="DW44" s="251"/>
      <c r="DX44" s="251"/>
      <c r="DY44" s="251"/>
      <c r="DZ44" s="251"/>
      <c r="EA44" s="251"/>
      <c r="EB44" s="251"/>
      <c r="EC44" s="251"/>
      <c r="ED44" s="251"/>
      <c r="EE44" s="251"/>
      <c r="EF44" s="251"/>
      <c r="EG44" s="251"/>
      <c r="EH44" s="251"/>
      <c r="EI44" s="251"/>
      <c r="EJ44" s="251"/>
      <c r="EK44" s="251"/>
      <c r="EL44" s="251"/>
      <c r="EM44" s="251"/>
      <c r="EN44" s="251"/>
      <c r="EO44" s="251"/>
      <c r="EP44" s="251"/>
      <c r="EQ44" s="251"/>
      <c r="ER44" s="251"/>
      <c r="ES44" s="251"/>
      <c r="ET44" s="251"/>
      <c r="EU44" s="251"/>
      <c r="EV44" s="251"/>
      <c r="EW44" s="251"/>
      <c r="EX44" s="251"/>
      <c r="EY44" s="251"/>
      <c r="EZ44" s="251"/>
      <c r="FA44" s="251"/>
      <c r="FB44" s="251"/>
      <c r="FC44" s="251"/>
      <c r="FD44" s="251"/>
      <c r="FE44" s="251"/>
      <c r="FF44" s="251"/>
      <c r="FG44" s="251"/>
      <c r="FH44" s="251"/>
      <c r="FI44" s="251"/>
      <c r="FJ44" s="251"/>
      <c r="FK44" s="251"/>
      <c r="FL44" s="251"/>
      <c r="FM44" s="251"/>
      <c r="FN44" s="251"/>
      <c r="FO44" s="251"/>
      <c r="FP44" s="251"/>
      <c r="FQ44" s="251"/>
      <c r="FR44" s="251"/>
      <c r="FS44" s="251"/>
      <c r="FT44" s="251"/>
      <c r="FU44" s="251"/>
      <c r="FV44" s="251"/>
      <c r="FW44" s="251"/>
      <c r="FX44" s="251"/>
      <c r="FY44" s="251"/>
      <c r="FZ44" s="251"/>
      <c r="GA44" s="251"/>
      <c r="GB44" s="251"/>
      <c r="GC44" s="251"/>
      <c r="GD44" s="251"/>
      <c r="GE44" s="251"/>
      <c r="GF44" s="251"/>
      <c r="GG44" s="251"/>
      <c r="GH44" s="251"/>
      <c r="GI44" s="251"/>
      <c r="GJ44" s="251"/>
      <c r="GK44" s="251"/>
      <c r="GL44" s="251"/>
      <c r="GM44" s="251"/>
      <c r="GN44" s="251"/>
      <c r="GO44" s="251"/>
      <c r="GP44" s="251"/>
      <c r="GQ44" s="251"/>
      <c r="GR44" s="251"/>
      <c r="GS44" s="251"/>
      <c r="GT44" s="251"/>
      <c r="GU44" s="251"/>
      <c r="GV44" s="251"/>
      <c r="GW44" s="251"/>
      <c r="GX44" s="251"/>
      <c r="GY44" s="251"/>
      <c r="GZ44" s="251"/>
      <c r="HA44" s="251"/>
      <c r="HB44" s="251"/>
      <c r="HC44" s="251"/>
      <c r="HD44" s="251"/>
      <c r="HE44" s="251"/>
      <c r="HF44" s="251"/>
      <c r="HG44" s="251"/>
      <c r="HH44" s="251"/>
      <c r="HI44" s="251"/>
      <c r="HJ44" s="251"/>
      <c r="HK44" s="251"/>
      <c r="HL44" s="251"/>
      <c r="HM44" s="251"/>
      <c r="HN44" s="251"/>
      <c r="HO44" s="251"/>
      <c r="HP44" s="251"/>
      <c r="HQ44" s="251"/>
      <c r="HR44" s="251"/>
      <c r="HS44" s="251"/>
      <c r="HT44" s="251"/>
      <c r="HU44" s="251"/>
      <c r="HV44" s="251"/>
      <c r="HW44" s="251"/>
      <c r="HX44" s="251"/>
      <c r="HY44" s="251"/>
      <c r="HZ44" s="251"/>
      <c r="IA44" s="251"/>
      <c r="IB44" s="251"/>
      <c r="IC44" s="251"/>
      <c r="ID44" s="251"/>
      <c r="IE44" s="251"/>
      <c r="IF44" s="251"/>
      <c r="IG44" s="251"/>
      <c r="IH44" s="251"/>
      <c r="II44" s="251"/>
      <c r="IJ44" s="251"/>
      <c r="IK44" s="251"/>
      <c r="IL44" s="251"/>
      <c r="IM44" s="251"/>
      <c r="IN44" s="251"/>
      <c r="IO44" s="251"/>
      <c r="IP44" s="251"/>
      <c r="IQ44" s="251"/>
      <c r="IR44" s="251"/>
      <c r="IS44" s="251"/>
      <c r="IT44" s="251"/>
      <c r="IU44" s="251"/>
      <c r="IV44" s="251"/>
      <c r="IW44" s="251"/>
      <c r="IX44" s="251"/>
      <c r="IY44" s="251"/>
      <c r="IZ44" s="251"/>
      <c r="JA44" s="251"/>
      <c r="JB44" s="251"/>
      <c r="JC44" s="251"/>
      <c r="JD44" s="251"/>
      <c r="JE44" s="251"/>
      <c r="JF44" s="251"/>
      <c r="JG44" s="251"/>
      <c r="JH44" s="251"/>
      <c r="JI44" s="283"/>
    </row>
    <row r="45" spans="1:269" s="250" customFormat="1" ht="16.5">
      <c r="A45" s="447" t="s">
        <v>479</v>
      </c>
      <c r="B45" s="465">
        <v>28</v>
      </c>
      <c r="C45" s="465">
        <v>34</v>
      </c>
      <c r="D45" s="465">
        <v>14</v>
      </c>
      <c r="E45" s="465">
        <v>47</v>
      </c>
      <c r="F45" s="465">
        <v>31</v>
      </c>
      <c r="G45" s="453">
        <v>27</v>
      </c>
      <c r="H45" s="457">
        <v>20</v>
      </c>
      <c r="I45" s="457">
        <v>8</v>
      </c>
      <c r="J45" s="457">
        <v>10</v>
      </c>
      <c r="K45" s="457">
        <v>6</v>
      </c>
      <c r="L45" s="251"/>
      <c r="M45" s="251"/>
      <c r="N45" s="251"/>
      <c r="O45" s="251"/>
      <c r="P45" s="251"/>
      <c r="Q45" s="251"/>
      <c r="R45" s="251"/>
      <c r="S45" s="251"/>
      <c r="T45" s="251"/>
      <c r="U45" s="251"/>
      <c r="V45" s="251"/>
      <c r="W45" s="251"/>
      <c r="X45" s="251"/>
      <c r="Y45" s="251"/>
      <c r="Z45" s="251"/>
      <c r="AA45" s="251"/>
      <c r="AB45" s="251"/>
      <c r="AC45" s="251"/>
      <c r="AD45" s="251"/>
      <c r="AE45" s="251"/>
      <c r="AF45" s="251"/>
      <c r="AG45" s="251"/>
      <c r="AH45" s="251"/>
      <c r="AI45" s="251"/>
      <c r="AJ45" s="251"/>
      <c r="AK45" s="251"/>
      <c r="AL45" s="251"/>
      <c r="AM45" s="251"/>
      <c r="AN45" s="251"/>
      <c r="AO45" s="251"/>
      <c r="AP45" s="251"/>
      <c r="AQ45" s="251"/>
      <c r="AR45" s="251"/>
      <c r="AS45" s="251"/>
      <c r="AT45" s="251"/>
      <c r="AU45" s="251"/>
      <c r="AV45" s="251"/>
      <c r="AW45" s="251"/>
      <c r="AX45" s="251"/>
      <c r="AY45" s="251"/>
      <c r="AZ45" s="251"/>
      <c r="BA45" s="251"/>
      <c r="BB45" s="251"/>
      <c r="BC45" s="251"/>
      <c r="BD45" s="251"/>
      <c r="BE45" s="251"/>
      <c r="BF45" s="251"/>
      <c r="BG45" s="251"/>
      <c r="BH45" s="251"/>
      <c r="BI45" s="251"/>
      <c r="BJ45" s="251"/>
      <c r="BK45" s="251"/>
      <c r="BL45" s="251"/>
      <c r="BM45" s="251"/>
      <c r="BN45" s="251"/>
      <c r="BO45" s="251"/>
      <c r="BP45" s="251"/>
      <c r="BQ45" s="251"/>
      <c r="BR45" s="251"/>
      <c r="BS45" s="251"/>
      <c r="BT45" s="251"/>
      <c r="BU45" s="251"/>
      <c r="BV45" s="251"/>
      <c r="BW45" s="251"/>
      <c r="BX45" s="251"/>
      <c r="BY45" s="251"/>
      <c r="BZ45" s="251"/>
      <c r="CA45" s="251"/>
      <c r="CB45" s="251"/>
      <c r="CC45" s="251"/>
      <c r="CD45" s="251"/>
      <c r="CE45" s="251"/>
      <c r="CF45" s="251"/>
      <c r="CG45" s="251"/>
      <c r="CH45" s="251"/>
      <c r="CI45" s="251"/>
      <c r="CJ45" s="251"/>
      <c r="CK45" s="251"/>
      <c r="CL45" s="251"/>
      <c r="CM45" s="251"/>
      <c r="CN45" s="251"/>
      <c r="CO45" s="251"/>
      <c r="CP45" s="251"/>
      <c r="CQ45" s="251"/>
      <c r="CR45" s="251"/>
      <c r="CS45" s="251"/>
      <c r="CT45" s="251"/>
      <c r="CU45" s="251"/>
      <c r="CV45" s="251"/>
      <c r="CW45" s="251"/>
      <c r="CX45" s="251"/>
      <c r="CY45" s="251"/>
      <c r="CZ45" s="251"/>
      <c r="DA45" s="251"/>
      <c r="DB45" s="251"/>
      <c r="DC45" s="251"/>
      <c r="DD45" s="251"/>
      <c r="DE45" s="251"/>
      <c r="DF45" s="251"/>
      <c r="DG45" s="251"/>
      <c r="DH45" s="251"/>
      <c r="DI45" s="251"/>
      <c r="DJ45" s="251"/>
      <c r="DK45" s="251"/>
      <c r="DL45" s="251"/>
      <c r="DM45" s="251"/>
      <c r="DN45" s="251"/>
      <c r="DO45" s="251"/>
      <c r="DP45" s="251"/>
      <c r="DQ45" s="251"/>
      <c r="DR45" s="251"/>
      <c r="DS45" s="251"/>
      <c r="DT45" s="251"/>
      <c r="DU45" s="251"/>
      <c r="DV45" s="251"/>
      <c r="DW45" s="251"/>
      <c r="DX45" s="251"/>
      <c r="DY45" s="251"/>
      <c r="DZ45" s="251"/>
      <c r="EA45" s="251"/>
      <c r="EB45" s="251"/>
      <c r="EC45" s="251"/>
      <c r="ED45" s="251"/>
      <c r="EE45" s="251"/>
      <c r="EF45" s="251"/>
      <c r="EG45" s="251"/>
      <c r="EH45" s="251"/>
      <c r="EI45" s="251"/>
      <c r="EJ45" s="251"/>
      <c r="EK45" s="251"/>
      <c r="EL45" s="251"/>
      <c r="EM45" s="251"/>
      <c r="EN45" s="251"/>
      <c r="EO45" s="251"/>
      <c r="EP45" s="251"/>
      <c r="EQ45" s="251"/>
      <c r="ER45" s="251"/>
      <c r="ES45" s="251"/>
      <c r="ET45" s="251"/>
      <c r="EU45" s="251"/>
      <c r="EV45" s="251"/>
      <c r="EW45" s="251"/>
      <c r="EX45" s="251"/>
      <c r="EY45" s="251"/>
      <c r="EZ45" s="251"/>
      <c r="FA45" s="251"/>
      <c r="FB45" s="251"/>
      <c r="FC45" s="251"/>
      <c r="FD45" s="251"/>
      <c r="FE45" s="251"/>
      <c r="FF45" s="251"/>
      <c r="FG45" s="251"/>
      <c r="FH45" s="251"/>
      <c r="FI45" s="251"/>
      <c r="FJ45" s="251"/>
      <c r="FK45" s="251"/>
      <c r="FL45" s="251"/>
      <c r="FM45" s="251"/>
      <c r="FN45" s="251"/>
      <c r="FO45" s="251"/>
      <c r="FP45" s="251"/>
      <c r="FQ45" s="251"/>
      <c r="FR45" s="251"/>
      <c r="FS45" s="251"/>
      <c r="FT45" s="251"/>
      <c r="FU45" s="251"/>
      <c r="FV45" s="251"/>
      <c r="FW45" s="251"/>
      <c r="FX45" s="251"/>
      <c r="FY45" s="251"/>
      <c r="FZ45" s="251"/>
      <c r="GA45" s="251"/>
      <c r="GB45" s="251"/>
      <c r="GC45" s="251"/>
      <c r="GD45" s="251"/>
      <c r="GE45" s="251"/>
      <c r="GF45" s="251"/>
      <c r="GG45" s="251"/>
      <c r="GH45" s="251"/>
      <c r="GI45" s="251"/>
      <c r="GJ45" s="251"/>
      <c r="GK45" s="251"/>
      <c r="GL45" s="251"/>
      <c r="GM45" s="251"/>
      <c r="GN45" s="251"/>
      <c r="GO45" s="251"/>
      <c r="GP45" s="251"/>
      <c r="GQ45" s="251"/>
      <c r="GR45" s="251"/>
      <c r="GS45" s="251"/>
      <c r="GT45" s="251"/>
      <c r="GU45" s="251"/>
      <c r="GV45" s="251"/>
      <c r="GW45" s="251"/>
      <c r="GX45" s="251"/>
      <c r="GY45" s="251"/>
      <c r="GZ45" s="251"/>
      <c r="HA45" s="251"/>
      <c r="HB45" s="251"/>
      <c r="HC45" s="251"/>
      <c r="HD45" s="251"/>
      <c r="HE45" s="251"/>
      <c r="HF45" s="251"/>
      <c r="HG45" s="251"/>
      <c r="HH45" s="251"/>
      <c r="HI45" s="251"/>
      <c r="HJ45" s="251"/>
      <c r="HK45" s="251"/>
      <c r="HL45" s="251"/>
      <c r="HM45" s="251"/>
      <c r="HN45" s="251"/>
      <c r="HO45" s="251"/>
      <c r="HP45" s="251"/>
      <c r="HQ45" s="251"/>
      <c r="HR45" s="251"/>
      <c r="HS45" s="251"/>
      <c r="HT45" s="251"/>
      <c r="HU45" s="251"/>
      <c r="HV45" s="251"/>
      <c r="HW45" s="251"/>
      <c r="HX45" s="251"/>
      <c r="HY45" s="251"/>
      <c r="HZ45" s="251"/>
      <c r="IA45" s="251"/>
      <c r="IB45" s="251"/>
      <c r="IC45" s="251"/>
      <c r="ID45" s="251"/>
      <c r="IE45" s="251"/>
      <c r="IF45" s="251"/>
      <c r="IG45" s="251"/>
      <c r="IH45" s="251"/>
      <c r="II45" s="251"/>
      <c r="IJ45" s="251"/>
      <c r="IK45" s="251"/>
      <c r="IL45" s="251"/>
      <c r="IM45" s="251"/>
      <c r="IN45" s="251"/>
      <c r="IO45" s="251"/>
      <c r="IP45" s="251"/>
      <c r="IQ45" s="251"/>
      <c r="IR45" s="251"/>
      <c r="IS45" s="251"/>
      <c r="IT45" s="251"/>
      <c r="IU45" s="251"/>
      <c r="IV45" s="251"/>
      <c r="IW45" s="251"/>
      <c r="IX45" s="251"/>
      <c r="IY45" s="251"/>
      <c r="IZ45" s="251"/>
      <c r="JA45" s="251"/>
      <c r="JB45" s="251"/>
      <c r="JC45" s="251"/>
      <c r="JD45" s="251"/>
      <c r="JE45" s="251"/>
      <c r="JF45" s="251"/>
      <c r="JG45" s="251"/>
      <c r="JH45" s="251"/>
      <c r="JI45" s="283"/>
    </row>
    <row r="46" spans="1:269" s="250" customFormat="1" ht="16.5">
      <c r="A46" s="447" t="s">
        <v>481</v>
      </c>
      <c r="B46" s="455">
        <v>6</v>
      </c>
      <c r="C46" s="456" t="s">
        <v>6</v>
      </c>
      <c r="D46" s="456" t="s">
        <v>6</v>
      </c>
      <c r="E46" s="455">
        <v>15</v>
      </c>
      <c r="F46" s="455">
        <v>54</v>
      </c>
      <c r="G46" s="452">
        <v>6</v>
      </c>
      <c r="H46" s="454">
        <v>18</v>
      </c>
      <c r="I46" s="454">
        <v>12</v>
      </c>
      <c r="J46" s="454">
        <v>4</v>
      </c>
      <c r="K46" s="457">
        <v>2</v>
      </c>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1"/>
      <c r="GD46" s="251"/>
      <c r="GE46" s="251"/>
      <c r="GF46" s="251"/>
      <c r="GG46" s="251"/>
      <c r="GH46" s="251"/>
      <c r="GI46" s="251"/>
      <c r="GJ46" s="251"/>
      <c r="GK46" s="251"/>
      <c r="GL46" s="251"/>
      <c r="GM46" s="251"/>
      <c r="GN46" s="251"/>
      <c r="GO46" s="251"/>
      <c r="GP46" s="251"/>
      <c r="GQ46" s="251"/>
      <c r="GR46" s="251"/>
      <c r="GS46" s="251"/>
      <c r="GT46" s="251"/>
      <c r="GU46" s="251"/>
      <c r="GV46" s="251"/>
      <c r="GW46" s="251"/>
      <c r="GX46" s="251"/>
      <c r="GY46" s="251"/>
      <c r="GZ46" s="251"/>
      <c r="HA46" s="251"/>
      <c r="HB46" s="251"/>
      <c r="HC46" s="251"/>
      <c r="HD46" s="251"/>
      <c r="HE46" s="251"/>
      <c r="HF46" s="251"/>
      <c r="HG46" s="251"/>
      <c r="HH46" s="251"/>
      <c r="HI46" s="251"/>
      <c r="HJ46" s="251"/>
      <c r="HK46" s="251"/>
      <c r="HL46" s="251"/>
      <c r="HM46" s="251"/>
      <c r="HN46" s="251"/>
      <c r="HO46" s="251"/>
      <c r="HP46" s="251"/>
      <c r="HQ46" s="251"/>
      <c r="HR46" s="251"/>
      <c r="HS46" s="251"/>
      <c r="HT46" s="251"/>
      <c r="HU46" s="251"/>
      <c r="HV46" s="251"/>
      <c r="HW46" s="251"/>
      <c r="HX46" s="251"/>
      <c r="HY46" s="251"/>
      <c r="HZ46" s="251"/>
      <c r="IA46" s="251"/>
      <c r="IB46" s="251"/>
      <c r="IC46" s="251"/>
      <c r="ID46" s="251"/>
      <c r="IE46" s="251"/>
      <c r="IF46" s="251"/>
      <c r="IG46" s="251"/>
      <c r="IH46" s="251"/>
      <c r="II46" s="251"/>
      <c r="IJ46" s="251"/>
      <c r="IK46" s="251"/>
      <c r="IL46" s="251"/>
      <c r="IM46" s="251"/>
      <c r="IN46" s="251"/>
      <c r="IO46" s="251"/>
      <c r="IP46" s="251"/>
      <c r="IQ46" s="251"/>
      <c r="IR46" s="251"/>
      <c r="IS46" s="251"/>
      <c r="IT46" s="251"/>
      <c r="IU46" s="251"/>
      <c r="IV46" s="251"/>
      <c r="IW46" s="251"/>
      <c r="IX46" s="251"/>
      <c r="IY46" s="251"/>
      <c r="IZ46" s="251"/>
      <c r="JA46" s="251"/>
      <c r="JB46" s="251"/>
      <c r="JC46" s="251"/>
      <c r="JD46" s="251"/>
      <c r="JE46" s="251"/>
      <c r="JF46" s="251"/>
      <c r="JG46" s="251"/>
      <c r="JH46" s="251"/>
      <c r="JI46" s="283"/>
    </row>
    <row r="47" spans="1:269" ht="16.5">
      <c r="A47" s="447" t="s">
        <v>482</v>
      </c>
      <c r="B47" s="455">
        <v>3</v>
      </c>
      <c r="C47" s="456">
        <v>9</v>
      </c>
      <c r="D47" s="455">
        <v>4</v>
      </c>
      <c r="E47" s="455">
        <v>4</v>
      </c>
      <c r="F47" s="455">
        <v>8</v>
      </c>
      <c r="G47" s="452">
        <v>5</v>
      </c>
      <c r="H47" s="454">
        <v>29</v>
      </c>
      <c r="I47" s="454">
        <v>3</v>
      </c>
      <c r="J47" s="454">
        <v>4</v>
      </c>
      <c r="K47" s="457" t="s">
        <v>6</v>
      </c>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4"/>
      <c r="BM47" s="154"/>
      <c r="BN47" s="154"/>
      <c r="BO47" s="154"/>
      <c r="BP47" s="154"/>
      <c r="BQ47" s="154"/>
      <c r="BR47" s="154"/>
      <c r="BS47" s="154"/>
      <c r="BT47" s="154"/>
      <c r="BU47" s="154"/>
      <c r="BV47" s="154"/>
      <c r="BW47" s="154"/>
      <c r="BX47" s="154"/>
      <c r="BY47" s="154"/>
      <c r="BZ47" s="154"/>
      <c r="CA47" s="154"/>
      <c r="CB47" s="154"/>
      <c r="CC47" s="154"/>
      <c r="CD47" s="154"/>
      <c r="CE47" s="154"/>
      <c r="CF47" s="154"/>
      <c r="CG47" s="154"/>
      <c r="CH47" s="154"/>
      <c r="CI47" s="154"/>
      <c r="CJ47" s="154"/>
      <c r="CK47" s="154"/>
      <c r="CL47" s="154"/>
      <c r="CM47" s="154"/>
      <c r="CN47" s="154"/>
      <c r="CO47" s="154"/>
      <c r="CP47" s="154"/>
      <c r="CQ47" s="154"/>
      <c r="CR47" s="154"/>
      <c r="CS47" s="154"/>
      <c r="CT47" s="154"/>
      <c r="CU47" s="154"/>
      <c r="CV47" s="154"/>
      <c r="CW47" s="154"/>
      <c r="CX47" s="154"/>
      <c r="CY47" s="154"/>
      <c r="CZ47" s="154"/>
      <c r="DA47" s="154"/>
      <c r="DB47" s="154"/>
      <c r="DC47" s="154"/>
      <c r="DD47" s="154"/>
      <c r="DE47" s="154"/>
      <c r="DF47" s="154"/>
      <c r="DG47" s="154"/>
      <c r="DH47" s="154"/>
      <c r="DI47" s="154"/>
      <c r="DJ47" s="154"/>
      <c r="DK47" s="154"/>
      <c r="DL47" s="154"/>
      <c r="DM47" s="154"/>
      <c r="DN47" s="154"/>
      <c r="DO47" s="154"/>
      <c r="DP47" s="154"/>
      <c r="DQ47" s="154"/>
      <c r="DR47" s="154"/>
      <c r="DS47" s="154"/>
      <c r="DT47" s="154"/>
      <c r="DU47" s="154"/>
      <c r="DV47" s="154"/>
      <c r="DW47" s="154"/>
      <c r="DX47" s="154"/>
      <c r="DY47" s="154"/>
      <c r="DZ47" s="154"/>
      <c r="EA47" s="154"/>
      <c r="EB47" s="154"/>
      <c r="EC47" s="154"/>
      <c r="ED47" s="154"/>
      <c r="EE47" s="154"/>
      <c r="EF47" s="154"/>
      <c r="EG47" s="154"/>
      <c r="EH47" s="154"/>
      <c r="EI47" s="154"/>
      <c r="EJ47" s="154"/>
      <c r="EK47" s="154"/>
      <c r="EL47" s="154"/>
      <c r="EM47" s="154"/>
      <c r="EN47" s="154"/>
      <c r="EO47" s="154"/>
      <c r="EP47" s="154"/>
      <c r="EQ47" s="154"/>
      <c r="ER47" s="154"/>
      <c r="ES47" s="154"/>
      <c r="ET47" s="154"/>
      <c r="EU47" s="154"/>
      <c r="EV47" s="154"/>
      <c r="EW47" s="154"/>
      <c r="EX47" s="154"/>
      <c r="EY47" s="154"/>
      <c r="EZ47" s="154"/>
      <c r="FA47" s="154"/>
      <c r="FB47" s="154"/>
      <c r="FC47" s="154"/>
      <c r="FD47" s="154"/>
      <c r="FE47" s="154"/>
      <c r="FF47" s="154"/>
      <c r="FG47" s="154"/>
      <c r="FH47" s="154"/>
      <c r="FI47" s="154"/>
      <c r="FJ47" s="154"/>
      <c r="FK47" s="154"/>
      <c r="FL47" s="154"/>
      <c r="FM47" s="154"/>
      <c r="FN47" s="154"/>
      <c r="FO47" s="154"/>
      <c r="FP47" s="154"/>
      <c r="FQ47" s="154"/>
      <c r="FR47" s="154"/>
      <c r="FS47" s="154"/>
      <c r="FT47" s="154"/>
      <c r="FU47" s="154"/>
      <c r="FV47" s="154"/>
      <c r="FW47" s="154"/>
      <c r="FX47" s="154"/>
      <c r="FY47" s="154"/>
      <c r="FZ47" s="154"/>
      <c r="GA47" s="154"/>
      <c r="GB47" s="154"/>
      <c r="GC47" s="154"/>
      <c r="GD47" s="154"/>
      <c r="GE47" s="154"/>
      <c r="GF47" s="154"/>
      <c r="GG47" s="154"/>
      <c r="GH47" s="154"/>
      <c r="GI47" s="154"/>
      <c r="GJ47" s="154"/>
      <c r="GK47" s="154"/>
    </row>
    <row r="48" spans="1:269" ht="16.5">
      <c r="A48" s="447" t="s">
        <v>483</v>
      </c>
      <c r="B48" s="455">
        <v>2</v>
      </c>
      <c r="C48" s="456" t="s">
        <v>6</v>
      </c>
      <c r="D48" s="455">
        <v>2</v>
      </c>
      <c r="E48" s="456" t="s">
        <v>6</v>
      </c>
      <c r="F48" s="456" t="s">
        <v>6</v>
      </c>
      <c r="G48" s="452">
        <v>4</v>
      </c>
      <c r="H48" s="454" t="s">
        <v>6</v>
      </c>
      <c r="I48" s="454">
        <v>1</v>
      </c>
      <c r="J48" s="454" t="s">
        <v>6</v>
      </c>
      <c r="K48" s="457" t="s">
        <v>6</v>
      </c>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c r="CQ48" s="154"/>
      <c r="CR48" s="154"/>
      <c r="CS48" s="154"/>
      <c r="CT48" s="154"/>
      <c r="CU48" s="154"/>
      <c r="CV48" s="154"/>
      <c r="CW48" s="154"/>
      <c r="CX48" s="154"/>
      <c r="CY48" s="154"/>
      <c r="CZ48" s="154"/>
      <c r="DA48" s="154"/>
      <c r="DB48" s="154"/>
      <c r="DC48" s="154"/>
      <c r="DD48" s="154"/>
      <c r="DE48" s="154"/>
      <c r="DF48" s="154"/>
      <c r="DG48" s="154"/>
      <c r="DH48" s="154"/>
      <c r="DI48" s="154"/>
      <c r="DJ48" s="154"/>
      <c r="DK48" s="154"/>
      <c r="DL48" s="154"/>
      <c r="DM48" s="154"/>
      <c r="DN48" s="154"/>
      <c r="DO48" s="154"/>
      <c r="DP48" s="154"/>
      <c r="DQ48" s="154"/>
      <c r="DR48" s="154"/>
      <c r="DS48" s="154"/>
      <c r="DT48" s="154"/>
      <c r="DU48" s="154"/>
      <c r="DV48" s="154"/>
      <c r="DW48" s="154"/>
      <c r="DX48" s="154"/>
      <c r="DY48" s="154"/>
      <c r="DZ48" s="154"/>
      <c r="EA48" s="154"/>
      <c r="EB48" s="154"/>
      <c r="EC48" s="154"/>
      <c r="ED48" s="154"/>
      <c r="EE48" s="154"/>
      <c r="EF48" s="154"/>
      <c r="EG48" s="154"/>
      <c r="EH48" s="154"/>
      <c r="EI48" s="154"/>
      <c r="EJ48" s="154"/>
      <c r="EK48" s="154"/>
      <c r="EL48" s="154"/>
      <c r="EM48" s="154"/>
      <c r="EN48" s="154"/>
      <c r="EO48" s="154"/>
      <c r="EP48" s="154"/>
      <c r="EQ48" s="154"/>
      <c r="ER48" s="154"/>
      <c r="ES48" s="154"/>
      <c r="ET48" s="154"/>
      <c r="EU48" s="154"/>
      <c r="EV48" s="154"/>
      <c r="EW48" s="154"/>
      <c r="EX48" s="154"/>
      <c r="EY48" s="154"/>
      <c r="EZ48" s="154"/>
      <c r="FA48" s="154"/>
      <c r="FB48" s="154"/>
      <c r="FC48" s="154"/>
      <c r="FD48" s="154"/>
      <c r="FE48" s="154"/>
      <c r="FF48" s="154"/>
      <c r="FG48" s="154"/>
      <c r="FH48" s="154"/>
      <c r="FI48" s="154"/>
      <c r="FJ48" s="154"/>
      <c r="FK48" s="154"/>
      <c r="FL48" s="154"/>
      <c r="FM48" s="154"/>
      <c r="FN48" s="154"/>
      <c r="FO48" s="154"/>
      <c r="FP48" s="154"/>
      <c r="FQ48" s="154"/>
      <c r="FR48" s="154"/>
      <c r="FS48" s="154"/>
      <c r="FT48" s="154"/>
      <c r="FU48" s="154"/>
      <c r="FV48" s="154"/>
      <c r="FW48" s="154"/>
      <c r="FX48" s="154"/>
      <c r="FY48" s="154"/>
      <c r="FZ48" s="154"/>
      <c r="GA48" s="154"/>
      <c r="GB48" s="154"/>
      <c r="GC48" s="154"/>
      <c r="GD48" s="154"/>
      <c r="GE48" s="154"/>
      <c r="GF48" s="154"/>
      <c r="GG48" s="154"/>
      <c r="GH48" s="154"/>
      <c r="GI48" s="154"/>
      <c r="GJ48" s="154"/>
      <c r="GK48" s="154"/>
    </row>
    <row r="49" spans="1:193" ht="16.5">
      <c r="A49" s="449" t="s">
        <v>471</v>
      </c>
      <c r="B49" s="458">
        <v>8</v>
      </c>
      <c r="C49" s="458">
        <v>6</v>
      </c>
      <c r="D49" s="458">
        <v>7</v>
      </c>
      <c r="E49" s="458">
        <v>15</v>
      </c>
      <c r="F49" s="458">
        <v>11</v>
      </c>
      <c r="G49" s="459">
        <v>9</v>
      </c>
      <c r="H49" s="460">
        <v>18</v>
      </c>
      <c r="I49" s="460">
        <v>2</v>
      </c>
      <c r="J49" s="460" t="s">
        <v>6</v>
      </c>
      <c r="K49" s="461" t="s">
        <v>6</v>
      </c>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c r="BK49" s="154"/>
      <c r="BL49" s="154"/>
      <c r="BM49" s="154"/>
      <c r="BN49" s="154"/>
      <c r="BO49" s="154"/>
      <c r="BP49" s="154"/>
      <c r="BQ49" s="154"/>
      <c r="BR49" s="154"/>
      <c r="BS49" s="154"/>
      <c r="BT49" s="154"/>
      <c r="BU49" s="154"/>
      <c r="BV49" s="154"/>
      <c r="BW49" s="154"/>
      <c r="BX49" s="154"/>
      <c r="BY49" s="154"/>
      <c r="BZ49" s="154"/>
      <c r="CA49" s="154"/>
      <c r="CB49" s="154"/>
      <c r="CC49" s="154"/>
      <c r="CD49" s="154"/>
      <c r="CE49" s="154"/>
      <c r="CF49" s="154"/>
      <c r="CG49" s="154"/>
      <c r="CH49" s="154"/>
      <c r="CI49" s="154"/>
      <c r="CJ49" s="154"/>
      <c r="CK49" s="154"/>
      <c r="CL49" s="154"/>
      <c r="CM49" s="154"/>
      <c r="CN49" s="154"/>
      <c r="CO49" s="154"/>
      <c r="CP49" s="154"/>
      <c r="CQ49" s="154"/>
      <c r="CR49" s="154"/>
      <c r="CS49" s="154"/>
      <c r="CT49" s="154"/>
      <c r="CU49" s="154"/>
      <c r="CV49" s="154"/>
      <c r="CW49" s="154"/>
      <c r="CX49" s="154"/>
      <c r="CY49" s="154"/>
      <c r="CZ49" s="154"/>
      <c r="DA49" s="154"/>
      <c r="DB49" s="154"/>
      <c r="DC49" s="154"/>
      <c r="DD49" s="154"/>
      <c r="DE49" s="154"/>
      <c r="DF49" s="154"/>
      <c r="DG49" s="154"/>
      <c r="DH49" s="154"/>
      <c r="DI49" s="154"/>
      <c r="DJ49" s="154"/>
      <c r="DK49" s="154"/>
      <c r="DL49" s="154"/>
      <c r="DM49" s="154"/>
      <c r="DN49" s="154"/>
      <c r="DO49" s="154"/>
      <c r="DP49" s="154"/>
      <c r="DQ49" s="154"/>
      <c r="DR49" s="154"/>
      <c r="DS49" s="154"/>
      <c r="DT49" s="154"/>
      <c r="DU49" s="154"/>
      <c r="DV49" s="154"/>
      <c r="DW49" s="154"/>
      <c r="DX49" s="154"/>
      <c r="DY49" s="154"/>
      <c r="DZ49" s="154"/>
      <c r="EA49" s="154"/>
      <c r="EB49" s="154"/>
      <c r="EC49" s="154"/>
      <c r="ED49" s="154"/>
      <c r="EE49" s="154"/>
      <c r="EF49" s="154"/>
      <c r="EG49" s="154"/>
      <c r="EH49" s="154"/>
      <c r="EI49" s="154"/>
      <c r="EJ49" s="154"/>
      <c r="EK49" s="154"/>
      <c r="EL49" s="154"/>
      <c r="EM49" s="154"/>
      <c r="EN49" s="154"/>
      <c r="EO49" s="154"/>
      <c r="EP49" s="154"/>
      <c r="EQ49" s="154"/>
      <c r="ER49" s="154"/>
      <c r="ES49" s="154"/>
      <c r="ET49" s="154"/>
      <c r="EU49" s="154"/>
      <c r="EV49" s="154"/>
      <c r="EW49" s="154"/>
      <c r="EX49" s="154"/>
      <c r="EY49" s="154"/>
      <c r="EZ49" s="154"/>
      <c r="FA49" s="154"/>
      <c r="FB49" s="154"/>
      <c r="FC49" s="154"/>
      <c r="FD49" s="154"/>
      <c r="FE49" s="154"/>
      <c r="FF49" s="154"/>
      <c r="FG49" s="154"/>
      <c r="FH49" s="154"/>
      <c r="FI49" s="154"/>
      <c r="FJ49" s="154"/>
      <c r="FK49" s="154"/>
      <c r="FL49" s="154"/>
      <c r="FM49" s="154"/>
      <c r="FN49" s="154"/>
      <c r="FO49" s="154"/>
      <c r="FP49" s="154"/>
      <c r="FQ49" s="154"/>
      <c r="FR49" s="154"/>
      <c r="FS49" s="154"/>
      <c r="FT49" s="154"/>
      <c r="FU49" s="154"/>
      <c r="FV49" s="154"/>
      <c r="FW49" s="154"/>
      <c r="FX49" s="154"/>
      <c r="FY49" s="154"/>
      <c r="FZ49" s="154"/>
      <c r="GA49" s="154"/>
      <c r="GB49" s="154"/>
      <c r="GC49" s="154"/>
      <c r="GD49" s="154"/>
      <c r="GE49" s="154"/>
      <c r="GF49" s="154"/>
      <c r="GG49" s="154"/>
      <c r="GH49" s="154"/>
      <c r="GI49" s="154"/>
      <c r="GJ49" s="154"/>
      <c r="GK49" s="154"/>
    </row>
    <row r="50" spans="1:193" ht="19.5" customHeight="1">
      <c r="A50" s="446" t="s">
        <v>455</v>
      </c>
      <c r="H50" s="154"/>
      <c r="I50" s="154"/>
      <c r="J50" s="154"/>
      <c r="K50" s="154"/>
    </row>
  </sheetData>
  <sortState ref="A29:K49">
    <sortCondition descending="1" ref="K29:K49"/>
  </sortState>
  <mergeCells count="2">
    <mergeCell ref="A1:K1"/>
    <mergeCell ref="A26:K26"/>
  </mergeCells>
  <phoneticPr fontId="6" type="noConversion"/>
  <printOptions horizontalCentered="1" verticalCentered="1"/>
  <pageMargins left="0.70866141732283472" right="0.70866141732283472" top="0.74803149606299213" bottom="0.74803149606299213" header="0.31496062992125984" footer="0.31496062992125984"/>
  <pageSetup paperSize="11" scale="51" orientation="landscape" r:id="rId1"/>
  <headerFooter differentOddEven="1" scaleWithDoc="0">
    <oddHeader>&amp;L&amp;"Times New Roman,標準"&amp;8 107&amp;"標楷體,標準"年犯罪狀況及其分析</oddHeader>
    <evenHeader>&amp;R&amp;"標楷體,標準"&amp;8第一篇　&amp;"Times New Roman,標準"107&amp;"標楷體,標準"年犯罪狀況及近&amp;"Times New Roman,標準"10&amp;"標楷體,標準"年犯罪趨勢分析</evenHead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K17"/>
  <sheetViews>
    <sheetView showGridLines="0" workbookViewId="0">
      <selection activeCell="A155" sqref="A155:B155"/>
    </sheetView>
  </sheetViews>
  <sheetFormatPr defaultRowHeight="15.75"/>
  <cols>
    <col min="1" max="1" width="26.625" style="2673" customWidth="1"/>
    <col min="2" max="11" width="9.25" style="2673" customWidth="1"/>
    <col min="12" max="256" width="9" style="2673"/>
    <col min="257" max="257" width="26.625" style="2673" customWidth="1"/>
    <col min="258" max="267" width="9.25" style="2673" customWidth="1"/>
    <col min="268" max="512" width="9" style="2673"/>
    <col min="513" max="513" width="26.625" style="2673" customWidth="1"/>
    <col min="514" max="523" width="9.25" style="2673" customWidth="1"/>
    <col min="524" max="768" width="9" style="2673"/>
    <col min="769" max="769" width="26.625" style="2673" customWidth="1"/>
    <col min="770" max="779" width="9.25" style="2673" customWidth="1"/>
    <col min="780" max="1024" width="9" style="2673"/>
    <col min="1025" max="1025" width="26.625" style="2673" customWidth="1"/>
    <col min="1026" max="1035" width="9.25" style="2673" customWidth="1"/>
    <col min="1036" max="1280" width="9" style="2673"/>
    <col min="1281" max="1281" width="26.625" style="2673" customWidth="1"/>
    <col min="1282" max="1291" width="9.25" style="2673" customWidth="1"/>
    <col min="1292" max="1536" width="9" style="2673"/>
    <col min="1537" max="1537" width="26.625" style="2673" customWidth="1"/>
    <col min="1538" max="1547" width="9.25" style="2673" customWidth="1"/>
    <col min="1548" max="1792" width="9" style="2673"/>
    <col min="1793" max="1793" width="26.625" style="2673" customWidth="1"/>
    <col min="1794" max="1803" width="9.25" style="2673" customWidth="1"/>
    <col min="1804" max="2048" width="9" style="2673"/>
    <col min="2049" max="2049" width="26.625" style="2673" customWidth="1"/>
    <col min="2050" max="2059" width="9.25" style="2673" customWidth="1"/>
    <col min="2060" max="2304" width="9" style="2673"/>
    <col min="2305" max="2305" width="26.625" style="2673" customWidth="1"/>
    <col min="2306" max="2315" width="9.25" style="2673" customWidth="1"/>
    <col min="2316" max="2560" width="9" style="2673"/>
    <col min="2561" max="2561" width="26.625" style="2673" customWidth="1"/>
    <col min="2562" max="2571" width="9.25" style="2673" customWidth="1"/>
    <col min="2572" max="2816" width="9" style="2673"/>
    <col min="2817" max="2817" width="26.625" style="2673" customWidth="1"/>
    <col min="2818" max="2827" width="9.25" style="2673" customWidth="1"/>
    <col min="2828" max="3072" width="9" style="2673"/>
    <col min="3073" max="3073" width="26.625" style="2673" customWidth="1"/>
    <col min="3074" max="3083" width="9.25" style="2673" customWidth="1"/>
    <col min="3084" max="3328" width="9" style="2673"/>
    <col min="3329" max="3329" width="26.625" style="2673" customWidth="1"/>
    <col min="3330" max="3339" width="9.25" style="2673" customWidth="1"/>
    <col min="3340" max="3584" width="9" style="2673"/>
    <col min="3585" max="3585" width="26.625" style="2673" customWidth="1"/>
    <col min="3586" max="3595" width="9.25" style="2673" customWidth="1"/>
    <col min="3596" max="3840" width="9" style="2673"/>
    <col min="3841" max="3841" width="26.625" style="2673" customWidth="1"/>
    <col min="3842" max="3851" width="9.25" style="2673" customWidth="1"/>
    <col min="3852" max="4096" width="9" style="2673"/>
    <col min="4097" max="4097" width="26.625" style="2673" customWidth="1"/>
    <col min="4098" max="4107" width="9.25" style="2673" customWidth="1"/>
    <col min="4108" max="4352" width="9" style="2673"/>
    <col min="4353" max="4353" width="26.625" style="2673" customWidth="1"/>
    <col min="4354" max="4363" width="9.25" style="2673" customWidth="1"/>
    <col min="4364" max="4608" width="9" style="2673"/>
    <col min="4609" max="4609" width="26.625" style="2673" customWidth="1"/>
    <col min="4610" max="4619" width="9.25" style="2673" customWidth="1"/>
    <col min="4620" max="4864" width="9" style="2673"/>
    <col min="4865" max="4865" width="26.625" style="2673" customWidth="1"/>
    <col min="4866" max="4875" width="9.25" style="2673" customWidth="1"/>
    <col min="4876" max="5120" width="9" style="2673"/>
    <col min="5121" max="5121" width="26.625" style="2673" customWidth="1"/>
    <col min="5122" max="5131" width="9.25" style="2673" customWidth="1"/>
    <col min="5132" max="5376" width="9" style="2673"/>
    <col min="5377" max="5377" width="26.625" style="2673" customWidth="1"/>
    <col min="5378" max="5387" width="9.25" style="2673" customWidth="1"/>
    <col min="5388" max="5632" width="9" style="2673"/>
    <col min="5633" max="5633" width="26.625" style="2673" customWidth="1"/>
    <col min="5634" max="5643" width="9.25" style="2673" customWidth="1"/>
    <col min="5644" max="5888" width="9" style="2673"/>
    <col min="5889" max="5889" width="26.625" style="2673" customWidth="1"/>
    <col min="5890" max="5899" width="9.25" style="2673" customWidth="1"/>
    <col min="5900" max="6144" width="9" style="2673"/>
    <col min="6145" max="6145" width="26.625" style="2673" customWidth="1"/>
    <col min="6146" max="6155" width="9.25" style="2673" customWidth="1"/>
    <col min="6156" max="6400" width="9" style="2673"/>
    <col min="6401" max="6401" width="26.625" style="2673" customWidth="1"/>
    <col min="6402" max="6411" width="9.25" style="2673" customWidth="1"/>
    <col min="6412" max="6656" width="9" style="2673"/>
    <col min="6657" max="6657" width="26.625" style="2673" customWidth="1"/>
    <col min="6658" max="6667" width="9.25" style="2673" customWidth="1"/>
    <col min="6668" max="6912" width="9" style="2673"/>
    <col min="6913" max="6913" width="26.625" style="2673" customWidth="1"/>
    <col min="6914" max="6923" width="9.25" style="2673" customWidth="1"/>
    <col min="6924" max="7168" width="9" style="2673"/>
    <col min="7169" max="7169" width="26.625" style="2673" customWidth="1"/>
    <col min="7170" max="7179" width="9.25" style="2673" customWidth="1"/>
    <col min="7180" max="7424" width="9" style="2673"/>
    <col min="7425" max="7425" width="26.625" style="2673" customWidth="1"/>
    <col min="7426" max="7435" width="9.25" style="2673" customWidth="1"/>
    <col min="7436" max="7680" width="9" style="2673"/>
    <col min="7681" max="7681" width="26.625" style="2673" customWidth="1"/>
    <col min="7682" max="7691" width="9.25" style="2673" customWidth="1"/>
    <col min="7692" max="7936" width="9" style="2673"/>
    <col min="7937" max="7937" width="26.625" style="2673" customWidth="1"/>
    <col min="7938" max="7947" width="9.25" style="2673" customWidth="1"/>
    <col min="7948" max="8192" width="9" style="2673"/>
    <col min="8193" max="8193" width="26.625" style="2673" customWidth="1"/>
    <col min="8194" max="8203" width="9.25" style="2673" customWidth="1"/>
    <col min="8204" max="8448" width="9" style="2673"/>
    <col min="8449" max="8449" width="26.625" style="2673" customWidth="1"/>
    <col min="8450" max="8459" width="9.25" style="2673" customWidth="1"/>
    <col min="8460" max="8704" width="9" style="2673"/>
    <col min="8705" max="8705" width="26.625" style="2673" customWidth="1"/>
    <col min="8706" max="8715" width="9.25" style="2673" customWidth="1"/>
    <col min="8716" max="8960" width="9" style="2673"/>
    <col min="8961" max="8961" width="26.625" style="2673" customWidth="1"/>
    <col min="8962" max="8971" width="9.25" style="2673" customWidth="1"/>
    <col min="8972" max="9216" width="9" style="2673"/>
    <col min="9217" max="9217" width="26.625" style="2673" customWidth="1"/>
    <col min="9218" max="9227" width="9.25" style="2673" customWidth="1"/>
    <col min="9228" max="9472" width="9" style="2673"/>
    <col min="9473" max="9473" width="26.625" style="2673" customWidth="1"/>
    <col min="9474" max="9483" width="9.25" style="2673" customWidth="1"/>
    <col min="9484" max="9728" width="9" style="2673"/>
    <col min="9729" max="9729" width="26.625" style="2673" customWidth="1"/>
    <col min="9730" max="9739" width="9.25" style="2673" customWidth="1"/>
    <col min="9740" max="9984" width="9" style="2673"/>
    <col min="9985" max="9985" width="26.625" style="2673" customWidth="1"/>
    <col min="9986" max="9995" width="9.25" style="2673" customWidth="1"/>
    <col min="9996" max="10240" width="9" style="2673"/>
    <col min="10241" max="10241" width="26.625" style="2673" customWidth="1"/>
    <col min="10242" max="10251" width="9.25" style="2673" customWidth="1"/>
    <col min="10252" max="10496" width="9" style="2673"/>
    <col min="10497" max="10497" width="26.625" style="2673" customWidth="1"/>
    <col min="10498" max="10507" width="9.25" style="2673" customWidth="1"/>
    <col min="10508" max="10752" width="9" style="2673"/>
    <col min="10753" max="10753" width="26.625" style="2673" customWidth="1"/>
    <col min="10754" max="10763" width="9.25" style="2673" customWidth="1"/>
    <col min="10764" max="11008" width="9" style="2673"/>
    <col min="11009" max="11009" width="26.625" style="2673" customWidth="1"/>
    <col min="11010" max="11019" width="9.25" style="2673" customWidth="1"/>
    <col min="11020" max="11264" width="9" style="2673"/>
    <col min="11265" max="11265" width="26.625" style="2673" customWidth="1"/>
    <col min="11266" max="11275" width="9.25" style="2673" customWidth="1"/>
    <col min="11276" max="11520" width="9" style="2673"/>
    <col min="11521" max="11521" width="26.625" style="2673" customWidth="1"/>
    <col min="11522" max="11531" width="9.25" style="2673" customWidth="1"/>
    <col min="11532" max="11776" width="9" style="2673"/>
    <col min="11777" max="11777" width="26.625" style="2673" customWidth="1"/>
    <col min="11778" max="11787" width="9.25" style="2673" customWidth="1"/>
    <col min="11788" max="12032" width="9" style="2673"/>
    <col min="12033" max="12033" width="26.625" style="2673" customWidth="1"/>
    <col min="12034" max="12043" width="9.25" style="2673" customWidth="1"/>
    <col min="12044" max="12288" width="9" style="2673"/>
    <col min="12289" max="12289" width="26.625" style="2673" customWidth="1"/>
    <col min="12290" max="12299" width="9.25" style="2673" customWidth="1"/>
    <col min="12300" max="12544" width="9" style="2673"/>
    <col min="12545" max="12545" width="26.625" style="2673" customWidth="1"/>
    <col min="12546" max="12555" width="9.25" style="2673" customWidth="1"/>
    <col min="12556" max="12800" width="9" style="2673"/>
    <col min="12801" max="12801" width="26.625" style="2673" customWidth="1"/>
    <col min="12802" max="12811" width="9.25" style="2673" customWidth="1"/>
    <col min="12812" max="13056" width="9" style="2673"/>
    <col min="13057" max="13057" width="26.625" style="2673" customWidth="1"/>
    <col min="13058" max="13067" width="9.25" style="2673" customWidth="1"/>
    <col min="13068" max="13312" width="9" style="2673"/>
    <col min="13313" max="13313" width="26.625" style="2673" customWidth="1"/>
    <col min="13314" max="13323" width="9.25" style="2673" customWidth="1"/>
    <col min="13324" max="13568" width="9" style="2673"/>
    <col min="13569" max="13569" width="26.625" style="2673" customWidth="1"/>
    <col min="13570" max="13579" width="9.25" style="2673" customWidth="1"/>
    <col min="13580" max="13824" width="9" style="2673"/>
    <col min="13825" max="13825" width="26.625" style="2673" customWidth="1"/>
    <col min="13826" max="13835" width="9.25" style="2673" customWidth="1"/>
    <col min="13836" max="14080" width="9" style="2673"/>
    <col min="14081" max="14081" width="26.625" style="2673" customWidth="1"/>
    <col min="14082" max="14091" width="9.25" style="2673" customWidth="1"/>
    <col min="14092" max="14336" width="9" style="2673"/>
    <col min="14337" max="14337" width="26.625" style="2673" customWidth="1"/>
    <col min="14338" max="14347" width="9.25" style="2673" customWidth="1"/>
    <col min="14348" max="14592" width="9" style="2673"/>
    <col min="14593" max="14593" width="26.625" style="2673" customWidth="1"/>
    <col min="14594" max="14603" width="9.25" style="2673" customWidth="1"/>
    <col min="14604" max="14848" width="9" style="2673"/>
    <col min="14849" max="14849" width="26.625" style="2673" customWidth="1"/>
    <col min="14850" max="14859" width="9.25" style="2673" customWidth="1"/>
    <col min="14860" max="15104" width="9" style="2673"/>
    <col min="15105" max="15105" width="26.625" style="2673" customWidth="1"/>
    <col min="15106" max="15115" width="9.25" style="2673" customWidth="1"/>
    <col min="15116" max="15360" width="9" style="2673"/>
    <col min="15361" max="15361" width="26.625" style="2673" customWidth="1"/>
    <col min="15362" max="15371" width="9.25" style="2673" customWidth="1"/>
    <col min="15372" max="15616" width="9" style="2673"/>
    <col min="15617" max="15617" width="26.625" style="2673" customWidth="1"/>
    <col min="15618" max="15627" width="9.25" style="2673" customWidth="1"/>
    <col min="15628" max="15872" width="9" style="2673"/>
    <col min="15873" max="15873" width="26.625" style="2673" customWidth="1"/>
    <col min="15874" max="15883" width="9.25" style="2673" customWidth="1"/>
    <col min="15884" max="16128" width="9" style="2673"/>
    <col min="16129" max="16129" width="26.625" style="2673" customWidth="1"/>
    <col min="16130" max="16139" width="9.25" style="2673" customWidth="1"/>
    <col min="16140" max="16384" width="9" style="2673"/>
  </cols>
  <sheetData>
    <row r="1" spans="1:11" s="2670" customFormat="1" ht="29.25" customHeight="1">
      <c r="A1" s="4123" t="s">
        <v>4097</v>
      </c>
      <c r="B1" s="4123"/>
      <c r="C1" s="4123"/>
      <c r="D1" s="4123"/>
      <c r="E1" s="4123"/>
      <c r="F1" s="4123"/>
      <c r="G1" s="4123"/>
      <c r="H1" s="4123"/>
      <c r="I1" s="4123"/>
      <c r="J1" s="4123"/>
      <c r="K1" s="4123"/>
    </row>
    <row r="2" spans="1:11" s="2742" customFormat="1" ht="25.5" customHeight="1">
      <c r="A2" s="2739"/>
      <c r="B2" s="2740"/>
      <c r="C2" s="2740"/>
      <c r="D2" s="2740"/>
      <c r="E2" s="2740"/>
      <c r="F2" s="2740"/>
      <c r="G2" s="2740"/>
      <c r="H2" s="2740"/>
      <c r="I2" s="2740"/>
      <c r="J2" s="2740"/>
      <c r="K2" s="2741" t="s">
        <v>4098</v>
      </c>
    </row>
    <row r="3" spans="1:11" ht="30.75" customHeight="1">
      <c r="A3" s="4124" t="s">
        <v>4099</v>
      </c>
      <c r="B3" s="4124" t="s">
        <v>355</v>
      </c>
      <c r="C3" s="4121" t="s">
        <v>356</v>
      </c>
      <c r="D3" s="4121" t="s">
        <v>357</v>
      </c>
      <c r="E3" s="4121" t="s">
        <v>358</v>
      </c>
      <c r="F3" s="4121" t="s">
        <v>359</v>
      </c>
      <c r="G3" s="4121" t="s">
        <v>360</v>
      </c>
      <c r="H3" s="4121" t="s">
        <v>361</v>
      </c>
      <c r="I3" s="4121" t="s">
        <v>362</v>
      </c>
      <c r="J3" s="4121" t="s">
        <v>363</v>
      </c>
      <c r="K3" s="4121" t="s">
        <v>765</v>
      </c>
    </row>
    <row r="4" spans="1:11" ht="19.5" customHeight="1">
      <c r="A4" s="4125"/>
      <c r="B4" s="4129"/>
      <c r="C4" s="4122"/>
      <c r="D4" s="4122"/>
      <c r="E4" s="4122"/>
      <c r="F4" s="4122"/>
      <c r="G4" s="4122"/>
      <c r="H4" s="4122"/>
      <c r="I4" s="4122"/>
      <c r="J4" s="4122"/>
      <c r="K4" s="4122"/>
    </row>
    <row r="5" spans="1:11" ht="6" customHeight="1">
      <c r="A5" s="2674"/>
      <c r="B5" s="2675"/>
      <c r="C5" s="2675"/>
      <c r="D5" s="2675"/>
      <c r="E5" s="2675"/>
      <c r="F5" s="2675"/>
      <c r="G5" s="2675"/>
      <c r="H5" s="2675"/>
      <c r="I5" s="2675"/>
      <c r="J5" s="2675"/>
      <c r="K5" s="2675"/>
    </row>
    <row r="6" spans="1:11" ht="35.1" customHeight="1">
      <c r="A6" s="2743" t="s">
        <v>4100</v>
      </c>
      <c r="B6" s="2677">
        <f>SUM(B7:B15)</f>
        <v>817</v>
      </c>
      <c r="C6" s="2677">
        <f t="shared" ref="C6:J6" si="0">SUM(C7:C15)</f>
        <v>849</v>
      </c>
      <c r="D6" s="2677">
        <f t="shared" si="0"/>
        <v>935</v>
      </c>
      <c r="E6" s="2677">
        <f t="shared" si="0"/>
        <v>1032</v>
      </c>
      <c r="F6" s="2677">
        <f t="shared" si="0"/>
        <v>1196</v>
      </c>
      <c r="G6" s="2677">
        <f t="shared" si="0"/>
        <v>1073</v>
      </c>
      <c r="H6" s="2677">
        <f t="shared" si="0"/>
        <v>1178</v>
      </c>
      <c r="I6" s="2677">
        <f t="shared" si="0"/>
        <v>1352</v>
      </c>
      <c r="J6" s="2677">
        <f t="shared" si="0"/>
        <v>1345</v>
      </c>
      <c r="K6" s="2677">
        <f>SUM(K7:K15)</f>
        <v>1261</v>
      </c>
    </row>
    <row r="7" spans="1:11" ht="35.1" customHeight="1">
      <c r="A7" s="2743" t="s">
        <v>4101</v>
      </c>
      <c r="B7" s="2677">
        <v>57</v>
      </c>
      <c r="C7" s="2677">
        <v>56</v>
      </c>
      <c r="D7" s="2677">
        <v>67</v>
      </c>
      <c r="E7" s="2677">
        <v>78</v>
      </c>
      <c r="F7" s="2677">
        <v>65</v>
      </c>
      <c r="G7" s="2677">
        <v>64</v>
      </c>
      <c r="H7" s="2677">
        <v>63</v>
      </c>
      <c r="I7" s="2677">
        <v>60</v>
      </c>
      <c r="J7" s="2677">
        <v>59</v>
      </c>
      <c r="K7" s="2677">
        <v>69</v>
      </c>
    </row>
    <row r="8" spans="1:11" ht="35.1" customHeight="1">
      <c r="A8" s="2743" t="s">
        <v>4102</v>
      </c>
      <c r="B8" s="2677">
        <v>77</v>
      </c>
      <c r="C8" s="2677">
        <v>59</v>
      </c>
      <c r="D8" s="2677">
        <v>96</v>
      </c>
      <c r="E8" s="2677">
        <v>86</v>
      </c>
      <c r="F8" s="2677">
        <v>114</v>
      </c>
      <c r="G8" s="2677">
        <v>132</v>
      </c>
      <c r="H8" s="2677">
        <v>81</v>
      </c>
      <c r="I8" s="2677">
        <v>99</v>
      </c>
      <c r="J8" s="2677">
        <v>100</v>
      </c>
      <c r="K8" s="2677">
        <v>98</v>
      </c>
    </row>
    <row r="9" spans="1:11" ht="35.1" customHeight="1">
      <c r="A9" s="2743" t="s">
        <v>4103</v>
      </c>
      <c r="B9" s="2677">
        <v>130</v>
      </c>
      <c r="C9" s="2677">
        <v>126</v>
      </c>
      <c r="D9" s="2677">
        <v>140</v>
      </c>
      <c r="E9" s="2677">
        <v>117</v>
      </c>
      <c r="F9" s="2677">
        <v>117</v>
      </c>
      <c r="G9" s="2677">
        <v>112</v>
      </c>
      <c r="H9" s="2677">
        <v>120</v>
      </c>
      <c r="I9" s="2677">
        <v>77</v>
      </c>
      <c r="J9" s="2677">
        <v>126</v>
      </c>
      <c r="K9" s="2677">
        <v>114</v>
      </c>
    </row>
    <row r="10" spans="1:11" ht="35.1" customHeight="1">
      <c r="A10" s="2743" t="s">
        <v>4104</v>
      </c>
      <c r="B10" s="2677">
        <v>108</v>
      </c>
      <c r="C10" s="2677">
        <v>98</v>
      </c>
      <c r="D10" s="2677">
        <v>149</v>
      </c>
      <c r="E10" s="2677">
        <v>129</v>
      </c>
      <c r="F10" s="2677">
        <v>169</v>
      </c>
      <c r="G10" s="2677">
        <v>88</v>
      </c>
      <c r="H10" s="2677">
        <v>120</v>
      </c>
      <c r="I10" s="2677">
        <v>98</v>
      </c>
      <c r="J10" s="2677">
        <v>121</v>
      </c>
      <c r="K10" s="2677">
        <v>108</v>
      </c>
    </row>
    <row r="11" spans="1:11" ht="35.1" customHeight="1">
      <c r="A11" s="2743" t="s">
        <v>4105</v>
      </c>
      <c r="B11" s="2677">
        <v>136</v>
      </c>
      <c r="C11" s="2677">
        <v>140</v>
      </c>
      <c r="D11" s="2677">
        <v>183</v>
      </c>
      <c r="E11" s="2677">
        <v>209</v>
      </c>
      <c r="F11" s="2677">
        <v>203</v>
      </c>
      <c r="G11" s="2677">
        <v>173</v>
      </c>
      <c r="H11" s="2677">
        <v>151</v>
      </c>
      <c r="I11" s="2677">
        <v>219</v>
      </c>
      <c r="J11" s="2677">
        <v>171</v>
      </c>
      <c r="K11" s="2677">
        <v>175</v>
      </c>
    </row>
    <row r="12" spans="1:11" ht="35.1" customHeight="1">
      <c r="A12" s="2743" t="s">
        <v>4106</v>
      </c>
      <c r="B12" s="2677">
        <v>92</v>
      </c>
      <c r="C12" s="2677">
        <v>138</v>
      </c>
      <c r="D12" s="2677">
        <v>104</v>
      </c>
      <c r="E12" s="2677">
        <v>140</v>
      </c>
      <c r="F12" s="2677">
        <v>177</v>
      </c>
      <c r="G12" s="2677">
        <v>137</v>
      </c>
      <c r="H12" s="2677">
        <v>177</v>
      </c>
      <c r="I12" s="2677">
        <v>193</v>
      </c>
      <c r="J12" s="2677">
        <v>179</v>
      </c>
      <c r="K12" s="2677">
        <v>141</v>
      </c>
    </row>
    <row r="13" spans="1:11" ht="35.1" customHeight="1">
      <c r="A13" s="2743" t="s">
        <v>4107</v>
      </c>
      <c r="B13" s="2677">
        <v>85</v>
      </c>
      <c r="C13" s="2677">
        <v>69</v>
      </c>
      <c r="D13" s="2677">
        <v>55</v>
      </c>
      <c r="E13" s="2677">
        <v>84</v>
      </c>
      <c r="F13" s="2677">
        <v>113</v>
      </c>
      <c r="G13" s="2677">
        <v>113</v>
      </c>
      <c r="H13" s="2677">
        <v>126</v>
      </c>
      <c r="I13" s="2677">
        <v>168</v>
      </c>
      <c r="J13" s="2677">
        <v>123</v>
      </c>
      <c r="K13" s="2677">
        <v>113</v>
      </c>
    </row>
    <row r="14" spans="1:11" ht="35.1" customHeight="1">
      <c r="A14" s="2743" t="s">
        <v>4108</v>
      </c>
      <c r="B14" s="2677">
        <v>36</v>
      </c>
      <c r="C14" s="2677">
        <v>61</v>
      </c>
      <c r="D14" s="2677">
        <v>45</v>
      </c>
      <c r="E14" s="2677">
        <v>45</v>
      </c>
      <c r="F14" s="2677">
        <v>90</v>
      </c>
      <c r="G14" s="2677">
        <v>74</v>
      </c>
      <c r="H14" s="2677">
        <v>111</v>
      </c>
      <c r="I14" s="2677">
        <v>161</v>
      </c>
      <c r="J14" s="2677">
        <v>85</v>
      </c>
      <c r="K14" s="2677">
        <v>105</v>
      </c>
    </row>
    <row r="15" spans="1:11" ht="35.1" customHeight="1">
      <c r="A15" s="2743" t="s">
        <v>4109</v>
      </c>
      <c r="B15" s="2677">
        <v>96</v>
      </c>
      <c r="C15" s="2677">
        <v>102</v>
      </c>
      <c r="D15" s="2677">
        <v>96</v>
      </c>
      <c r="E15" s="2677">
        <v>144</v>
      </c>
      <c r="F15" s="2677">
        <v>148</v>
      </c>
      <c r="G15" s="2677">
        <v>180</v>
      </c>
      <c r="H15" s="2677">
        <v>229</v>
      </c>
      <c r="I15" s="2677">
        <v>277</v>
      </c>
      <c r="J15" s="2677">
        <v>381</v>
      </c>
      <c r="K15" s="2677">
        <v>338</v>
      </c>
    </row>
    <row r="16" spans="1:11" ht="6" customHeight="1">
      <c r="A16" s="2744"/>
      <c r="B16" s="2745"/>
      <c r="C16" s="2745"/>
      <c r="D16" s="2745"/>
      <c r="E16" s="2745"/>
      <c r="F16" s="2745"/>
      <c r="G16" s="2745"/>
      <c r="H16" s="2745"/>
      <c r="I16" s="2745"/>
      <c r="J16" s="2745"/>
      <c r="K16" s="2746"/>
    </row>
    <row r="17" spans="1:1">
      <c r="A17" s="2684" t="s">
        <v>784</v>
      </c>
    </row>
  </sheetData>
  <mergeCells count="12">
    <mergeCell ref="J3:J4"/>
    <mergeCell ref="K3:K4"/>
    <mergeCell ref="A1:K1"/>
    <mergeCell ref="A3:A4"/>
    <mergeCell ref="B3:B4"/>
    <mergeCell ref="C3:C4"/>
    <mergeCell ref="D3:D4"/>
    <mergeCell ref="E3:E4"/>
    <mergeCell ref="F3:F4"/>
    <mergeCell ref="G3:G4"/>
    <mergeCell ref="H3:H4"/>
    <mergeCell ref="I3:I4"/>
  </mergeCells>
  <phoneticPr fontId="61" type="noConversion"/>
  <printOptions horizontalCentered="1" verticalCentered="1"/>
  <pageMargins left="0.70866141732283472" right="0.70866141732283472" top="0.74803149606299213" bottom="0.74803149606299213" header="0.31496062992125984" footer="0.31496062992125984"/>
  <pageSetup paperSize="11" scale="68" orientation="landscape" r:id="rId1"/>
  <headerFooter differentOddEven="1" scaleWithDoc="0">
    <oddHeader>&amp;L&amp;"Times New Roman,標準"&amp;8 107&amp;"標楷體,標準"年犯罪狀況及其分析</oddHeader>
    <evenHeader>&amp;R&amp;"標楷體,標準"&amp;8第五篇　犯罪被害趨勢、保護與補償</evenHead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K16"/>
  <sheetViews>
    <sheetView showGridLines="0" workbookViewId="0">
      <selection activeCell="A155" sqref="A155:B155"/>
    </sheetView>
  </sheetViews>
  <sheetFormatPr defaultRowHeight="15.75"/>
  <cols>
    <col min="1" max="1" width="24" style="2673" customWidth="1"/>
    <col min="2" max="11" width="9.5" style="2673" customWidth="1"/>
    <col min="12" max="256" width="9" style="2673"/>
    <col min="257" max="257" width="24" style="2673" customWidth="1"/>
    <col min="258" max="267" width="9.5" style="2673" customWidth="1"/>
    <col min="268" max="512" width="9" style="2673"/>
    <col min="513" max="513" width="24" style="2673" customWidth="1"/>
    <col min="514" max="523" width="9.5" style="2673" customWidth="1"/>
    <col min="524" max="768" width="9" style="2673"/>
    <col min="769" max="769" width="24" style="2673" customWidth="1"/>
    <col min="770" max="779" width="9.5" style="2673" customWidth="1"/>
    <col min="780" max="1024" width="9" style="2673"/>
    <col min="1025" max="1025" width="24" style="2673" customWidth="1"/>
    <col min="1026" max="1035" width="9.5" style="2673" customWidth="1"/>
    <col min="1036" max="1280" width="9" style="2673"/>
    <col min="1281" max="1281" width="24" style="2673" customWidth="1"/>
    <col min="1282" max="1291" width="9.5" style="2673" customWidth="1"/>
    <col min="1292" max="1536" width="9" style="2673"/>
    <col min="1537" max="1537" width="24" style="2673" customWidth="1"/>
    <col min="1538" max="1547" width="9.5" style="2673" customWidth="1"/>
    <col min="1548" max="1792" width="9" style="2673"/>
    <col min="1793" max="1793" width="24" style="2673" customWidth="1"/>
    <col min="1794" max="1803" width="9.5" style="2673" customWidth="1"/>
    <col min="1804" max="2048" width="9" style="2673"/>
    <col min="2049" max="2049" width="24" style="2673" customWidth="1"/>
    <col min="2050" max="2059" width="9.5" style="2673" customWidth="1"/>
    <col min="2060" max="2304" width="9" style="2673"/>
    <col min="2305" max="2305" width="24" style="2673" customWidth="1"/>
    <col min="2306" max="2315" width="9.5" style="2673" customWidth="1"/>
    <col min="2316" max="2560" width="9" style="2673"/>
    <col min="2561" max="2561" width="24" style="2673" customWidth="1"/>
    <col min="2562" max="2571" width="9.5" style="2673" customWidth="1"/>
    <col min="2572" max="2816" width="9" style="2673"/>
    <col min="2817" max="2817" width="24" style="2673" customWidth="1"/>
    <col min="2818" max="2827" width="9.5" style="2673" customWidth="1"/>
    <col min="2828" max="3072" width="9" style="2673"/>
    <col min="3073" max="3073" width="24" style="2673" customWidth="1"/>
    <col min="3074" max="3083" width="9.5" style="2673" customWidth="1"/>
    <col min="3084" max="3328" width="9" style="2673"/>
    <col min="3329" max="3329" width="24" style="2673" customWidth="1"/>
    <col min="3330" max="3339" width="9.5" style="2673" customWidth="1"/>
    <col min="3340" max="3584" width="9" style="2673"/>
    <col min="3585" max="3585" width="24" style="2673" customWidth="1"/>
    <col min="3586" max="3595" width="9.5" style="2673" customWidth="1"/>
    <col min="3596" max="3840" width="9" style="2673"/>
    <col min="3841" max="3841" width="24" style="2673" customWidth="1"/>
    <col min="3842" max="3851" width="9.5" style="2673" customWidth="1"/>
    <col min="3852" max="4096" width="9" style="2673"/>
    <col min="4097" max="4097" width="24" style="2673" customWidth="1"/>
    <col min="4098" max="4107" width="9.5" style="2673" customWidth="1"/>
    <col min="4108" max="4352" width="9" style="2673"/>
    <col min="4353" max="4353" width="24" style="2673" customWidth="1"/>
    <col min="4354" max="4363" width="9.5" style="2673" customWidth="1"/>
    <col min="4364" max="4608" width="9" style="2673"/>
    <col min="4609" max="4609" width="24" style="2673" customWidth="1"/>
    <col min="4610" max="4619" width="9.5" style="2673" customWidth="1"/>
    <col min="4620" max="4864" width="9" style="2673"/>
    <col min="4865" max="4865" width="24" style="2673" customWidth="1"/>
    <col min="4866" max="4875" width="9.5" style="2673" customWidth="1"/>
    <col min="4876" max="5120" width="9" style="2673"/>
    <col min="5121" max="5121" width="24" style="2673" customWidth="1"/>
    <col min="5122" max="5131" width="9.5" style="2673" customWidth="1"/>
    <col min="5132" max="5376" width="9" style="2673"/>
    <col min="5377" max="5377" width="24" style="2673" customWidth="1"/>
    <col min="5378" max="5387" width="9.5" style="2673" customWidth="1"/>
    <col min="5388" max="5632" width="9" style="2673"/>
    <col min="5633" max="5633" width="24" style="2673" customWidth="1"/>
    <col min="5634" max="5643" width="9.5" style="2673" customWidth="1"/>
    <col min="5644" max="5888" width="9" style="2673"/>
    <col min="5889" max="5889" width="24" style="2673" customWidth="1"/>
    <col min="5890" max="5899" width="9.5" style="2673" customWidth="1"/>
    <col min="5900" max="6144" width="9" style="2673"/>
    <col min="6145" max="6145" width="24" style="2673" customWidth="1"/>
    <col min="6146" max="6155" width="9.5" style="2673" customWidth="1"/>
    <col min="6156" max="6400" width="9" style="2673"/>
    <col min="6401" max="6401" width="24" style="2673" customWidth="1"/>
    <col min="6402" max="6411" width="9.5" style="2673" customWidth="1"/>
    <col min="6412" max="6656" width="9" style="2673"/>
    <col min="6657" max="6657" width="24" style="2673" customWidth="1"/>
    <col min="6658" max="6667" width="9.5" style="2673" customWidth="1"/>
    <col min="6668" max="6912" width="9" style="2673"/>
    <col min="6913" max="6913" width="24" style="2673" customWidth="1"/>
    <col min="6914" max="6923" width="9.5" style="2673" customWidth="1"/>
    <col min="6924" max="7168" width="9" style="2673"/>
    <col min="7169" max="7169" width="24" style="2673" customWidth="1"/>
    <col min="7170" max="7179" width="9.5" style="2673" customWidth="1"/>
    <col min="7180" max="7424" width="9" style="2673"/>
    <col min="7425" max="7425" width="24" style="2673" customWidth="1"/>
    <col min="7426" max="7435" width="9.5" style="2673" customWidth="1"/>
    <col min="7436" max="7680" width="9" style="2673"/>
    <col min="7681" max="7681" width="24" style="2673" customWidth="1"/>
    <col min="7682" max="7691" width="9.5" style="2673" customWidth="1"/>
    <col min="7692" max="7936" width="9" style="2673"/>
    <col min="7937" max="7937" width="24" style="2673" customWidth="1"/>
    <col min="7938" max="7947" width="9.5" style="2673" customWidth="1"/>
    <col min="7948" max="8192" width="9" style="2673"/>
    <col min="8193" max="8193" width="24" style="2673" customWidth="1"/>
    <col min="8194" max="8203" width="9.5" style="2673" customWidth="1"/>
    <col min="8204" max="8448" width="9" style="2673"/>
    <col min="8449" max="8449" width="24" style="2673" customWidth="1"/>
    <col min="8450" max="8459" width="9.5" style="2673" customWidth="1"/>
    <col min="8460" max="8704" width="9" style="2673"/>
    <col min="8705" max="8705" width="24" style="2673" customWidth="1"/>
    <col min="8706" max="8715" width="9.5" style="2673" customWidth="1"/>
    <col min="8716" max="8960" width="9" style="2673"/>
    <col min="8961" max="8961" width="24" style="2673" customWidth="1"/>
    <col min="8962" max="8971" width="9.5" style="2673" customWidth="1"/>
    <col min="8972" max="9216" width="9" style="2673"/>
    <col min="9217" max="9217" width="24" style="2673" customWidth="1"/>
    <col min="9218" max="9227" width="9.5" style="2673" customWidth="1"/>
    <col min="9228" max="9472" width="9" style="2673"/>
    <col min="9473" max="9473" width="24" style="2673" customWidth="1"/>
    <col min="9474" max="9483" width="9.5" style="2673" customWidth="1"/>
    <col min="9484" max="9728" width="9" style="2673"/>
    <col min="9729" max="9729" width="24" style="2673" customWidth="1"/>
    <col min="9730" max="9739" width="9.5" style="2673" customWidth="1"/>
    <col min="9740" max="9984" width="9" style="2673"/>
    <col min="9985" max="9985" width="24" style="2673" customWidth="1"/>
    <col min="9986" max="9995" width="9.5" style="2673" customWidth="1"/>
    <col min="9996" max="10240" width="9" style="2673"/>
    <col min="10241" max="10241" width="24" style="2673" customWidth="1"/>
    <col min="10242" max="10251" width="9.5" style="2673" customWidth="1"/>
    <col min="10252" max="10496" width="9" style="2673"/>
    <col min="10497" max="10497" width="24" style="2673" customWidth="1"/>
    <col min="10498" max="10507" width="9.5" style="2673" customWidth="1"/>
    <col min="10508" max="10752" width="9" style="2673"/>
    <col min="10753" max="10753" width="24" style="2673" customWidth="1"/>
    <col min="10754" max="10763" width="9.5" style="2673" customWidth="1"/>
    <col min="10764" max="11008" width="9" style="2673"/>
    <col min="11009" max="11009" width="24" style="2673" customWidth="1"/>
    <col min="11010" max="11019" width="9.5" style="2673" customWidth="1"/>
    <col min="11020" max="11264" width="9" style="2673"/>
    <col min="11265" max="11265" width="24" style="2673" customWidth="1"/>
    <col min="11266" max="11275" width="9.5" style="2673" customWidth="1"/>
    <col min="11276" max="11520" width="9" style="2673"/>
    <col min="11521" max="11521" width="24" style="2673" customWidth="1"/>
    <col min="11522" max="11531" width="9.5" style="2673" customWidth="1"/>
    <col min="11532" max="11776" width="9" style="2673"/>
    <col min="11777" max="11777" width="24" style="2673" customWidth="1"/>
    <col min="11778" max="11787" width="9.5" style="2673" customWidth="1"/>
    <col min="11788" max="12032" width="9" style="2673"/>
    <col min="12033" max="12033" width="24" style="2673" customWidth="1"/>
    <col min="12034" max="12043" width="9.5" style="2673" customWidth="1"/>
    <col min="12044" max="12288" width="9" style="2673"/>
    <col min="12289" max="12289" width="24" style="2673" customWidth="1"/>
    <col min="12290" max="12299" width="9.5" style="2673" customWidth="1"/>
    <col min="12300" max="12544" width="9" style="2673"/>
    <col min="12545" max="12545" width="24" style="2673" customWidth="1"/>
    <col min="12546" max="12555" width="9.5" style="2673" customWidth="1"/>
    <col min="12556" max="12800" width="9" style="2673"/>
    <col min="12801" max="12801" width="24" style="2673" customWidth="1"/>
    <col min="12802" max="12811" width="9.5" style="2673" customWidth="1"/>
    <col min="12812" max="13056" width="9" style="2673"/>
    <col min="13057" max="13057" width="24" style="2673" customWidth="1"/>
    <col min="13058" max="13067" width="9.5" style="2673" customWidth="1"/>
    <col min="13068" max="13312" width="9" style="2673"/>
    <col min="13313" max="13313" width="24" style="2673" customWidth="1"/>
    <col min="13314" max="13323" width="9.5" style="2673" customWidth="1"/>
    <col min="13324" max="13568" width="9" style="2673"/>
    <col min="13569" max="13569" width="24" style="2673" customWidth="1"/>
    <col min="13570" max="13579" width="9.5" style="2673" customWidth="1"/>
    <col min="13580" max="13824" width="9" style="2673"/>
    <col min="13825" max="13825" width="24" style="2673" customWidth="1"/>
    <col min="13826" max="13835" width="9.5" style="2673" customWidth="1"/>
    <col min="13836" max="14080" width="9" style="2673"/>
    <col min="14081" max="14081" width="24" style="2673" customWidth="1"/>
    <col min="14082" max="14091" width="9.5" style="2673" customWidth="1"/>
    <col min="14092" max="14336" width="9" style="2673"/>
    <col min="14337" max="14337" width="24" style="2673" customWidth="1"/>
    <col min="14338" max="14347" width="9.5" style="2673" customWidth="1"/>
    <col min="14348" max="14592" width="9" style="2673"/>
    <col min="14593" max="14593" width="24" style="2673" customWidth="1"/>
    <col min="14594" max="14603" width="9.5" style="2673" customWidth="1"/>
    <col min="14604" max="14848" width="9" style="2673"/>
    <col min="14849" max="14849" width="24" style="2673" customWidth="1"/>
    <col min="14850" max="14859" width="9.5" style="2673" customWidth="1"/>
    <col min="14860" max="15104" width="9" style="2673"/>
    <col min="15105" max="15105" width="24" style="2673" customWidth="1"/>
    <col min="15106" max="15115" width="9.5" style="2673" customWidth="1"/>
    <col min="15116" max="15360" width="9" style="2673"/>
    <col min="15361" max="15361" width="24" style="2673" customWidth="1"/>
    <col min="15362" max="15371" width="9.5" style="2673" customWidth="1"/>
    <col min="15372" max="15616" width="9" style="2673"/>
    <col min="15617" max="15617" width="24" style="2673" customWidth="1"/>
    <col min="15618" max="15627" width="9.5" style="2673" customWidth="1"/>
    <col min="15628" max="15872" width="9" style="2673"/>
    <col min="15873" max="15873" width="24" style="2673" customWidth="1"/>
    <col min="15874" max="15883" width="9.5" style="2673" customWidth="1"/>
    <col min="15884" max="16128" width="9" style="2673"/>
    <col min="16129" max="16129" width="24" style="2673" customWidth="1"/>
    <col min="16130" max="16139" width="9.5" style="2673" customWidth="1"/>
    <col min="16140" max="16384" width="9" style="2673"/>
  </cols>
  <sheetData>
    <row r="1" spans="1:11" s="2670" customFormat="1" ht="29.25" customHeight="1">
      <c r="A1" s="4123" t="s">
        <v>4110</v>
      </c>
      <c r="B1" s="4123"/>
      <c r="C1" s="4123"/>
      <c r="D1" s="4123"/>
      <c r="E1" s="4123"/>
      <c r="F1" s="4123"/>
      <c r="G1" s="4123"/>
      <c r="H1" s="4123"/>
      <c r="I1" s="4123"/>
      <c r="J1" s="4123"/>
      <c r="K1" s="4123"/>
    </row>
    <row r="2" spans="1:11" s="2742" customFormat="1" ht="24.75" customHeight="1">
      <c r="A2" s="2739"/>
      <c r="B2" s="2740"/>
      <c r="C2" s="2740"/>
      <c r="D2" s="2740"/>
      <c r="E2" s="2740"/>
      <c r="F2" s="2740"/>
      <c r="G2" s="2740"/>
      <c r="H2" s="2740"/>
      <c r="I2" s="2740"/>
      <c r="J2" s="2740"/>
      <c r="K2" s="2747" t="s">
        <v>4111</v>
      </c>
    </row>
    <row r="3" spans="1:11" ht="30.75" customHeight="1">
      <c r="A3" s="4124" t="s">
        <v>4112</v>
      </c>
      <c r="B3" s="4124" t="s">
        <v>355</v>
      </c>
      <c r="C3" s="4121" t="s">
        <v>356</v>
      </c>
      <c r="D3" s="4121" t="s">
        <v>357</v>
      </c>
      <c r="E3" s="4121" t="s">
        <v>358</v>
      </c>
      <c r="F3" s="4121" t="s">
        <v>359</v>
      </c>
      <c r="G3" s="4121" t="s">
        <v>360</v>
      </c>
      <c r="H3" s="4121" t="s">
        <v>361</v>
      </c>
      <c r="I3" s="4121" t="s">
        <v>362</v>
      </c>
      <c r="J3" s="4121" t="s">
        <v>363</v>
      </c>
      <c r="K3" s="4121" t="s">
        <v>765</v>
      </c>
    </row>
    <row r="4" spans="1:11" ht="19.5" customHeight="1">
      <c r="A4" s="4125"/>
      <c r="B4" s="4129"/>
      <c r="C4" s="4122"/>
      <c r="D4" s="4122"/>
      <c r="E4" s="4122"/>
      <c r="F4" s="4122"/>
      <c r="G4" s="4122"/>
      <c r="H4" s="4122"/>
      <c r="I4" s="4122"/>
      <c r="J4" s="4122"/>
      <c r="K4" s="4122"/>
    </row>
    <row r="5" spans="1:11" ht="6" customHeight="1">
      <c r="A5" s="2674"/>
      <c r="B5" s="2675"/>
      <c r="C5" s="2675"/>
      <c r="D5" s="2675"/>
      <c r="E5" s="2675"/>
      <c r="F5" s="2675"/>
      <c r="G5" s="2675"/>
      <c r="H5" s="2675"/>
      <c r="I5" s="2675"/>
      <c r="J5" s="2675"/>
      <c r="K5" s="2675"/>
    </row>
    <row r="6" spans="1:11" ht="40.9" customHeight="1">
      <c r="A6" s="2743" t="s">
        <v>4113</v>
      </c>
      <c r="B6" s="2693">
        <f>SUM(B7:B14)</f>
        <v>1160</v>
      </c>
      <c r="C6" s="2693">
        <f t="shared" ref="C6:K6" si="0">SUM(C7:C14)</f>
        <v>1140</v>
      </c>
      <c r="D6" s="2693">
        <f t="shared" si="0"/>
        <v>1152</v>
      </c>
      <c r="E6" s="2693">
        <f t="shared" si="0"/>
        <v>1310</v>
      </c>
      <c r="F6" s="2693">
        <f t="shared" si="0"/>
        <v>1474</v>
      </c>
      <c r="G6" s="2693">
        <f t="shared" si="0"/>
        <v>1262</v>
      </c>
      <c r="H6" s="2693">
        <f t="shared" si="0"/>
        <v>1366</v>
      </c>
      <c r="I6" s="2693">
        <f t="shared" si="0"/>
        <v>1726</v>
      </c>
      <c r="J6" s="2693">
        <f t="shared" si="0"/>
        <v>1572</v>
      </c>
      <c r="K6" s="2693">
        <f t="shared" si="0"/>
        <v>1519</v>
      </c>
    </row>
    <row r="7" spans="1:11" ht="40.9" customHeight="1">
      <c r="A7" s="2743" t="s">
        <v>4114</v>
      </c>
      <c r="B7" s="2693">
        <v>224</v>
      </c>
      <c r="C7" s="2693">
        <v>382</v>
      </c>
      <c r="D7" s="2693">
        <v>498</v>
      </c>
      <c r="E7" s="2693">
        <v>555</v>
      </c>
      <c r="F7" s="2693">
        <v>574</v>
      </c>
      <c r="G7" s="2693">
        <v>530</v>
      </c>
      <c r="H7" s="2693">
        <v>637</v>
      </c>
      <c r="I7" s="2693">
        <v>743</v>
      </c>
      <c r="J7" s="2693">
        <v>765</v>
      </c>
      <c r="K7" s="2693">
        <v>726</v>
      </c>
    </row>
    <row r="8" spans="1:11" ht="40.9" customHeight="1">
      <c r="A8" s="2743" t="s">
        <v>4115</v>
      </c>
      <c r="B8" s="2693">
        <v>348</v>
      </c>
      <c r="C8" s="2693">
        <v>286</v>
      </c>
      <c r="D8" s="2693">
        <v>235</v>
      </c>
      <c r="E8" s="2693">
        <v>259</v>
      </c>
      <c r="F8" s="2693">
        <v>327</v>
      </c>
      <c r="G8" s="2693">
        <v>279</v>
      </c>
      <c r="H8" s="2693">
        <v>268</v>
      </c>
      <c r="I8" s="2693">
        <v>355</v>
      </c>
      <c r="J8" s="2693">
        <v>290</v>
      </c>
      <c r="K8" s="2693">
        <v>292</v>
      </c>
    </row>
    <row r="9" spans="1:11" ht="40.9" customHeight="1">
      <c r="A9" s="2748" t="s">
        <v>4116</v>
      </c>
      <c r="B9" s="2693">
        <v>143</v>
      </c>
      <c r="C9" s="2693">
        <v>101</v>
      </c>
      <c r="D9" s="2693">
        <v>80</v>
      </c>
      <c r="E9" s="2693">
        <v>94</v>
      </c>
      <c r="F9" s="2693">
        <v>104</v>
      </c>
      <c r="G9" s="2693">
        <v>98</v>
      </c>
      <c r="H9" s="2693">
        <v>83</v>
      </c>
      <c r="I9" s="2693">
        <v>109</v>
      </c>
      <c r="J9" s="2693">
        <v>93</v>
      </c>
      <c r="K9" s="2693">
        <v>89</v>
      </c>
    </row>
    <row r="10" spans="1:11" ht="40.9" customHeight="1">
      <c r="A10" s="2743" t="s">
        <v>4117</v>
      </c>
      <c r="B10" s="2693">
        <v>405</v>
      </c>
      <c r="C10" s="2693">
        <v>345</v>
      </c>
      <c r="D10" s="2693">
        <v>308</v>
      </c>
      <c r="E10" s="2693">
        <v>374</v>
      </c>
      <c r="F10" s="2693">
        <v>434</v>
      </c>
      <c r="G10" s="2693">
        <v>320</v>
      </c>
      <c r="H10" s="2693">
        <v>347</v>
      </c>
      <c r="I10" s="2693">
        <v>441</v>
      </c>
      <c r="J10" s="2693">
        <v>392</v>
      </c>
      <c r="K10" s="2693">
        <v>382</v>
      </c>
    </row>
    <row r="11" spans="1:11" ht="40.9" customHeight="1">
      <c r="A11" s="2743" t="s">
        <v>4118</v>
      </c>
      <c r="B11" s="2693">
        <v>5</v>
      </c>
      <c r="C11" s="2693">
        <v>1</v>
      </c>
      <c r="D11" s="2693">
        <v>3</v>
      </c>
      <c r="E11" s="2693">
        <v>2</v>
      </c>
      <c r="F11" s="2693">
        <v>8</v>
      </c>
      <c r="G11" s="2693">
        <v>6</v>
      </c>
      <c r="H11" s="2693">
        <v>1</v>
      </c>
      <c r="I11" s="2693">
        <v>27</v>
      </c>
      <c r="J11" s="2693">
        <v>6</v>
      </c>
      <c r="K11" s="2693">
        <v>1</v>
      </c>
    </row>
    <row r="12" spans="1:11" ht="40.9" customHeight="1">
      <c r="A12" s="2748" t="s">
        <v>4119</v>
      </c>
      <c r="B12" s="2693">
        <v>2</v>
      </c>
      <c r="C12" s="2693" t="s">
        <v>3249</v>
      </c>
      <c r="D12" s="2693">
        <v>1</v>
      </c>
      <c r="E12" s="2693">
        <v>1</v>
      </c>
      <c r="F12" s="2693" t="s">
        <v>3854</v>
      </c>
      <c r="G12" s="2693" t="s">
        <v>3845</v>
      </c>
      <c r="H12" s="2693" t="s">
        <v>3249</v>
      </c>
      <c r="I12" s="2693">
        <v>1</v>
      </c>
      <c r="J12" s="2693">
        <v>1</v>
      </c>
      <c r="K12" s="2693" t="s">
        <v>3249</v>
      </c>
    </row>
    <row r="13" spans="1:11" ht="40.9" customHeight="1">
      <c r="A13" s="2743" t="s">
        <v>4120</v>
      </c>
      <c r="B13" s="2693">
        <v>32</v>
      </c>
      <c r="C13" s="2693">
        <v>24</v>
      </c>
      <c r="D13" s="2693">
        <v>27</v>
      </c>
      <c r="E13" s="2693">
        <v>24</v>
      </c>
      <c r="F13" s="2693">
        <v>18</v>
      </c>
      <c r="G13" s="2693">
        <v>28</v>
      </c>
      <c r="H13" s="2693">
        <v>26</v>
      </c>
      <c r="I13" s="2693">
        <v>41</v>
      </c>
      <c r="J13" s="2693">
        <v>23</v>
      </c>
      <c r="K13" s="2693">
        <v>20</v>
      </c>
    </row>
    <row r="14" spans="1:11" ht="40.9" customHeight="1">
      <c r="A14" s="2743" t="s">
        <v>4121</v>
      </c>
      <c r="B14" s="2693">
        <v>1</v>
      </c>
      <c r="C14" s="2693">
        <v>1</v>
      </c>
      <c r="D14" s="2693" t="s">
        <v>3249</v>
      </c>
      <c r="E14" s="2693">
        <v>1</v>
      </c>
      <c r="F14" s="2693">
        <v>9</v>
      </c>
      <c r="G14" s="2693">
        <v>1</v>
      </c>
      <c r="H14" s="2693">
        <v>4</v>
      </c>
      <c r="I14" s="2693">
        <v>9</v>
      </c>
      <c r="J14" s="2693">
        <v>2</v>
      </c>
      <c r="K14" s="2693">
        <v>9</v>
      </c>
    </row>
    <row r="15" spans="1:11" ht="6" customHeight="1">
      <c r="A15" s="2744"/>
      <c r="B15" s="2698"/>
      <c r="C15" s="2698"/>
      <c r="D15" s="2698"/>
      <c r="E15" s="2698"/>
      <c r="F15" s="2698"/>
      <c r="G15" s="2698"/>
      <c r="H15" s="2698"/>
      <c r="I15" s="2698"/>
      <c r="J15" s="2698"/>
      <c r="K15" s="2699"/>
    </row>
    <row r="16" spans="1:11">
      <c r="A16" s="2749" t="s">
        <v>1117</v>
      </c>
    </row>
  </sheetData>
  <mergeCells count="12">
    <mergeCell ref="J3:J4"/>
    <mergeCell ref="K3:K4"/>
    <mergeCell ref="A1:K1"/>
    <mergeCell ref="A3:A4"/>
    <mergeCell ref="B3:B4"/>
    <mergeCell ref="C3:C4"/>
    <mergeCell ref="D3:D4"/>
    <mergeCell ref="E3:E4"/>
    <mergeCell ref="F3:F4"/>
    <mergeCell ref="G3:G4"/>
    <mergeCell ref="H3:H4"/>
    <mergeCell ref="I3:I4"/>
  </mergeCells>
  <phoneticPr fontId="61" type="noConversion"/>
  <printOptions horizontalCentered="1" verticalCentered="1"/>
  <pageMargins left="0.70866141732283472" right="0.70866141732283472" top="0.74803149606299213" bottom="0.74803149606299213" header="0.31496062992125984" footer="0.31496062992125984"/>
  <pageSetup paperSize="11" scale="65" orientation="landscape" r:id="rId1"/>
  <headerFooter differentOddEven="1" scaleWithDoc="0">
    <oddHeader>&amp;L&amp;"Times New Roman,標準"&amp;8 107&amp;"標楷體,標準"年犯罪狀況及其分析</oddHeader>
    <evenHeader>&amp;R&amp;"標楷體,標準"&amp;8第五篇　犯罪被害趨勢、保護與補償</evenHead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M15"/>
  <sheetViews>
    <sheetView showGridLines="0" workbookViewId="0">
      <selection activeCell="A155" sqref="A155:B155"/>
    </sheetView>
  </sheetViews>
  <sheetFormatPr defaultRowHeight="15.75"/>
  <cols>
    <col min="1" max="1" width="11.5" style="2673" customWidth="1"/>
    <col min="2" max="9" width="10.375" style="2673" customWidth="1"/>
    <col min="10" max="10" width="10.875" style="2673" customWidth="1"/>
    <col min="11" max="13" width="10.375" style="2673" customWidth="1"/>
    <col min="14" max="253" width="9" style="2673"/>
    <col min="254" max="254" width="11.5" style="2673" customWidth="1"/>
    <col min="255" max="255" width="3.125" style="2673" customWidth="1"/>
    <col min="256" max="263" width="10.375" style="2673" customWidth="1"/>
    <col min="264" max="264" width="10.875" style="2673" customWidth="1"/>
    <col min="265" max="266" width="10.375" style="2673" customWidth="1"/>
    <col min="267" max="509" width="9" style="2673"/>
    <col min="510" max="510" width="11.5" style="2673" customWidth="1"/>
    <col min="511" max="511" width="3.125" style="2673" customWidth="1"/>
    <col min="512" max="519" width="10.375" style="2673" customWidth="1"/>
    <col min="520" max="520" width="10.875" style="2673" customWidth="1"/>
    <col min="521" max="522" width="10.375" style="2673" customWidth="1"/>
    <col min="523" max="765" width="9" style="2673"/>
    <col min="766" max="766" width="11.5" style="2673" customWidth="1"/>
    <col min="767" max="767" width="3.125" style="2673" customWidth="1"/>
    <col min="768" max="775" width="10.375" style="2673" customWidth="1"/>
    <col min="776" max="776" width="10.875" style="2673" customWidth="1"/>
    <col min="777" max="778" width="10.375" style="2673" customWidth="1"/>
    <col min="779" max="1021" width="9" style="2673"/>
    <col min="1022" max="1022" width="11.5" style="2673" customWidth="1"/>
    <col min="1023" max="1023" width="3.125" style="2673" customWidth="1"/>
    <col min="1024" max="1031" width="10.375" style="2673" customWidth="1"/>
    <col min="1032" max="1032" width="10.875" style="2673" customWidth="1"/>
    <col min="1033" max="1034" width="10.375" style="2673" customWidth="1"/>
    <col min="1035" max="1277" width="9" style="2673"/>
    <col min="1278" max="1278" width="11.5" style="2673" customWidth="1"/>
    <col min="1279" max="1279" width="3.125" style="2673" customWidth="1"/>
    <col min="1280" max="1287" width="10.375" style="2673" customWidth="1"/>
    <col min="1288" max="1288" width="10.875" style="2673" customWidth="1"/>
    <col min="1289" max="1290" width="10.375" style="2673" customWidth="1"/>
    <col min="1291" max="1533" width="9" style="2673"/>
    <col min="1534" max="1534" width="11.5" style="2673" customWidth="1"/>
    <col min="1535" max="1535" width="3.125" style="2673" customWidth="1"/>
    <col min="1536" max="1543" width="10.375" style="2673" customWidth="1"/>
    <col min="1544" max="1544" width="10.875" style="2673" customWidth="1"/>
    <col min="1545" max="1546" width="10.375" style="2673" customWidth="1"/>
    <col min="1547" max="1789" width="9" style="2673"/>
    <col min="1790" max="1790" width="11.5" style="2673" customWidth="1"/>
    <col min="1791" max="1791" width="3.125" style="2673" customWidth="1"/>
    <col min="1792" max="1799" width="10.375" style="2673" customWidth="1"/>
    <col min="1800" max="1800" width="10.875" style="2673" customWidth="1"/>
    <col min="1801" max="1802" width="10.375" style="2673" customWidth="1"/>
    <col min="1803" max="2045" width="9" style="2673"/>
    <col min="2046" max="2046" width="11.5" style="2673" customWidth="1"/>
    <col min="2047" max="2047" width="3.125" style="2673" customWidth="1"/>
    <col min="2048" max="2055" width="10.375" style="2673" customWidth="1"/>
    <col min="2056" max="2056" width="10.875" style="2673" customWidth="1"/>
    <col min="2057" max="2058" width="10.375" style="2673" customWidth="1"/>
    <col min="2059" max="2301" width="9" style="2673"/>
    <col min="2302" max="2302" width="11.5" style="2673" customWidth="1"/>
    <col min="2303" max="2303" width="3.125" style="2673" customWidth="1"/>
    <col min="2304" max="2311" width="10.375" style="2673" customWidth="1"/>
    <col min="2312" max="2312" width="10.875" style="2673" customWidth="1"/>
    <col min="2313" max="2314" width="10.375" style="2673" customWidth="1"/>
    <col min="2315" max="2557" width="9" style="2673"/>
    <col min="2558" max="2558" width="11.5" style="2673" customWidth="1"/>
    <col min="2559" max="2559" width="3.125" style="2673" customWidth="1"/>
    <col min="2560" max="2567" width="10.375" style="2673" customWidth="1"/>
    <col min="2568" max="2568" width="10.875" style="2673" customWidth="1"/>
    <col min="2569" max="2570" width="10.375" style="2673" customWidth="1"/>
    <col min="2571" max="2813" width="9" style="2673"/>
    <col min="2814" max="2814" width="11.5" style="2673" customWidth="1"/>
    <col min="2815" max="2815" width="3.125" style="2673" customWidth="1"/>
    <col min="2816" max="2823" width="10.375" style="2673" customWidth="1"/>
    <col min="2824" max="2824" width="10.875" style="2673" customWidth="1"/>
    <col min="2825" max="2826" width="10.375" style="2673" customWidth="1"/>
    <col min="2827" max="3069" width="9" style="2673"/>
    <col min="3070" max="3070" width="11.5" style="2673" customWidth="1"/>
    <col min="3071" max="3071" width="3.125" style="2673" customWidth="1"/>
    <col min="3072" max="3079" width="10.375" style="2673" customWidth="1"/>
    <col min="3080" max="3080" width="10.875" style="2673" customWidth="1"/>
    <col min="3081" max="3082" width="10.375" style="2673" customWidth="1"/>
    <col min="3083" max="3325" width="9" style="2673"/>
    <col min="3326" max="3326" width="11.5" style="2673" customWidth="1"/>
    <col min="3327" max="3327" width="3.125" style="2673" customWidth="1"/>
    <col min="3328" max="3335" width="10.375" style="2673" customWidth="1"/>
    <col min="3336" max="3336" width="10.875" style="2673" customWidth="1"/>
    <col min="3337" max="3338" width="10.375" style="2673" customWidth="1"/>
    <col min="3339" max="3581" width="9" style="2673"/>
    <col min="3582" max="3582" width="11.5" style="2673" customWidth="1"/>
    <col min="3583" max="3583" width="3.125" style="2673" customWidth="1"/>
    <col min="3584" max="3591" width="10.375" style="2673" customWidth="1"/>
    <col min="3592" max="3592" width="10.875" style="2673" customWidth="1"/>
    <col min="3593" max="3594" width="10.375" style="2673" customWidth="1"/>
    <col min="3595" max="3837" width="9" style="2673"/>
    <col min="3838" max="3838" width="11.5" style="2673" customWidth="1"/>
    <col min="3839" max="3839" width="3.125" style="2673" customWidth="1"/>
    <col min="3840" max="3847" width="10.375" style="2673" customWidth="1"/>
    <col min="3848" max="3848" width="10.875" style="2673" customWidth="1"/>
    <col min="3849" max="3850" width="10.375" style="2673" customWidth="1"/>
    <col min="3851" max="4093" width="9" style="2673"/>
    <col min="4094" max="4094" width="11.5" style="2673" customWidth="1"/>
    <col min="4095" max="4095" width="3.125" style="2673" customWidth="1"/>
    <col min="4096" max="4103" width="10.375" style="2673" customWidth="1"/>
    <col min="4104" max="4104" width="10.875" style="2673" customWidth="1"/>
    <col min="4105" max="4106" width="10.375" style="2673" customWidth="1"/>
    <col min="4107" max="4349" width="9" style="2673"/>
    <col min="4350" max="4350" width="11.5" style="2673" customWidth="1"/>
    <col min="4351" max="4351" width="3.125" style="2673" customWidth="1"/>
    <col min="4352" max="4359" width="10.375" style="2673" customWidth="1"/>
    <col min="4360" max="4360" width="10.875" style="2673" customWidth="1"/>
    <col min="4361" max="4362" width="10.375" style="2673" customWidth="1"/>
    <col min="4363" max="4605" width="9" style="2673"/>
    <col min="4606" max="4606" width="11.5" style="2673" customWidth="1"/>
    <col min="4607" max="4607" width="3.125" style="2673" customWidth="1"/>
    <col min="4608" max="4615" width="10.375" style="2673" customWidth="1"/>
    <col min="4616" max="4616" width="10.875" style="2673" customWidth="1"/>
    <col min="4617" max="4618" width="10.375" style="2673" customWidth="1"/>
    <col min="4619" max="4861" width="9" style="2673"/>
    <col min="4862" max="4862" width="11.5" style="2673" customWidth="1"/>
    <col min="4863" max="4863" width="3.125" style="2673" customWidth="1"/>
    <col min="4864" max="4871" width="10.375" style="2673" customWidth="1"/>
    <col min="4872" max="4872" width="10.875" style="2673" customWidth="1"/>
    <col min="4873" max="4874" width="10.375" style="2673" customWidth="1"/>
    <col min="4875" max="5117" width="9" style="2673"/>
    <col min="5118" max="5118" width="11.5" style="2673" customWidth="1"/>
    <col min="5119" max="5119" width="3.125" style="2673" customWidth="1"/>
    <col min="5120" max="5127" width="10.375" style="2673" customWidth="1"/>
    <col min="5128" max="5128" width="10.875" style="2673" customWidth="1"/>
    <col min="5129" max="5130" width="10.375" style="2673" customWidth="1"/>
    <col min="5131" max="5373" width="9" style="2673"/>
    <col min="5374" max="5374" width="11.5" style="2673" customWidth="1"/>
    <col min="5375" max="5375" width="3.125" style="2673" customWidth="1"/>
    <col min="5376" max="5383" width="10.375" style="2673" customWidth="1"/>
    <col min="5384" max="5384" width="10.875" style="2673" customWidth="1"/>
    <col min="5385" max="5386" width="10.375" style="2673" customWidth="1"/>
    <col min="5387" max="5629" width="9" style="2673"/>
    <col min="5630" max="5630" width="11.5" style="2673" customWidth="1"/>
    <col min="5631" max="5631" width="3.125" style="2673" customWidth="1"/>
    <col min="5632" max="5639" width="10.375" style="2673" customWidth="1"/>
    <col min="5640" max="5640" width="10.875" style="2673" customWidth="1"/>
    <col min="5641" max="5642" width="10.375" style="2673" customWidth="1"/>
    <col min="5643" max="5885" width="9" style="2673"/>
    <col min="5886" max="5886" width="11.5" style="2673" customWidth="1"/>
    <col min="5887" max="5887" width="3.125" style="2673" customWidth="1"/>
    <col min="5888" max="5895" width="10.375" style="2673" customWidth="1"/>
    <col min="5896" max="5896" width="10.875" style="2673" customWidth="1"/>
    <col min="5897" max="5898" width="10.375" style="2673" customWidth="1"/>
    <col min="5899" max="6141" width="9" style="2673"/>
    <col min="6142" max="6142" width="11.5" style="2673" customWidth="1"/>
    <col min="6143" max="6143" width="3.125" style="2673" customWidth="1"/>
    <col min="6144" max="6151" width="10.375" style="2673" customWidth="1"/>
    <col min="6152" max="6152" width="10.875" style="2673" customWidth="1"/>
    <col min="6153" max="6154" width="10.375" style="2673" customWidth="1"/>
    <col min="6155" max="6397" width="9" style="2673"/>
    <col min="6398" max="6398" width="11.5" style="2673" customWidth="1"/>
    <col min="6399" max="6399" width="3.125" style="2673" customWidth="1"/>
    <col min="6400" max="6407" width="10.375" style="2673" customWidth="1"/>
    <col min="6408" max="6408" width="10.875" style="2673" customWidth="1"/>
    <col min="6409" max="6410" width="10.375" style="2673" customWidth="1"/>
    <col min="6411" max="6653" width="9" style="2673"/>
    <col min="6654" max="6654" width="11.5" style="2673" customWidth="1"/>
    <col min="6655" max="6655" width="3.125" style="2673" customWidth="1"/>
    <col min="6656" max="6663" width="10.375" style="2673" customWidth="1"/>
    <col min="6664" max="6664" width="10.875" style="2673" customWidth="1"/>
    <col min="6665" max="6666" width="10.375" style="2673" customWidth="1"/>
    <col min="6667" max="6909" width="9" style="2673"/>
    <col min="6910" max="6910" width="11.5" style="2673" customWidth="1"/>
    <col min="6911" max="6911" width="3.125" style="2673" customWidth="1"/>
    <col min="6912" max="6919" width="10.375" style="2673" customWidth="1"/>
    <col min="6920" max="6920" width="10.875" style="2673" customWidth="1"/>
    <col min="6921" max="6922" width="10.375" style="2673" customWidth="1"/>
    <col min="6923" max="7165" width="9" style="2673"/>
    <col min="7166" max="7166" width="11.5" style="2673" customWidth="1"/>
    <col min="7167" max="7167" width="3.125" style="2673" customWidth="1"/>
    <col min="7168" max="7175" width="10.375" style="2673" customWidth="1"/>
    <col min="7176" max="7176" width="10.875" style="2673" customWidth="1"/>
    <col min="7177" max="7178" width="10.375" style="2673" customWidth="1"/>
    <col min="7179" max="7421" width="9" style="2673"/>
    <col min="7422" max="7422" width="11.5" style="2673" customWidth="1"/>
    <col min="7423" max="7423" width="3.125" style="2673" customWidth="1"/>
    <col min="7424" max="7431" width="10.375" style="2673" customWidth="1"/>
    <col min="7432" max="7432" width="10.875" style="2673" customWidth="1"/>
    <col min="7433" max="7434" width="10.375" style="2673" customWidth="1"/>
    <col min="7435" max="7677" width="9" style="2673"/>
    <col min="7678" max="7678" width="11.5" style="2673" customWidth="1"/>
    <col min="7679" max="7679" width="3.125" style="2673" customWidth="1"/>
    <col min="7680" max="7687" width="10.375" style="2673" customWidth="1"/>
    <col min="7688" max="7688" width="10.875" style="2673" customWidth="1"/>
    <col min="7689" max="7690" width="10.375" style="2673" customWidth="1"/>
    <col min="7691" max="7933" width="9" style="2673"/>
    <col min="7934" max="7934" width="11.5" style="2673" customWidth="1"/>
    <col min="7935" max="7935" width="3.125" style="2673" customWidth="1"/>
    <col min="7936" max="7943" width="10.375" style="2673" customWidth="1"/>
    <col min="7944" max="7944" width="10.875" style="2673" customWidth="1"/>
    <col min="7945" max="7946" width="10.375" style="2673" customWidth="1"/>
    <col min="7947" max="8189" width="9" style="2673"/>
    <col min="8190" max="8190" width="11.5" style="2673" customWidth="1"/>
    <col min="8191" max="8191" width="3.125" style="2673" customWidth="1"/>
    <col min="8192" max="8199" width="10.375" style="2673" customWidth="1"/>
    <col min="8200" max="8200" width="10.875" style="2673" customWidth="1"/>
    <col min="8201" max="8202" width="10.375" style="2673" customWidth="1"/>
    <col min="8203" max="8445" width="9" style="2673"/>
    <col min="8446" max="8446" width="11.5" style="2673" customWidth="1"/>
    <col min="8447" max="8447" width="3.125" style="2673" customWidth="1"/>
    <col min="8448" max="8455" width="10.375" style="2673" customWidth="1"/>
    <col min="8456" max="8456" width="10.875" style="2673" customWidth="1"/>
    <col min="8457" max="8458" width="10.375" style="2673" customWidth="1"/>
    <col min="8459" max="8701" width="9" style="2673"/>
    <col min="8702" max="8702" width="11.5" style="2673" customWidth="1"/>
    <col min="8703" max="8703" width="3.125" style="2673" customWidth="1"/>
    <col min="8704" max="8711" width="10.375" style="2673" customWidth="1"/>
    <col min="8712" max="8712" width="10.875" style="2673" customWidth="1"/>
    <col min="8713" max="8714" width="10.375" style="2673" customWidth="1"/>
    <col min="8715" max="8957" width="9" style="2673"/>
    <col min="8958" max="8958" width="11.5" style="2673" customWidth="1"/>
    <col min="8959" max="8959" width="3.125" style="2673" customWidth="1"/>
    <col min="8960" max="8967" width="10.375" style="2673" customWidth="1"/>
    <col min="8968" max="8968" width="10.875" style="2673" customWidth="1"/>
    <col min="8969" max="8970" width="10.375" style="2673" customWidth="1"/>
    <col min="8971" max="9213" width="9" style="2673"/>
    <col min="9214" max="9214" width="11.5" style="2673" customWidth="1"/>
    <col min="9215" max="9215" width="3.125" style="2673" customWidth="1"/>
    <col min="9216" max="9223" width="10.375" style="2673" customWidth="1"/>
    <col min="9224" max="9224" width="10.875" style="2673" customWidth="1"/>
    <col min="9225" max="9226" width="10.375" style="2673" customWidth="1"/>
    <col min="9227" max="9469" width="9" style="2673"/>
    <col min="9470" max="9470" width="11.5" style="2673" customWidth="1"/>
    <col min="9471" max="9471" width="3.125" style="2673" customWidth="1"/>
    <col min="9472" max="9479" width="10.375" style="2673" customWidth="1"/>
    <col min="9480" max="9480" width="10.875" style="2673" customWidth="1"/>
    <col min="9481" max="9482" width="10.375" style="2673" customWidth="1"/>
    <col min="9483" max="9725" width="9" style="2673"/>
    <col min="9726" max="9726" width="11.5" style="2673" customWidth="1"/>
    <col min="9727" max="9727" width="3.125" style="2673" customWidth="1"/>
    <col min="9728" max="9735" width="10.375" style="2673" customWidth="1"/>
    <col min="9736" max="9736" width="10.875" style="2673" customWidth="1"/>
    <col min="9737" max="9738" width="10.375" style="2673" customWidth="1"/>
    <col min="9739" max="9981" width="9" style="2673"/>
    <col min="9982" max="9982" width="11.5" style="2673" customWidth="1"/>
    <col min="9983" max="9983" width="3.125" style="2673" customWidth="1"/>
    <col min="9984" max="9991" width="10.375" style="2673" customWidth="1"/>
    <col min="9992" max="9992" width="10.875" style="2673" customWidth="1"/>
    <col min="9993" max="9994" width="10.375" style="2673" customWidth="1"/>
    <col min="9995" max="10237" width="9" style="2673"/>
    <col min="10238" max="10238" width="11.5" style="2673" customWidth="1"/>
    <col min="10239" max="10239" width="3.125" style="2673" customWidth="1"/>
    <col min="10240" max="10247" width="10.375" style="2673" customWidth="1"/>
    <col min="10248" max="10248" width="10.875" style="2673" customWidth="1"/>
    <col min="10249" max="10250" width="10.375" style="2673" customWidth="1"/>
    <col min="10251" max="10493" width="9" style="2673"/>
    <col min="10494" max="10494" width="11.5" style="2673" customWidth="1"/>
    <col min="10495" max="10495" width="3.125" style="2673" customWidth="1"/>
    <col min="10496" max="10503" width="10.375" style="2673" customWidth="1"/>
    <col min="10504" max="10504" width="10.875" style="2673" customWidth="1"/>
    <col min="10505" max="10506" width="10.375" style="2673" customWidth="1"/>
    <col min="10507" max="10749" width="9" style="2673"/>
    <col min="10750" max="10750" width="11.5" style="2673" customWidth="1"/>
    <col min="10751" max="10751" width="3.125" style="2673" customWidth="1"/>
    <col min="10752" max="10759" width="10.375" style="2673" customWidth="1"/>
    <col min="10760" max="10760" width="10.875" style="2673" customWidth="1"/>
    <col min="10761" max="10762" width="10.375" style="2673" customWidth="1"/>
    <col min="10763" max="11005" width="9" style="2673"/>
    <col min="11006" max="11006" width="11.5" style="2673" customWidth="1"/>
    <col min="11007" max="11007" width="3.125" style="2673" customWidth="1"/>
    <col min="11008" max="11015" width="10.375" style="2673" customWidth="1"/>
    <col min="11016" max="11016" width="10.875" style="2673" customWidth="1"/>
    <col min="11017" max="11018" width="10.375" style="2673" customWidth="1"/>
    <col min="11019" max="11261" width="9" style="2673"/>
    <col min="11262" max="11262" width="11.5" style="2673" customWidth="1"/>
    <col min="11263" max="11263" width="3.125" style="2673" customWidth="1"/>
    <col min="11264" max="11271" width="10.375" style="2673" customWidth="1"/>
    <col min="11272" max="11272" width="10.875" style="2673" customWidth="1"/>
    <col min="11273" max="11274" width="10.375" style="2673" customWidth="1"/>
    <col min="11275" max="11517" width="9" style="2673"/>
    <col min="11518" max="11518" width="11.5" style="2673" customWidth="1"/>
    <col min="11519" max="11519" width="3.125" style="2673" customWidth="1"/>
    <col min="11520" max="11527" width="10.375" style="2673" customWidth="1"/>
    <col min="11528" max="11528" width="10.875" style="2673" customWidth="1"/>
    <col min="11529" max="11530" width="10.375" style="2673" customWidth="1"/>
    <col min="11531" max="11773" width="9" style="2673"/>
    <col min="11774" max="11774" width="11.5" style="2673" customWidth="1"/>
    <col min="11775" max="11775" width="3.125" style="2673" customWidth="1"/>
    <col min="11776" max="11783" width="10.375" style="2673" customWidth="1"/>
    <col min="11784" max="11784" width="10.875" style="2673" customWidth="1"/>
    <col min="11785" max="11786" width="10.375" style="2673" customWidth="1"/>
    <col min="11787" max="12029" width="9" style="2673"/>
    <col min="12030" max="12030" width="11.5" style="2673" customWidth="1"/>
    <col min="12031" max="12031" width="3.125" style="2673" customWidth="1"/>
    <col min="12032" max="12039" width="10.375" style="2673" customWidth="1"/>
    <col min="12040" max="12040" width="10.875" style="2673" customWidth="1"/>
    <col min="12041" max="12042" width="10.375" style="2673" customWidth="1"/>
    <col min="12043" max="12285" width="9" style="2673"/>
    <col min="12286" max="12286" width="11.5" style="2673" customWidth="1"/>
    <col min="12287" max="12287" width="3.125" style="2673" customWidth="1"/>
    <col min="12288" max="12295" width="10.375" style="2673" customWidth="1"/>
    <col min="12296" max="12296" width="10.875" style="2673" customWidth="1"/>
    <col min="12297" max="12298" width="10.375" style="2673" customWidth="1"/>
    <col min="12299" max="12541" width="9" style="2673"/>
    <col min="12542" max="12542" width="11.5" style="2673" customWidth="1"/>
    <col min="12543" max="12543" width="3.125" style="2673" customWidth="1"/>
    <col min="12544" max="12551" width="10.375" style="2673" customWidth="1"/>
    <col min="12552" max="12552" width="10.875" style="2673" customWidth="1"/>
    <col min="12553" max="12554" width="10.375" style="2673" customWidth="1"/>
    <col min="12555" max="12797" width="9" style="2673"/>
    <col min="12798" max="12798" width="11.5" style="2673" customWidth="1"/>
    <col min="12799" max="12799" width="3.125" style="2673" customWidth="1"/>
    <col min="12800" max="12807" width="10.375" style="2673" customWidth="1"/>
    <col min="12808" max="12808" width="10.875" style="2673" customWidth="1"/>
    <col min="12809" max="12810" width="10.375" style="2673" customWidth="1"/>
    <col min="12811" max="13053" width="9" style="2673"/>
    <col min="13054" max="13054" width="11.5" style="2673" customWidth="1"/>
    <col min="13055" max="13055" width="3.125" style="2673" customWidth="1"/>
    <col min="13056" max="13063" width="10.375" style="2673" customWidth="1"/>
    <col min="13064" max="13064" width="10.875" style="2673" customWidth="1"/>
    <col min="13065" max="13066" width="10.375" style="2673" customWidth="1"/>
    <col min="13067" max="13309" width="9" style="2673"/>
    <col min="13310" max="13310" width="11.5" style="2673" customWidth="1"/>
    <col min="13311" max="13311" width="3.125" style="2673" customWidth="1"/>
    <col min="13312" max="13319" width="10.375" style="2673" customWidth="1"/>
    <col min="13320" max="13320" width="10.875" style="2673" customWidth="1"/>
    <col min="13321" max="13322" width="10.375" style="2673" customWidth="1"/>
    <col min="13323" max="13565" width="9" style="2673"/>
    <col min="13566" max="13566" width="11.5" style="2673" customWidth="1"/>
    <col min="13567" max="13567" width="3.125" style="2673" customWidth="1"/>
    <col min="13568" max="13575" width="10.375" style="2673" customWidth="1"/>
    <col min="13576" max="13576" width="10.875" style="2673" customWidth="1"/>
    <col min="13577" max="13578" width="10.375" style="2673" customWidth="1"/>
    <col min="13579" max="13821" width="9" style="2673"/>
    <col min="13822" max="13822" width="11.5" style="2673" customWidth="1"/>
    <col min="13823" max="13823" width="3.125" style="2673" customWidth="1"/>
    <col min="13824" max="13831" width="10.375" style="2673" customWidth="1"/>
    <col min="13832" max="13832" width="10.875" style="2673" customWidth="1"/>
    <col min="13833" max="13834" width="10.375" style="2673" customWidth="1"/>
    <col min="13835" max="14077" width="9" style="2673"/>
    <col min="14078" max="14078" width="11.5" style="2673" customWidth="1"/>
    <col min="14079" max="14079" width="3.125" style="2673" customWidth="1"/>
    <col min="14080" max="14087" width="10.375" style="2673" customWidth="1"/>
    <col min="14088" max="14088" width="10.875" style="2673" customWidth="1"/>
    <col min="14089" max="14090" width="10.375" style="2673" customWidth="1"/>
    <col min="14091" max="14333" width="9" style="2673"/>
    <col min="14334" max="14334" width="11.5" style="2673" customWidth="1"/>
    <col min="14335" max="14335" width="3.125" style="2673" customWidth="1"/>
    <col min="14336" max="14343" width="10.375" style="2673" customWidth="1"/>
    <col min="14344" max="14344" width="10.875" style="2673" customWidth="1"/>
    <col min="14345" max="14346" width="10.375" style="2673" customWidth="1"/>
    <col min="14347" max="14589" width="9" style="2673"/>
    <col min="14590" max="14590" width="11.5" style="2673" customWidth="1"/>
    <col min="14591" max="14591" width="3.125" style="2673" customWidth="1"/>
    <col min="14592" max="14599" width="10.375" style="2673" customWidth="1"/>
    <col min="14600" max="14600" width="10.875" style="2673" customWidth="1"/>
    <col min="14601" max="14602" width="10.375" style="2673" customWidth="1"/>
    <col min="14603" max="14845" width="9" style="2673"/>
    <col min="14846" max="14846" width="11.5" style="2673" customWidth="1"/>
    <col min="14847" max="14847" width="3.125" style="2673" customWidth="1"/>
    <col min="14848" max="14855" width="10.375" style="2673" customWidth="1"/>
    <col min="14856" max="14856" width="10.875" style="2673" customWidth="1"/>
    <col min="14857" max="14858" width="10.375" style="2673" customWidth="1"/>
    <col min="14859" max="15101" width="9" style="2673"/>
    <col min="15102" max="15102" width="11.5" style="2673" customWidth="1"/>
    <col min="15103" max="15103" width="3.125" style="2673" customWidth="1"/>
    <col min="15104" max="15111" width="10.375" style="2673" customWidth="1"/>
    <col min="15112" max="15112" width="10.875" style="2673" customWidth="1"/>
    <col min="15113" max="15114" width="10.375" style="2673" customWidth="1"/>
    <col min="15115" max="15357" width="9" style="2673"/>
    <col min="15358" max="15358" width="11.5" style="2673" customWidth="1"/>
    <col min="15359" max="15359" width="3.125" style="2673" customWidth="1"/>
    <col min="15360" max="15367" width="10.375" style="2673" customWidth="1"/>
    <col min="15368" max="15368" width="10.875" style="2673" customWidth="1"/>
    <col min="15369" max="15370" width="10.375" style="2673" customWidth="1"/>
    <col min="15371" max="15613" width="9" style="2673"/>
    <col min="15614" max="15614" width="11.5" style="2673" customWidth="1"/>
    <col min="15615" max="15615" width="3.125" style="2673" customWidth="1"/>
    <col min="15616" max="15623" width="10.375" style="2673" customWidth="1"/>
    <col min="15624" max="15624" width="10.875" style="2673" customWidth="1"/>
    <col min="15625" max="15626" width="10.375" style="2673" customWidth="1"/>
    <col min="15627" max="15869" width="9" style="2673"/>
    <col min="15870" max="15870" width="11.5" style="2673" customWidth="1"/>
    <col min="15871" max="15871" width="3.125" style="2673" customWidth="1"/>
    <col min="15872" max="15879" width="10.375" style="2673" customWidth="1"/>
    <col min="15880" max="15880" width="10.875" style="2673" customWidth="1"/>
    <col min="15881" max="15882" width="10.375" style="2673" customWidth="1"/>
    <col min="15883" max="16125" width="9" style="2673"/>
    <col min="16126" max="16126" width="11.5" style="2673" customWidth="1"/>
    <col min="16127" max="16127" width="3.125" style="2673" customWidth="1"/>
    <col min="16128" max="16135" width="10.375" style="2673" customWidth="1"/>
    <col min="16136" max="16136" width="10.875" style="2673" customWidth="1"/>
    <col min="16137" max="16138" width="10.375" style="2673" customWidth="1"/>
    <col min="16139" max="16384" width="9" style="2673"/>
  </cols>
  <sheetData>
    <row r="1" spans="1:13" s="2670" customFormat="1" ht="39" customHeight="1">
      <c r="A1" s="4130" t="s">
        <v>4122</v>
      </c>
      <c r="B1" s="4130"/>
      <c r="C1" s="4130"/>
      <c r="D1" s="4130"/>
      <c r="E1" s="4130"/>
      <c r="F1" s="4130"/>
      <c r="G1" s="4130"/>
      <c r="H1" s="4130"/>
      <c r="I1" s="4130"/>
      <c r="J1" s="4130"/>
      <c r="K1" s="4130"/>
      <c r="L1" s="4130"/>
      <c r="M1" s="4130"/>
    </row>
    <row r="2" spans="1:13" ht="20.25" customHeight="1">
      <c r="A2" s="4124" t="s">
        <v>4123</v>
      </c>
      <c r="B2" s="4124" t="s">
        <v>3719</v>
      </c>
      <c r="C2" s="2702"/>
      <c r="D2" s="2700"/>
      <c r="E2" s="2700"/>
      <c r="F2" s="2700"/>
      <c r="G2" s="2700"/>
      <c r="H2" s="2700"/>
      <c r="I2" s="2700"/>
      <c r="J2" s="2700"/>
      <c r="K2" s="2700"/>
      <c r="L2" s="2700"/>
      <c r="M2" s="2750"/>
    </row>
    <row r="3" spans="1:13" ht="49.7" customHeight="1">
      <c r="A3" s="4129"/>
      <c r="B3" s="4129"/>
      <c r="C3" s="2751" t="s">
        <v>822</v>
      </c>
      <c r="D3" s="2752" t="s">
        <v>4124</v>
      </c>
      <c r="E3" s="2752" t="s">
        <v>815</v>
      </c>
      <c r="F3" s="2752" t="s">
        <v>4125</v>
      </c>
      <c r="G3" s="2753" t="s">
        <v>4126</v>
      </c>
      <c r="H3" s="2752" t="s">
        <v>4127</v>
      </c>
      <c r="I3" s="2754" t="s">
        <v>4128</v>
      </c>
      <c r="J3" s="2755" t="s">
        <v>4129</v>
      </c>
      <c r="K3" s="2754" t="s">
        <v>4130</v>
      </c>
      <c r="L3" s="2756" t="s">
        <v>4131</v>
      </c>
      <c r="M3" s="2756" t="s">
        <v>4132</v>
      </c>
    </row>
    <row r="4" spans="1:13" ht="34.5" customHeight="1">
      <c r="A4" s="2757" t="s">
        <v>4133</v>
      </c>
      <c r="B4" s="2694">
        <v>817</v>
      </c>
      <c r="C4" s="2693">
        <v>499</v>
      </c>
      <c r="D4" s="2693">
        <v>50</v>
      </c>
      <c r="E4" s="2693">
        <v>168</v>
      </c>
      <c r="F4" s="2758" t="s">
        <v>1</v>
      </c>
      <c r="G4" s="2693">
        <v>6</v>
      </c>
      <c r="H4" s="2693">
        <v>1</v>
      </c>
      <c r="I4" s="2758" t="s">
        <v>1</v>
      </c>
      <c r="J4" s="2758" t="s">
        <v>1</v>
      </c>
      <c r="K4" s="2758" t="s">
        <v>1</v>
      </c>
      <c r="L4" s="2758" t="s">
        <v>1</v>
      </c>
      <c r="M4" s="2693">
        <v>93</v>
      </c>
    </row>
    <row r="5" spans="1:13" ht="34.5" customHeight="1">
      <c r="A5" s="2757" t="s">
        <v>4134</v>
      </c>
      <c r="B5" s="2694">
        <v>849</v>
      </c>
      <c r="C5" s="2693">
        <v>415</v>
      </c>
      <c r="D5" s="2693">
        <v>209</v>
      </c>
      <c r="E5" s="2693">
        <v>202</v>
      </c>
      <c r="F5" s="2758" t="s">
        <v>1</v>
      </c>
      <c r="G5" s="2693">
        <v>4</v>
      </c>
      <c r="H5" s="2758" t="s">
        <v>1</v>
      </c>
      <c r="I5" s="2758" t="s">
        <v>1</v>
      </c>
      <c r="J5" s="2758" t="s">
        <v>1</v>
      </c>
      <c r="K5" s="2693">
        <v>1</v>
      </c>
      <c r="L5" s="2758" t="s">
        <v>1</v>
      </c>
      <c r="M5" s="2693">
        <v>18</v>
      </c>
    </row>
    <row r="6" spans="1:13" ht="34.5" customHeight="1">
      <c r="A6" s="2757" t="s">
        <v>4135</v>
      </c>
      <c r="B6" s="2694">
        <v>935</v>
      </c>
      <c r="C6" s="2693">
        <v>405</v>
      </c>
      <c r="D6" s="2693">
        <v>301</v>
      </c>
      <c r="E6" s="2693">
        <v>181</v>
      </c>
      <c r="F6" s="2693">
        <v>8</v>
      </c>
      <c r="G6" s="2693">
        <v>8</v>
      </c>
      <c r="H6" s="2693">
        <v>1</v>
      </c>
      <c r="I6" s="2758" t="s">
        <v>1</v>
      </c>
      <c r="J6" s="2693">
        <v>1</v>
      </c>
      <c r="K6" s="2758" t="s">
        <v>1</v>
      </c>
      <c r="L6" s="2693">
        <v>2</v>
      </c>
      <c r="M6" s="2693">
        <v>28</v>
      </c>
    </row>
    <row r="7" spans="1:13" ht="34.5" customHeight="1">
      <c r="A7" s="2757" t="s">
        <v>4136</v>
      </c>
      <c r="B7" s="2694">
        <v>1032</v>
      </c>
      <c r="C7" s="2693">
        <v>415</v>
      </c>
      <c r="D7" s="2693">
        <v>402</v>
      </c>
      <c r="E7" s="2693">
        <v>167</v>
      </c>
      <c r="F7" s="2693">
        <v>1</v>
      </c>
      <c r="G7" s="2693">
        <v>9</v>
      </c>
      <c r="H7" s="2758" t="s">
        <v>1</v>
      </c>
      <c r="I7" s="2758" t="s">
        <v>1</v>
      </c>
      <c r="J7" s="2758" t="s">
        <v>1</v>
      </c>
      <c r="K7" s="2758" t="s">
        <v>1</v>
      </c>
      <c r="L7" s="2758" t="s">
        <v>1</v>
      </c>
      <c r="M7" s="2693">
        <v>38</v>
      </c>
    </row>
    <row r="8" spans="1:13" ht="34.5" customHeight="1">
      <c r="A8" s="2757" t="s">
        <v>4137</v>
      </c>
      <c r="B8" s="2694">
        <v>1196</v>
      </c>
      <c r="C8" s="2693">
        <v>564</v>
      </c>
      <c r="D8" s="2693">
        <v>373</v>
      </c>
      <c r="E8" s="2693">
        <v>207</v>
      </c>
      <c r="F8" s="2693">
        <v>4</v>
      </c>
      <c r="G8" s="2693">
        <v>7</v>
      </c>
      <c r="H8" s="2758" t="s">
        <v>1</v>
      </c>
      <c r="I8" s="2758" t="s">
        <v>1</v>
      </c>
      <c r="J8" s="2758" t="s">
        <v>1</v>
      </c>
      <c r="K8" s="2758" t="s">
        <v>1</v>
      </c>
      <c r="L8" s="2693">
        <v>1</v>
      </c>
      <c r="M8" s="2693">
        <v>40</v>
      </c>
    </row>
    <row r="9" spans="1:13" ht="34.5" customHeight="1">
      <c r="A9" s="2757" t="s">
        <v>4138</v>
      </c>
      <c r="B9" s="2694">
        <v>1073</v>
      </c>
      <c r="C9" s="2693">
        <v>475</v>
      </c>
      <c r="D9" s="2693">
        <v>354</v>
      </c>
      <c r="E9" s="2693">
        <v>206</v>
      </c>
      <c r="F9" s="2693">
        <v>2</v>
      </c>
      <c r="G9" s="2693">
        <v>6</v>
      </c>
      <c r="H9" s="2693">
        <v>1</v>
      </c>
      <c r="I9" s="2693">
        <v>1</v>
      </c>
      <c r="J9" s="2693">
        <v>2</v>
      </c>
      <c r="K9" s="2758" t="s">
        <v>1</v>
      </c>
      <c r="L9" s="2758" t="s">
        <v>1</v>
      </c>
      <c r="M9" s="2693">
        <v>26</v>
      </c>
    </row>
    <row r="10" spans="1:13" ht="34.5" customHeight="1">
      <c r="A10" s="2757" t="s">
        <v>4139</v>
      </c>
      <c r="B10" s="2694">
        <v>1178</v>
      </c>
      <c r="C10" s="2693">
        <v>479</v>
      </c>
      <c r="D10" s="2693">
        <v>389</v>
      </c>
      <c r="E10" s="2693">
        <v>267</v>
      </c>
      <c r="F10" s="2758" t="s">
        <v>1</v>
      </c>
      <c r="G10" s="2693">
        <v>8</v>
      </c>
      <c r="H10" s="2693">
        <v>7</v>
      </c>
      <c r="I10" s="2758" t="s">
        <v>1</v>
      </c>
      <c r="J10" s="2693">
        <v>1</v>
      </c>
      <c r="K10" s="2758" t="s">
        <v>1</v>
      </c>
      <c r="L10" s="2693">
        <v>1</v>
      </c>
      <c r="M10" s="2693">
        <v>26</v>
      </c>
    </row>
    <row r="11" spans="1:13" ht="34.5" customHeight="1">
      <c r="A11" s="2757" t="s">
        <v>4140</v>
      </c>
      <c r="B11" s="2694">
        <v>1352</v>
      </c>
      <c r="C11" s="2693">
        <v>583</v>
      </c>
      <c r="D11" s="2693">
        <v>396</v>
      </c>
      <c r="E11" s="2693">
        <v>321</v>
      </c>
      <c r="F11" s="2693">
        <v>2</v>
      </c>
      <c r="G11" s="2693">
        <v>9</v>
      </c>
      <c r="H11" s="2693">
        <v>4</v>
      </c>
      <c r="I11" s="2758" t="s">
        <v>1</v>
      </c>
      <c r="J11" s="2758" t="s">
        <v>1</v>
      </c>
      <c r="K11" s="2758" t="s">
        <v>1</v>
      </c>
      <c r="L11" s="2758" t="s">
        <v>1</v>
      </c>
      <c r="M11" s="2693">
        <v>37</v>
      </c>
    </row>
    <row r="12" spans="1:13" ht="34.5" customHeight="1">
      <c r="A12" s="2757" t="s">
        <v>4141</v>
      </c>
      <c r="B12" s="2694">
        <v>1345</v>
      </c>
      <c r="C12" s="2693">
        <v>511</v>
      </c>
      <c r="D12" s="2693">
        <v>459</v>
      </c>
      <c r="E12" s="2693">
        <v>307</v>
      </c>
      <c r="F12" s="2693">
        <v>4</v>
      </c>
      <c r="G12" s="2693">
        <v>6</v>
      </c>
      <c r="H12" s="2758" t="s">
        <v>1</v>
      </c>
      <c r="I12" s="2758" t="s">
        <v>1</v>
      </c>
      <c r="J12" s="2758" t="s">
        <v>1</v>
      </c>
      <c r="K12" s="2758" t="s">
        <v>1</v>
      </c>
      <c r="L12" s="2758" t="s">
        <v>1</v>
      </c>
      <c r="M12" s="2693">
        <v>58</v>
      </c>
    </row>
    <row r="13" spans="1:13" ht="34.5" customHeight="1">
      <c r="A13" s="2759" t="s">
        <v>4142</v>
      </c>
      <c r="B13" s="2760">
        <v>1261</v>
      </c>
      <c r="C13" s="2699">
        <v>489</v>
      </c>
      <c r="D13" s="2699">
        <v>442</v>
      </c>
      <c r="E13" s="2699">
        <v>253</v>
      </c>
      <c r="F13" s="2699">
        <v>27</v>
      </c>
      <c r="G13" s="2699">
        <v>12</v>
      </c>
      <c r="H13" s="2699">
        <v>4</v>
      </c>
      <c r="I13" s="2699">
        <v>1</v>
      </c>
      <c r="J13" s="2699">
        <v>1</v>
      </c>
      <c r="K13" s="2761" t="s">
        <v>1</v>
      </c>
      <c r="L13" s="2761" t="s">
        <v>1</v>
      </c>
      <c r="M13" s="2699">
        <v>32</v>
      </c>
    </row>
    <row r="14" spans="1:13">
      <c r="A14" s="2762" t="s">
        <v>997</v>
      </c>
      <c r="G14" s="2763"/>
      <c r="H14" s="2763"/>
      <c r="I14" s="2763"/>
    </row>
    <row r="15" spans="1:13">
      <c r="G15" s="2763"/>
      <c r="H15" s="2763"/>
      <c r="I15" s="2763"/>
    </row>
  </sheetData>
  <mergeCells count="3">
    <mergeCell ref="A1:M1"/>
    <mergeCell ref="A2:A3"/>
    <mergeCell ref="B2:B3"/>
  </mergeCells>
  <phoneticPr fontId="61" type="noConversion"/>
  <printOptions horizontalCentered="1" verticalCentered="1"/>
  <pageMargins left="0.70866141732283472" right="0.70866141732283472" top="0.74803149606299213" bottom="0.74803149606299213" header="0.31496062992125984" footer="0.31496062992125984"/>
  <pageSetup paperSize="11" scale="67" orientation="landscape" r:id="rId1"/>
  <headerFooter differentOddEven="1" scaleWithDoc="0">
    <oddHeader>&amp;L&amp;"Times New Roman,標準"&amp;8 107&amp;"標楷體,標準"年犯罪狀況及其分析</oddHeader>
    <evenHeader>&amp;R&amp;"標楷體,標準"&amp;8第五篇　犯罪被害趨勢、保護與補償</evenHead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I20"/>
  <sheetViews>
    <sheetView showGridLines="0" workbookViewId="0">
      <selection activeCell="A155" sqref="A155:B155"/>
    </sheetView>
  </sheetViews>
  <sheetFormatPr defaultRowHeight="15.75"/>
  <cols>
    <col min="1" max="1" width="13.625" style="2673" customWidth="1"/>
    <col min="2" max="9" width="12.625" style="2673" customWidth="1"/>
    <col min="10" max="255" width="9" style="2673"/>
    <col min="256" max="256" width="11.5" style="2673" customWidth="1"/>
    <col min="257" max="257" width="3.125" style="2673" customWidth="1"/>
    <col min="258" max="265" width="12.625" style="2673" customWidth="1"/>
    <col min="266" max="511" width="9" style="2673"/>
    <col min="512" max="512" width="11.5" style="2673" customWidth="1"/>
    <col min="513" max="513" width="3.125" style="2673" customWidth="1"/>
    <col min="514" max="521" width="12.625" style="2673" customWidth="1"/>
    <col min="522" max="767" width="9" style="2673"/>
    <col min="768" max="768" width="11.5" style="2673" customWidth="1"/>
    <col min="769" max="769" width="3.125" style="2673" customWidth="1"/>
    <col min="770" max="777" width="12.625" style="2673" customWidth="1"/>
    <col min="778" max="1023" width="9" style="2673"/>
    <col min="1024" max="1024" width="11.5" style="2673" customWidth="1"/>
    <col min="1025" max="1025" width="3.125" style="2673" customWidth="1"/>
    <col min="1026" max="1033" width="12.625" style="2673" customWidth="1"/>
    <col min="1034" max="1279" width="9" style="2673"/>
    <col min="1280" max="1280" width="11.5" style="2673" customWidth="1"/>
    <col min="1281" max="1281" width="3.125" style="2673" customWidth="1"/>
    <col min="1282" max="1289" width="12.625" style="2673" customWidth="1"/>
    <col min="1290" max="1535" width="9" style="2673"/>
    <col min="1536" max="1536" width="11.5" style="2673" customWidth="1"/>
    <col min="1537" max="1537" width="3.125" style="2673" customWidth="1"/>
    <col min="1538" max="1545" width="12.625" style="2673" customWidth="1"/>
    <col min="1546" max="1791" width="9" style="2673"/>
    <col min="1792" max="1792" width="11.5" style="2673" customWidth="1"/>
    <col min="1793" max="1793" width="3.125" style="2673" customWidth="1"/>
    <col min="1794" max="1801" width="12.625" style="2673" customWidth="1"/>
    <col min="1802" max="2047" width="9" style="2673"/>
    <col min="2048" max="2048" width="11.5" style="2673" customWidth="1"/>
    <col min="2049" max="2049" width="3.125" style="2673" customWidth="1"/>
    <col min="2050" max="2057" width="12.625" style="2673" customWidth="1"/>
    <col min="2058" max="2303" width="9" style="2673"/>
    <col min="2304" max="2304" width="11.5" style="2673" customWidth="1"/>
    <col min="2305" max="2305" width="3.125" style="2673" customWidth="1"/>
    <col min="2306" max="2313" width="12.625" style="2673" customWidth="1"/>
    <col min="2314" max="2559" width="9" style="2673"/>
    <col min="2560" max="2560" width="11.5" style="2673" customWidth="1"/>
    <col min="2561" max="2561" width="3.125" style="2673" customWidth="1"/>
    <col min="2562" max="2569" width="12.625" style="2673" customWidth="1"/>
    <col min="2570" max="2815" width="9" style="2673"/>
    <col min="2816" max="2816" width="11.5" style="2673" customWidth="1"/>
    <col min="2817" max="2817" width="3.125" style="2673" customWidth="1"/>
    <col min="2818" max="2825" width="12.625" style="2673" customWidth="1"/>
    <col min="2826" max="3071" width="9" style="2673"/>
    <col min="3072" max="3072" width="11.5" style="2673" customWidth="1"/>
    <col min="3073" max="3073" width="3.125" style="2673" customWidth="1"/>
    <col min="3074" max="3081" width="12.625" style="2673" customWidth="1"/>
    <col min="3082" max="3327" width="9" style="2673"/>
    <col min="3328" max="3328" width="11.5" style="2673" customWidth="1"/>
    <col min="3329" max="3329" width="3.125" style="2673" customWidth="1"/>
    <col min="3330" max="3337" width="12.625" style="2673" customWidth="1"/>
    <col min="3338" max="3583" width="9" style="2673"/>
    <col min="3584" max="3584" width="11.5" style="2673" customWidth="1"/>
    <col min="3585" max="3585" width="3.125" style="2673" customWidth="1"/>
    <col min="3586" max="3593" width="12.625" style="2673" customWidth="1"/>
    <col min="3594" max="3839" width="9" style="2673"/>
    <col min="3840" max="3840" width="11.5" style="2673" customWidth="1"/>
    <col min="3841" max="3841" width="3.125" style="2673" customWidth="1"/>
    <col min="3842" max="3849" width="12.625" style="2673" customWidth="1"/>
    <col min="3850" max="4095" width="9" style="2673"/>
    <col min="4096" max="4096" width="11.5" style="2673" customWidth="1"/>
    <col min="4097" max="4097" width="3.125" style="2673" customWidth="1"/>
    <col min="4098" max="4105" width="12.625" style="2673" customWidth="1"/>
    <col min="4106" max="4351" width="9" style="2673"/>
    <col min="4352" max="4352" width="11.5" style="2673" customWidth="1"/>
    <col min="4353" max="4353" width="3.125" style="2673" customWidth="1"/>
    <col min="4354" max="4361" width="12.625" style="2673" customWidth="1"/>
    <col min="4362" max="4607" width="9" style="2673"/>
    <col min="4608" max="4608" width="11.5" style="2673" customWidth="1"/>
    <col min="4609" max="4609" width="3.125" style="2673" customWidth="1"/>
    <col min="4610" max="4617" width="12.625" style="2673" customWidth="1"/>
    <col min="4618" max="4863" width="9" style="2673"/>
    <col min="4864" max="4864" width="11.5" style="2673" customWidth="1"/>
    <col min="4865" max="4865" width="3.125" style="2673" customWidth="1"/>
    <col min="4866" max="4873" width="12.625" style="2673" customWidth="1"/>
    <col min="4874" max="5119" width="9" style="2673"/>
    <col min="5120" max="5120" width="11.5" style="2673" customWidth="1"/>
    <col min="5121" max="5121" width="3.125" style="2673" customWidth="1"/>
    <col min="5122" max="5129" width="12.625" style="2673" customWidth="1"/>
    <col min="5130" max="5375" width="9" style="2673"/>
    <col min="5376" max="5376" width="11.5" style="2673" customWidth="1"/>
    <col min="5377" max="5377" width="3.125" style="2673" customWidth="1"/>
    <col min="5378" max="5385" width="12.625" style="2673" customWidth="1"/>
    <col min="5386" max="5631" width="9" style="2673"/>
    <col min="5632" max="5632" width="11.5" style="2673" customWidth="1"/>
    <col min="5633" max="5633" width="3.125" style="2673" customWidth="1"/>
    <col min="5634" max="5641" width="12.625" style="2673" customWidth="1"/>
    <col min="5642" max="5887" width="9" style="2673"/>
    <col min="5888" max="5888" width="11.5" style="2673" customWidth="1"/>
    <col min="5889" max="5889" width="3.125" style="2673" customWidth="1"/>
    <col min="5890" max="5897" width="12.625" style="2673" customWidth="1"/>
    <col min="5898" max="6143" width="9" style="2673"/>
    <col min="6144" max="6144" width="11.5" style="2673" customWidth="1"/>
    <col min="6145" max="6145" width="3.125" style="2673" customWidth="1"/>
    <col min="6146" max="6153" width="12.625" style="2673" customWidth="1"/>
    <col min="6154" max="6399" width="9" style="2673"/>
    <col min="6400" max="6400" width="11.5" style="2673" customWidth="1"/>
    <col min="6401" max="6401" width="3.125" style="2673" customWidth="1"/>
    <col min="6402" max="6409" width="12.625" style="2673" customWidth="1"/>
    <col min="6410" max="6655" width="9" style="2673"/>
    <col min="6656" max="6656" width="11.5" style="2673" customWidth="1"/>
    <col min="6657" max="6657" width="3.125" style="2673" customWidth="1"/>
    <col min="6658" max="6665" width="12.625" style="2673" customWidth="1"/>
    <col min="6666" max="6911" width="9" style="2673"/>
    <col min="6912" max="6912" width="11.5" style="2673" customWidth="1"/>
    <col min="6913" max="6913" width="3.125" style="2673" customWidth="1"/>
    <col min="6914" max="6921" width="12.625" style="2673" customWidth="1"/>
    <col min="6922" max="7167" width="9" style="2673"/>
    <col min="7168" max="7168" width="11.5" style="2673" customWidth="1"/>
    <col min="7169" max="7169" width="3.125" style="2673" customWidth="1"/>
    <col min="7170" max="7177" width="12.625" style="2673" customWidth="1"/>
    <col min="7178" max="7423" width="9" style="2673"/>
    <col min="7424" max="7424" width="11.5" style="2673" customWidth="1"/>
    <col min="7425" max="7425" width="3.125" style="2673" customWidth="1"/>
    <col min="7426" max="7433" width="12.625" style="2673" customWidth="1"/>
    <col min="7434" max="7679" width="9" style="2673"/>
    <col min="7680" max="7680" width="11.5" style="2673" customWidth="1"/>
    <col min="7681" max="7681" width="3.125" style="2673" customWidth="1"/>
    <col min="7682" max="7689" width="12.625" style="2673" customWidth="1"/>
    <col min="7690" max="7935" width="9" style="2673"/>
    <col min="7936" max="7936" width="11.5" style="2673" customWidth="1"/>
    <col min="7937" max="7937" width="3.125" style="2673" customWidth="1"/>
    <col min="7938" max="7945" width="12.625" style="2673" customWidth="1"/>
    <col min="7946" max="8191" width="9" style="2673"/>
    <col min="8192" max="8192" width="11.5" style="2673" customWidth="1"/>
    <col min="8193" max="8193" width="3.125" style="2673" customWidth="1"/>
    <col min="8194" max="8201" width="12.625" style="2673" customWidth="1"/>
    <col min="8202" max="8447" width="9" style="2673"/>
    <col min="8448" max="8448" width="11.5" style="2673" customWidth="1"/>
    <col min="8449" max="8449" width="3.125" style="2673" customWidth="1"/>
    <col min="8450" max="8457" width="12.625" style="2673" customWidth="1"/>
    <col min="8458" max="8703" width="9" style="2673"/>
    <col min="8704" max="8704" width="11.5" style="2673" customWidth="1"/>
    <col min="8705" max="8705" width="3.125" style="2673" customWidth="1"/>
    <col min="8706" max="8713" width="12.625" style="2673" customWidth="1"/>
    <col min="8714" max="8959" width="9" style="2673"/>
    <col min="8960" max="8960" width="11.5" style="2673" customWidth="1"/>
    <col min="8961" max="8961" width="3.125" style="2673" customWidth="1"/>
    <col min="8962" max="8969" width="12.625" style="2673" customWidth="1"/>
    <col min="8970" max="9215" width="9" style="2673"/>
    <col min="9216" max="9216" width="11.5" style="2673" customWidth="1"/>
    <col min="9217" max="9217" width="3.125" style="2673" customWidth="1"/>
    <col min="9218" max="9225" width="12.625" style="2673" customWidth="1"/>
    <col min="9226" max="9471" width="9" style="2673"/>
    <col min="9472" max="9472" width="11.5" style="2673" customWidth="1"/>
    <col min="9473" max="9473" width="3.125" style="2673" customWidth="1"/>
    <col min="9474" max="9481" width="12.625" style="2673" customWidth="1"/>
    <col min="9482" max="9727" width="9" style="2673"/>
    <col min="9728" max="9728" width="11.5" style="2673" customWidth="1"/>
    <col min="9729" max="9729" width="3.125" style="2673" customWidth="1"/>
    <col min="9730" max="9737" width="12.625" style="2673" customWidth="1"/>
    <col min="9738" max="9983" width="9" style="2673"/>
    <col min="9984" max="9984" width="11.5" style="2673" customWidth="1"/>
    <col min="9985" max="9985" width="3.125" style="2673" customWidth="1"/>
    <col min="9986" max="9993" width="12.625" style="2673" customWidth="1"/>
    <col min="9994" max="10239" width="9" style="2673"/>
    <col min="10240" max="10240" width="11.5" style="2673" customWidth="1"/>
    <col min="10241" max="10241" width="3.125" style="2673" customWidth="1"/>
    <col min="10242" max="10249" width="12.625" style="2673" customWidth="1"/>
    <col min="10250" max="10495" width="9" style="2673"/>
    <col min="10496" max="10496" width="11.5" style="2673" customWidth="1"/>
    <col min="10497" max="10497" width="3.125" style="2673" customWidth="1"/>
    <col min="10498" max="10505" width="12.625" style="2673" customWidth="1"/>
    <col min="10506" max="10751" width="9" style="2673"/>
    <col min="10752" max="10752" width="11.5" style="2673" customWidth="1"/>
    <col min="10753" max="10753" width="3.125" style="2673" customWidth="1"/>
    <col min="10754" max="10761" width="12.625" style="2673" customWidth="1"/>
    <col min="10762" max="11007" width="9" style="2673"/>
    <col min="11008" max="11008" width="11.5" style="2673" customWidth="1"/>
    <col min="11009" max="11009" width="3.125" style="2673" customWidth="1"/>
    <col min="11010" max="11017" width="12.625" style="2673" customWidth="1"/>
    <col min="11018" max="11263" width="9" style="2673"/>
    <col min="11264" max="11264" width="11.5" style="2673" customWidth="1"/>
    <col min="11265" max="11265" width="3.125" style="2673" customWidth="1"/>
    <col min="11266" max="11273" width="12.625" style="2673" customWidth="1"/>
    <col min="11274" max="11519" width="9" style="2673"/>
    <col min="11520" max="11520" width="11.5" style="2673" customWidth="1"/>
    <col min="11521" max="11521" width="3.125" style="2673" customWidth="1"/>
    <col min="11522" max="11529" width="12.625" style="2673" customWidth="1"/>
    <col min="11530" max="11775" width="9" style="2673"/>
    <col min="11776" max="11776" width="11.5" style="2673" customWidth="1"/>
    <col min="11777" max="11777" width="3.125" style="2673" customWidth="1"/>
    <col min="11778" max="11785" width="12.625" style="2673" customWidth="1"/>
    <col min="11786" max="12031" width="9" style="2673"/>
    <col min="12032" max="12032" width="11.5" style="2673" customWidth="1"/>
    <col min="12033" max="12033" width="3.125" style="2673" customWidth="1"/>
    <col min="12034" max="12041" width="12.625" style="2673" customWidth="1"/>
    <col min="12042" max="12287" width="9" style="2673"/>
    <col min="12288" max="12288" width="11.5" style="2673" customWidth="1"/>
    <col min="12289" max="12289" width="3.125" style="2673" customWidth="1"/>
    <col min="12290" max="12297" width="12.625" style="2673" customWidth="1"/>
    <col min="12298" max="12543" width="9" style="2673"/>
    <col min="12544" max="12544" width="11.5" style="2673" customWidth="1"/>
    <col min="12545" max="12545" width="3.125" style="2673" customWidth="1"/>
    <col min="12546" max="12553" width="12.625" style="2673" customWidth="1"/>
    <col min="12554" max="12799" width="9" style="2673"/>
    <col min="12800" max="12800" width="11.5" style="2673" customWidth="1"/>
    <col min="12801" max="12801" width="3.125" style="2673" customWidth="1"/>
    <col min="12802" max="12809" width="12.625" style="2673" customWidth="1"/>
    <col min="12810" max="13055" width="9" style="2673"/>
    <col min="13056" max="13056" width="11.5" style="2673" customWidth="1"/>
    <col min="13057" max="13057" width="3.125" style="2673" customWidth="1"/>
    <col min="13058" max="13065" width="12.625" style="2673" customWidth="1"/>
    <col min="13066" max="13311" width="9" style="2673"/>
    <col min="13312" max="13312" width="11.5" style="2673" customWidth="1"/>
    <col min="13313" max="13313" width="3.125" style="2673" customWidth="1"/>
    <col min="13314" max="13321" width="12.625" style="2673" customWidth="1"/>
    <col min="13322" max="13567" width="9" style="2673"/>
    <col min="13568" max="13568" width="11.5" style="2673" customWidth="1"/>
    <col min="13569" max="13569" width="3.125" style="2673" customWidth="1"/>
    <col min="13570" max="13577" width="12.625" style="2673" customWidth="1"/>
    <col min="13578" max="13823" width="9" style="2673"/>
    <col min="13824" max="13824" width="11.5" style="2673" customWidth="1"/>
    <col min="13825" max="13825" width="3.125" style="2673" customWidth="1"/>
    <col min="13826" max="13833" width="12.625" style="2673" customWidth="1"/>
    <col min="13834" max="14079" width="9" style="2673"/>
    <col min="14080" max="14080" width="11.5" style="2673" customWidth="1"/>
    <col min="14081" max="14081" width="3.125" style="2673" customWidth="1"/>
    <col min="14082" max="14089" width="12.625" style="2673" customWidth="1"/>
    <col min="14090" max="14335" width="9" style="2673"/>
    <col min="14336" max="14336" width="11.5" style="2673" customWidth="1"/>
    <col min="14337" max="14337" width="3.125" style="2673" customWidth="1"/>
    <col min="14338" max="14345" width="12.625" style="2673" customWidth="1"/>
    <col min="14346" max="14591" width="9" style="2673"/>
    <col min="14592" max="14592" width="11.5" style="2673" customWidth="1"/>
    <col min="14593" max="14593" width="3.125" style="2673" customWidth="1"/>
    <col min="14594" max="14601" width="12.625" style="2673" customWidth="1"/>
    <col min="14602" max="14847" width="9" style="2673"/>
    <col min="14848" max="14848" width="11.5" style="2673" customWidth="1"/>
    <col min="14849" max="14849" width="3.125" style="2673" customWidth="1"/>
    <col min="14850" max="14857" width="12.625" style="2673" customWidth="1"/>
    <col min="14858" max="15103" width="9" style="2673"/>
    <col min="15104" max="15104" width="11.5" style="2673" customWidth="1"/>
    <col min="15105" max="15105" width="3.125" style="2673" customWidth="1"/>
    <col min="15106" max="15113" width="12.625" style="2673" customWidth="1"/>
    <col min="15114" max="15359" width="9" style="2673"/>
    <col min="15360" max="15360" width="11.5" style="2673" customWidth="1"/>
    <col min="15361" max="15361" width="3.125" style="2673" customWidth="1"/>
    <col min="15362" max="15369" width="12.625" style="2673" customWidth="1"/>
    <col min="15370" max="15615" width="9" style="2673"/>
    <col min="15616" max="15616" width="11.5" style="2673" customWidth="1"/>
    <col min="15617" max="15617" width="3.125" style="2673" customWidth="1"/>
    <col min="15618" max="15625" width="12.625" style="2673" customWidth="1"/>
    <col min="15626" max="15871" width="9" style="2673"/>
    <col min="15872" max="15872" width="11.5" style="2673" customWidth="1"/>
    <col min="15873" max="15873" width="3.125" style="2673" customWidth="1"/>
    <col min="15874" max="15881" width="12.625" style="2673" customWidth="1"/>
    <col min="15882" max="16127" width="9" style="2673"/>
    <col min="16128" max="16128" width="11.5" style="2673" customWidth="1"/>
    <col min="16129" max="16129" width="3.125" style="2673" customWidth="1"/>
    <col min="16130" max="16137" width="12.625" style="2673" customWidth="1"/>
    <col min="16138" max="16384" width="9" style="2673"/>
  </cols>
  <sheetData>
    <row r="1" spans="1:9" s="2670" customFormat="1" ht="27" customHeight="1">
      <c r="A1" s="4131" t="s">
        <v>4143</v>
      </c>
      <c r="B1" s="4131"/>
      <c r="C1" s="4131"/>
      <c r="D1" s="4131"/>
      <c r="E1" s="4131"/>
      <c r="F1" s="4131"/>
      <c r="G1" s="4131"/>
      <c r="H1" s="4131"/>
      <c r="I1" s="4131"/>
    </row>
    <row r="2" spans="1:9" ht="29.85" customHeight="1">
      <c r="A2" s="4124" t="s">
        <v>4144</v>
      </c>
      <c r="B2" s="4132" t="s">
        <v>4145</v>
      </c>
      <c r="C2" s="4133"/>
      <c r="D2" s="4134" t="s">
        <v>4146</v>
      </c>
      <c r="E2" s="4133"/>
      <c r="F2" s="4134" t="s">
        <v>4147</v>
      </c>
      <c r="G2" s="4133"/>
      <c r="H2" s="4134" t="s">
        <v>4148</v>
      </c>
      <c r="I2" s="4132"/>
    </row>
    <row r="3" spans="1:9" ht="29.85" customHeight="1">
      <c r="A3" s="4129"/>
      <c r="B3" s="2764" t="s">
        <v>4149</v>
      </c>
      <c r="C3" s="2764" t="s">
        <v>2797</v>
      </c>
      <c r="D3" s="2764" t="s">
        <v>4150</v>
      </c>
      <c r="E3" s="2764" t="s">
        <v>2736</v>
      </c>
      <c r="F3" s="2764" t="s">
        <v>2103</v>
      </c>
      <c r="G3" s="2764" t="s">
        <v>2736</v>
      </c>
      <c r="H3" s="2764" t="s">
        <v>2103</v>
      </c>
      <c r="I3" s="2765" t="s">
        <v>2736</v>
      </c>
    </row>
    <row r="4" spans="1:9" ht="6.2" customHeight="1">
      <c r="A4" s="2705"/>
      <c r="B4" s="2690"/>
      <c r="C4" s="2690"/>
      <c r="D4" s="2690"/>
      <c r="E4" s="2690"/>
      <c r="F4" s="2690"/>
      <c r="G4" s="2766"/>
      <c r="H4" s="2767"/>
    </row>
    <row r="5" spans="1:9" ht="36.75" hidden="1" customHeight="1">
      <c r="A5" s="2707" t="s">
        <v>4151</v>
      </c>
      <c r="B5" s="2768">
        <v>725</v>
      </c>
      <c r="C5" s="2769">
        <v>100</v>
      </c>
      <c r="D5" s="2693">
        <v>604</v>
      </c>
      <c r="E5" s="2769">
        <v>83.310344827586206</v>
      </c>
      <c r="F5" s="2693">
        <v>121</v>
      </c>
      <c r="G5" s="2769">
        <v>16.689655172413794</v>
      </c>
      <c r="H5" s="2693">
        <v>0</v>
      </c>
      <c r="I5" s="2769">
        <v>0</v>
      </c>
    </row>
    <row r="6" spans="1:9" ht="36.75" hidden="1" customHeight="1">
      <c r="A6" s="2707" t="s">
        <v>4152</v>
      </c>
      <c r="B6" s="2768">
        <v>715</v>
      </c>
      <c r="C6" s="2769">
        <v>100</v>
      </c>
      <c r="D6" s="2693">
        <v>595</v>
      </c>
      <c r="E6" s="2769">
        <v>83.216783216783213</v>
      </c>
      <c r="F6" s="2693">
        <v>120</v>
      </c>
      <c r="G6" s="2769">
        <v>16.783216783216783</v>
      </c>
      <c r="H6" s="2693">
        <v>0</v>
      </c>
      <c r="I6" s="2769">
        <v>0</v>
      </c>
    </row>
    <row r="7" spans="1:9" ht="36.75" hidden="1" customHeight="1">
      <c r="A7" s="2707" t="s">
        <v>4153</v>
      </c>
      <c r="B7" s="2768">
        <v>601</v>
      </c>
      <c r="C7" s="2769">
        <v>100</v>
      </c>
      <c r="D7" s="2693">
        <v>456</v>
      </c>
      <c r="E7" s="2769">
        <v>75.87354409317804</v>
      </c>
      <c r="F7" s="2693">
        <v>145</v>
      </c>
      <c r="G7" s="2769">
        <v>24.126455906821963</v>
      </c>
      <c r="H7" s="2693">
        <v>0</v>
      </c>
      <c r="I7" s="2769">
        <v>0</v>
      </c>
    </row>
    <row r="8" spans="1:9" ht="36.75" customHeight="1">
      <c r="A8" s="2714" t="s">
        <v>355</v>
      </c>
      <c r="B8" s="2768">
        <f>SUM(D8,F8,H8)</f>
        <v>824</v>
      </c>
      <c r="C8" s="2769">
        <f>SUM(E8+G8+I8)</f>
        <v>100</v>
      </c>
      <c r="D8" s="2693">
        <v>600</v>
      </c>
      <c r="E8" s="2769">
        <f>D8/B8*100</f>
        <v>72.815533980582529</v>
      </c>
      <c r="F8" s="2693">
        <v>170</v>
      </c>
      <c r="G8" s="2769">
        <f>F8/B8*100</f>
        <v>20.631067961165048</v>
      </c>
      <c r="H8" s="2693">
        <v>54</v>
      </c>
      <c r="I8" s="2769">
        <f>H8/B8*100</f>
        <v>6.5533980582524274</v>
      </c>
    </row>
    <row r="9" spans="1:9" ht="36.75" customHeight="1">
      <c r="A9" s="2714" t="s">
        <v>356</v>
      </c>
      <c r="B9" s="2768">
        <f t="shared" ref="B9:B17" si="0">SUM(D9,F9,H9)</f>
        <v>856</v>
      </c>
      <c r="C9" s="2769">
        <f t="shared" ref="C9:C17" si="1">SUM(E9+G9+I9)</f>
        <v>100</v>
      </c>
      <c r="D9" s="2693">
        <v>474</v>
      </c>
      <c r="E9" s="2769">
        <f t="shared" ref="E9:E17" si="2">D9/B9*100</f>
        <v>55.373831775700936</v>
      </c>
      <c r="F9" s="2693">
        <v>166</v>
      </c>
      <c r="G9" s="2769">
        <f t="shared" ref="G9:G17" si="3">F9/B9*100</f>
        <v>19.392523364485982</v>
      </c>
      <c r="H9" s="2693">
        <v>216</v>
      </c>
      <c r="I9" s="2769">
        <f t="shared" ref="I9:I17" si="4">H9/B9*100</f>
        <v>25.233644859813083</v>
      </c>
    </row>
    <row r="10" spans="1:9" ht="36.75" customHeight="1">
      <c r="A10" s="2714" t="s">
        <v>357</v>
      </c>
      <c r="B10" s="2768">
        <f t="shared" si="0"/>
        <v>941</v>
      </c>
      <c r="C10" s="2769">
        <f t="shared" si="1"/>
        <v>100</v>
      </c>
      <c r="D10" s="2693">
        <v>443</v>
      </c>
      <c r="E10" s="2769">
        <f t="shared" si="2"/>
        <v>47.077577045696067</v>
      </c>
      <c r="F10" s="2693">
        <v>177</v>
      </c>
      <c r="G10" s="2769">
        <f t="shared" si="3"/>
        <v>18.809776833156217</v>
      </c>
      <c r="H10" s="2693">
        <v>321</v>
      </c>
      <c r="I10" s="2769">
        <f t="shared" si="4"/>
        <v>34.112646121147719</v>
      </c>
    </row>
    <row r="11" spans="1:9" ht="36.75" customHeight="1">
      <c r="A11" s="2714" t="s">
        <v>358</v>
      </c>
      <c r="B11" s="2768">
        <f t="shared" si="0"/>
        <v>1046</v>
      </c>
      <c r="C11" s="2769">
        <f t="shared" si="1"/>
        <v>100</v>
      </c>
      <c r="D11" s="2693">
        <v>491</v>
      </c>
      <c r="E11" s="2769">
        <f t="shared" si="2"/>
        <v>46.940726577437857</v>
      </c>
      <c r="F11" s="2693">
        <v>145</v>
      </c>
      <c r="G11" s="2769">
        <f t="shared" si="3"/>
        <v>13.862332695984703</v>
      </c>
      <c r="H11" s="2693">
        <v>410</v>
      </c>
      <c r="I11" s="2769">
        <f t="shared" si="4"/>
        <v>39.196940726577438</v>
      </c>
    </row>
    <row r="12" spans="1:9" ht="36.75" customHeight="1">
      <c r="A12" s="2714" t="s">
        <v>359</v>
      </c>
      <c r="B12" s="2768">
        <f t="shared" si="0"/>
        <v>1208</v>
      </c>
      <c r="C12" s="2769">
        <f t="shared" si="1"/>
        <v>100</v>
      </c>
      <c r="D12" s="2693">
        <v>634</v>
      </c>
      <c r="E12" s="2769">
        <f t="shared" si="2"/>
        <v>52.483443708609265</v>
      </c>
      <c r="F12" s="2693">
        <v>188</v>
      </c>
      <c r="G12" s="2769">
        <f t="shared" si="3"/>
        <v>15.562913907284766</v>
      </c>
      <c r="H12" s="2693">
        <v>386</v>
      </c>
      <c r="I12" s="2769">
        <f t="shared" si="4"/>
        <v>31.953642384105962</v>
      </c>
    </row>
    <row r="13" spans="1:9" ht="36.75" customHeight="1">
      <c r="A13" s="2714" t="s">
        <v>360</v>
      </c>
      <c r="B13" s="2768">
        <f t="shared" si="0"/>
        <v>1080</v>
      </c>
      <c r="C13" s="2769">
        <f t="shared" si="1"/>
        <v>100</v>
      </c>
      <c r="D13" s="2693">
        <v>550</v>
      </c>
      <c r="E13" s="2769">
        <f t="shared" si="2"/>
        <v>50.925925925925931</v>
      </c>
      <c r="F13" s="2693">
        <v>168</v>
      </c>
      <c r="G13" s="2769">
        <f t="shared" si="3"/>
        <v>15.555555555555555</v>
      </c>
      <c r="H13" s="2693">
        <v>362</v>
      </c>
      <c r="I13" s="2769">
        <f t="shared" si="4"/>
        <v>33.518518518518519</v>
      </c>
    </row>
    <row r="14" spans="1:9" ht="36.75" customHeight="1">
      <c r="A14" s="2714" t="s">
        <v>361</v>
      </c>
      <c r="B14" s="2768">
        <f t="shared" si="0"/>
        <v>1188</v>
      </c>
      <c r="C14" s="2769">
        <f t="shared" si="1"/>
        <v>100</v>
      </c>
      <c r="D14" s="2693">
        <v>551</v>
      </c>
      <c r="E14" s="2769">
        <f t="shared" si="2"/>
        <v>46.380471380471384</v>
      </c>
      <c r="F14" s="2693">
        <v>243</v>
      </c>
      <c r="G14" s="2769">
        <f t="shared" si="3"/>
        <v>20.454545454545457</v>
      </c>
      <c r="H14" s="2693">
        <v>394</v>
      </c>
      <c r="I14" s="2769">
        <f t="shared" si="4"/>
        <v>33.164983164983163</v>
      </c>
    </row>
    <row r="15" spans="1:9" ht="36.75" customHeight="1">
      <c r="A15" s="2714" t="s">
        <v>362</v>
      </c>
      <c r="B15" s="2768">
        <f t="shared" si="0"/>
        <v>1373</v>
      </c>
      <c r="C15" s="2769">
        <f t="shared" si="1"/>
        <v>99.999999999999986</v>
      </c>
      <c r="D15" s="2693">
        <v>630</v>
      </c>
      <c r="E15" s="2769">
        <f t="shared" si="2"/>
        <v>45.884923525127455</v>
      </c>
      <c r="F15" s="2693">
        <v>340</v>
      </c>
      <c r="G15" s="2769">
        <f t="shared" si="3"/>
        <v>24.763292061179897</v>
      </c>
      <c r="H15" s="2693">
        <v>403</v>
      </c>
      <c r="I15" s="2769">
        <f t="shared" si="4"/>
        <v>29.351784413692645</v>
      </c>
    </row>
    <row r="16" spans="1:9" ht="36.75" customHeight="1">
      <c r="A16" s="2714" t="s">
        <v>363</v>
      </c>
      <c r="B16" s="2768">
        <f t="shared" si="0"/>
        <v>1356</v>
      </c>
      <c r="C16" s="2769">
        <f t="shared" si="1"/>
        <v>99.999999999999986</v>
      </c>
      <c r="D16" s="2693">
        <v>591</v>
      </c>
      <c r="E16" s="2769">
        <f t="shared" si="2"/>
        <v>43.584070796460175</v>
      </c>
      <c r="F16" s="2693">
        <v>300</v>
      </c>
      <c r="G16" s="2769">
        <f t="shared" si="3"/>
        <v>22.123893805309734</v>
      </c>
      <c r="H16" s="2693">
        <v>465</v>
      </c>
      <c r="I16" s="2769">
        <f t="shared" si="4"/>
        <v>34.292035398230084</v>
      </c>
    </row>
    <row r="17" spans="1:9" ht="36.75" customHeight="1">
      <c r="A17" s="2714" t="s">
        <v>765</v>
      </c>
      <c r="B17" s="2768">
        <f t="shared" si="0"/>
        <v>1275</v>
      </c>
      <c r="C17" s="2769">
        <f t="shared" si="1"/>
        <v>100</v>
      </c>
      <c r="D17" s="2693">
        <v>549</v>
      </c>
      <c r="E17" s="2769">
        <f t="shared" si="2"/>
        <v>43.058823529411768</v>
      </c>
      <c r="F17" s="2693">
        <v>249</v>
      </c>
      <c r="G17" s="2769">
        <f t="shared" si="3"/>
        <v>19.52941176470588</v>
      </c>
      <c r="H17" s="2693">
        <v>477</v>
      </c>
      <c r="I17" s="2769">
        <f t="shared" si="4"/>
        <v>37.411764705882355</v>
      </c>
    </row>
    <row r="18" spans="1:9" ht="6.2" customHeight="1">
      <c r="A18" s="2715"/>
      <c r="B18" s="2716"/>
      <c r="C18" s="2718"/>
      <c r="D18" s="2718"/>
      <c r="E18" s="2718"/>
      <c r="F18" s="2718"/>
      <c r="G18" s="2770"/>
      <c r="H18" s="2718"/>
      <c r="I18" s="2771"/>
    </row>
    <row r="19" spans="1:9">
      <c r="A19" s="2749" t="s">
        <v>997</v>
      </c>
      <c r="H19" s="2680"/>
      <c r="I19" s="2680"/>
    </row>
    <row r="20" spans="1:9">
      <c r="A20" s="2749" t="s">
        <v>4154</v>
      </c>
    </row>
  </sheetData>
  <mergeCells count="6">
    <mergeCell ref="A1:I1"/>
    <mergeCell ref="A2:A3"/>
    <mergeCell ref="B2:C2"/>
    <mergeCell ref="D2:E2"/>
    <mergeCell ref="F2:G2"/>
    <mergeCell ref="H2:I2"/>
  </mergeCells>
  <phoneticPr fontId="61" type="noConversion"/>
  <printOptions horizontalCentered="1" verticalCentered="1"/>
  <pageMargins left="0.70866141732283472" right="0.70866141732283472" top="0.74803149606299213" bottom="0.74803149606299213" header="0.31496062992125984" footer="0.31496062992125984"/>
  <pageSetup paperSize="11" scale="66" orientation="landscape" r:id="rId1"/>
  <headerFooter differentOddEven="1" scaleWithDoc="0">
    <oddHeader>&amp;L&amp;"Times New Roman,標準"&amp;8 107&amp;"標楷體,標準"年犯罪狀況及其分析</oddHeader>
    <evenHeader>&amp;R&amp;"標楷體,標準"&amp;8第五篇　犯罪被害趨勢、保護與補償</even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F32"/>
  <sheetViews>
    <sheetView showGridLines="0" zoomScale="130" zoomScaleNormal="130" workbookViewId="0">
      <selection activeCell="B24" sqref="B24"/>
    </sheetView>
  </sheetViews>
  <sheetFormatPr defaultColWidth="9" defaultRowHeight="15"/>
  <cols>
    <col min="1" max="1" width="10.125" style="510" customWidth="1"/>
    <col min="2" max="6" width="20.625" style="510" customWidth="1"/>
    <col min="7" max="16384" width="9" style="510"/>
  </cols>
  <sheetData>
    <row r="1" spans="1:6" ht="20.25">
      <c r="A1" s="2937" t="s">
        <v>703</v>
      </c>
      <c r="B1" s="2937"/>
      <c r="C1" s="2937"/>
      <c r="D1" s="2937"/>
      <c r="E1" s="2937"/>
      <c r="F1" s="2937"/>
    </row>
    <row r="2" spans="1:6" ht="15.75">
      <c r="A2" s="511"/>
      <c r="B2" s="511"/>
      <c r="C2" s="511"/>
      <c r="D2" s="511"/>
      <c r="E2" s="511"/>
      <c r="F2" s="512" t="s">
        <v>582</v>
      </c>
    </row>
    <row r="3" spans="1:6" ht="15.75" customHeight="1">
      <c r="A3" s="513"/>
      <c r="B3" s="514" t="s">
        <v>704</v>
      </c>
      <c r="C3" s="515" t="s">
        <v>583</v>
      </c>
      <c r="D3" s="516" t="s">
        <v>584</v>
      </c>
      <c r="E3" s="515" t="s">
        <v>585</v>
      </c>
      <c r="F3" s="517" t="s">
        <v>599</v>
      </c>
    </row>
    <row r="4" spans="1:6" ht="15.75" customHeight="1">
      <c r="A4" s="518" t="s">
        <v>305</v>
      </c>
      <c r="B4" s="519">
        <v>1607.2548108227891</v>
      </c>
      <c r="C4" s="520">
        <v>1258.7182075010367</v>
      </c>
      <c r="D4" s="520">
        <v>7514.97598825156</v>
      </c>
      <c r="E4" s="521">
        <v>3350.4</v>
      </c>
      <c r="F4" s="522">
        <v>12003.4469609855</v>
      </c>
    </row>
    <row r="5" spans="1:6" ht="15.75">
      <c r="A5" s="518" t="s">
        <v>586</v>
      </c>
      <c r="B5" s="519">
        <v>1499.0136468301187</v>
      </c>
      <c r="C5" s="520">
        <v>1176.0314779821224</v>
      </c>
      <c r="D5" s="520">
        <v>7864.5958715066099</v>
      </c>
      <c r="E5" s="521">
        <v>3292.5</v>
      </c>
      <c r="F5" s="523">
        <v>12267</v>
      </c>
    </row>
    <row r="6" spans="1:6" ht="15.75">
      <c r="A6" s="518" t="s">
        <v>587</v>
      </c>
      <c r="B6" s="519">
        <v>1363.7773740311015</v>
      </c>
      <c r="C6" s="520">
        <v>1100.1200015159934</v>
      </c>
      <c r="D6" s="520">
        <v>7234.2957772443397</v>
      </c>
      <c r="E6" s="521">
        <v>3255.8</v>
      </c>
      <c r="F6" s="524">
        <v>12147.746192267299</v>
      </c>
    </row>
    <row r="7" spans="1:6" ht="15.75">
      <c r="A7" s="518" t="s">
        <v>588</v>
      </c>
      <c r="B7" s="519">
        <v>1280.6649500863568</v>
      </c>
      <c r="C7" s="525">
        <v>1032.1132810416568</v>
      </c>
      <c r="D7" s="525">
        <v>7121.47773973729</v>
      </c>
      <c r="E7" s="520">
        <v>3102.7</v>
      </c>
      <c r="F7" s="524">
        <v>12071.7579704893</v>
      </c>
    </row>
    <row r="8" spans="1:6" ht="15.75">
      <c r="A8" s="518" t="s">
        <v>589</v>
      </c>
      <c r="B8" s="526">
        <v>1308.7710520182015</v>
      </c>
      <c r="C8" s="520">
        <v>953.61329023486462</v>
      </c>
      <c r="D8" s="520">
        <v>7209.6064123015321</v>
      </c>
      <c r="E8" s="520">
        <v>2935.7</v>
      </c>
      <c r="F8" s="524">
        <v>12305.196462706899</v>
      </c>
    </row>
    <row r="9" spans="1:6" ht="15.75">
      <c r="A9" s="518" t="s">
        <v>590</v>
      </c>
      <c r="B9" s="526">
        <v>1269.2370606651841</v>
      </c>
      <c r="C9" s="520">
        <v>865.81159201898367</v>
      </c>
      <c r="D9" s="520">
        <v>7662.4606617214595</v>
      </c>
      <c r="E9" s="520">
        <v>2874.2</v>
      </c>
      <c r="F9" s="524">
        <v>12803.3018235893</v>
      </c>
    </row>
    <row r="10" spans="1:6" ht="15.75" customHeight="1">
      <c r="A10" s="518" t="s">
        <v>591</v>
      </c>
      <c r="B10" s="526">
        <v>1253.7493177501478</v>
      </c>
      <c r="C10" s="520">
        <v>784.53547414518027</v>
      </c>
      <c r="D10" s="520">
        <v>8302.9420402522192</v>
      </c>
      <c r="E10" s="520">
        <v>2838.2</v>
      </c>
      <c r="F10" s="524">
        <v>12700.435398870401</v>
      </c>
    </row>
    <row r="11" spans="1:6" ht="15.75" customHeight="1">
      <c r="A11" s="518" t="s">
        <v>592</v>
      </c>
      <c r="B11" s="526">
        <v>1245.7928124029686</v>
      </c>
      <c r="C11" s="520">
        <v>721.83386231334737</v>
      </c>
      <c r="D11" s="520">
        <v>9331.4447350420905</v>
      </c>
      <c r="E11" s="520">
        <v>2746.7</v>
      </c>
      <c r="F11" s="524">
        <v>12419.2142386465</v>
      </c>
    </row>
    <row r="12" spans="1:6" ht="15.75">
      <c r="A12" s="518" t="s">
        <v>593</v>
      </c>
      <c r="B12" s="526">
        <v>1206.6880436090132</v>
      </c>
      <c r="C12" s="520">
        <v>646.06979975478623</v>
      </c>
      <c r="D12" s="520">
        <v>9770.0705843511496</v>
      </c>
      <c r="E12" s="520">
        <v>2580.1999999999998</v>
      </c>
      <c r="F12" s="524">
        <v>12492.1801395125</v>
      </c>
    </row>
    <row r="13" spans="1:6" s="531" customFormat="1" ht="15.75">
      <c r="A13" s="527" t="s">
        <v>594</v>
      </c>
      <c r="B13" s="528">
        <v>1137.2635134140064</v>
      </c>
      <c r="C13" s="529">
        <v>592.91071232421086</v>
      </c>
      <c r="D13" s="529">
        <v>10193.5183775353</v>
      </c>
      <c r="E13" s="529">
        <v>2476.6</v>
      </c>
      <c r="F13" s="530">
        <v>12260.549220941901</v>
      </c>
    </row>
    <row r="14" spans="1:6" ht="15.75">
      <c r="A14" s="532" t="s">
        <v>595</v>
      </c>
      <c r="B14" s="2938" t="s">
        <v>705</v>
      </c>
      <c r="C14" s="2938"/>
      <c r="D14" s="2938"/>
      <c r="E14" s="533"/>
      <c r="F14" s="533"/>
    </row>
    <row r="15" spans="1:6" ht="80.25" customHeight="1">
      <c r="B15" s="2934" t="s">
        <v>706</v>
      </c>
      <c r="C15" s="2934"/>
      <c r="D15" s="2934"/>
      <c r="E15" s="2934"/>
      <c r="F15" s="2934"/>
    </row>
    <row r="16" spans="1:6" ht="47.25" customHeight="1">
      <c r="B16" s="2934" t="s">
        <v>707</v>
      </c>
      <c r="C16" s="2934"/>
      <c r="D16" s="2934"/>
      <c r="E16" s="2934"/>
      <c r="F16" s="2934"/>
    </row>
    <row r="17" spans="1:6" s="534" customFormat="1" ht="34.5" customHeight="1">
      <c r="B17" s="2934" t="s">
        <v>698</v>
      </c>
      <c r="C17" s="2934"/>
      <c r="D17" s="2934"/>
      <c r="E17" s="2934"/>
      <c r="F17" s="2934"/>
    </row>
    <row r="18" spans="1:6" s="534" customFormat="1" ht="35.25" customHeight="1">
      <c r="B18" s="2934" t="s">
        <v>708</v>
      </c>
      <c r="C18" s="2934"/>
      <c r="D18" s="2934"/>
      <c r="E18" s="2934"/>
      <c r="F18" s="2934"/>
    </row>
    <row r="19" spans="1:6" ht="15.75">
      <c r="A19" s="535" t="s">
        <v>709</v>
      </c>
      <c r="B19" s="532" t="s">
        <v>710</v>
      </c>
      <c r="C19" s="532"/>
      <c r="D19" s="532"/>
    </row>
    <row r="20" spans="1:6" ht="28.5" customHeight="1">
      <c r="A20" s="536"/>
      <c r="B20" s="2934" t="s">
        <v>596</v>
      </c>
      <c r="C20" s="2934"/>
      <c r="D20" s="2934"/>
      <c r="E20" s="2934"/>
      <c r="F20" s="2934"/>
    </row>
    <row r="21" spans="1:6" ht="50.25" customHeight="1">
      <c r="B21" s="2935" t="s">
        <v>711</v>
      </c>
      <c r="C21" s="2935"/>
      <c r="D21" s="2935"/>
      <c r="E21" s="2935"/>
      <c r="F21" s="2935"/>
    </row>
    <row r="22" spans="1:6" ht="15.75">
      <c r="B22" s="2936" t="s">
        <v>712</v>
      </c>
      <c r="C22" s="2936"/>
      <c r="D22" s="2936"/>
      <c r="E22" s="2936"/>
      <c r="F22" s="2936"/>
    </row>
    <row r="23" spans="1:6" ht="15.75">
      <c r="B23" s="2936" t="s">
        <v>713</v>
      </c>
      <c r="C23" s="2936"/>
      <c r="D23" s="2936"/>
      <c r="E23" s="2936"/>
      <c r="F23" s="2936"/>
    </row>
    <row r="24" spans="1:6" ht="15.75">
      <c r="B24" s="537" t="s">
        <v>714</v>
      </c>
    </row>
    <row r="28" spans="1:6" s="534" customFormat="1" ht="36" customHeight="1"/>
    <row r="30" spans="1:6">
      <c r="A30" s="532"/>
      <c r="B30" s="532"/>
      <c r="C30" s="532"/>
      <c r="D30" s="532"/>
    </row>
    <row r="31" spans="1:6">
      <c r="A31" s="532"/>
      <c r="B31" s="532"/>
      <c r="C31" s="532"/>
      <c r="D31" s="532"/>
    </row>
    <row r="32" spans="1:6">
      <c r="A32" s="532"/>
      <c r="B32" s="532"/>
      <c r="C32" s="532"/>
      <c r="D32" s="532"/>
    </row>
  </sheetData>
  <mergeCells count="10">
    <mergeCell ref="B20:F20"/>
    <mergeCell ref="B21:F21"/>
    <mergeCell ref="B22:F22"/>
    <mergeCell ref="B23:F23"/>
    <mergeCell ref="A1:F1"/>
    <mergeCell ref="B14:D14"/>
    <mergeCell ref="B15:F15"/>
    <mergeCell ref="B16:F16"/>
    <mergeCell ref="B17:F17"/>
    <mergeCell ref="B18:F18"/>
  </mergeCells>
  <phoneticPr fontId="61" type="noConversion"/>
  <printOptions horizontalCentered="1" verticalCentered="1"/>
  <pageMargins left="0.70866141732283472" right="0.70866141732283472" top="0.74803149606299213" bottom="0.74803149606299213" header="0.31496062992125984" footer="0.31496062992125984"/>
  <pageSetup paperSize="11" scale="58" orientation="landscape" r:id="rId1"/>
  <headerFooter differentOddEven="1" scaleWithDoc="0">
    <oddHeader>&amp;L&amp;"Times New Roman,標準"&amp;8 107&amp;"標楷體,標準"年犯罪狀況及其分析</oddHeader>
    <evenHeader>&amp;R&amp;"標楷體,標準"&amp;8第一篇　&amp;"Times New Roman,標準"107&amp;"標楷體,標準"年犯罪狀況及近&amp;"Times New Roman,標準"10&amp;"標楷體,標準"年犯罪趨勢分析</even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F29"/>
  <sheetViews>
    <sheetView showGridLines="0" zoomScale="130" zoomScaleNormal="130" workbookViewId="0">
      <selection activeCell="A8" sqref="A8:XFD8"/>
    </sheetView>
  </sheetViews>
  <sheetFormatPr defaultColWidth="9" defaultRowHeight="15"/>
  <cols>
    <col min="1" max="1" width="9.375" style="540" customWidth="1"/>
    <col min="2" max="6" width="20.625" style="540" customWidth="1"/>
    <col min="7" max="16384" width="9" style="540"/>
  </cols>
  <sheetData>
    <row r="1" spans="1:6" s="28" customFormat="1" ht="20.25">
      <c r="A1" s="2937" t="s">
        <v>597</v>
      </c>
      <c r="B1" s="2937"/>
      <c r="C1" s="2937"/>
      <c r="D1" s="2937"/>
      <c r="E1" s="2937"/>
      <c r="F1" s="2937"/>
    </row>
    <row r="2" spans="1:6" ht="15.75">
      <c r="A2" s="538"/>
      <c r="B2" s="511"/>
      <c r="C2" s="511"/>
      <c r="D2" s="511"/>
      <c r="E2" s="511"/>
      <c r="F2" s="539" t="s">
        <v>582</v>
      </c>
    </row>
    <row r="3" spans="1:6" ht="15.75">
      <c r="A3" s="541"/>
      <c r="B3" s="514" t="s">
        <v>598</v>
      </c>
      <c r="C3" s="515" t="s">
        <v>583</v>
      </c>
      <c r="D3" s="516" t="s">
        <v>584</v>
      </c>
      <c r="E3" s="515" t="s">
        <v>585</v>
      </c>
      <c r="F3" s="517" t="s">
        <v>599</v>
      </c>
    </row>
    <row r="4" spans="1:6" ht="15.75">
      <c r="A4" s="542" t="s">
        <v>715</v>
      </c>
      <c r="B4" s="543">
        <v>616.97558803554637</v>
      </c>
      <c r="C4" s="544">
        <v>964.47669347620979</v>
      </c>
      <c r="D4" s="544">
        <v>2482.2860863876199</v>
      </c>
      <c r="E4" s="545">
        <v>2945.9</v>
      </c>
      <c r="F4" s="546">
        <v>5532.8711381813164</v>
      </c>
    </row>
    <row r="5" spans="1:6">
      <c r="A5" s="542" t="s">
        <v>687</v>
      </c>
      <c r="B5" s="543">
        <v>503.72263491894591</v>
      </c>
      <c r="C5" s="544">
        <v>901.80376480841505</v>
      </c>
      <c r="D5" s="544">
        <v>2383.45528618857</v>
      </c>
      <c r="E5" s="545">
        <v>2905.4</v>
      </c>
      <c r="F5" s="546">
        <v>5680</v>
      </c>
    </row>
    <row r="6" spans="1:6">
      <c r="A6" s="542" t="s">
        <v>688</v>
      </c>
      <c r="B6" s="543">
        <v>430.86557251116841</v>
      </c>
      <c r="C6" s="544">
        <v>830.3866876327877</v>
      </c>
      <c r="D6" s="544">
        <v>2238.7631238487502</v>
      </c>
      <c r="E6" s="547">
        <v>2868</v>
      </c>
      <c r="F6" s="546">
        <v>5515.7484537594273</v>
      </c>
    </row>
    <row r="7" spans="1:6">
      <c r="A7" s="542" t="s">
        <v>689</v>
      </c>
      <c r="B7" s="548">
        <v>353.38259982648287</v>
      </c>
      <c r="C7" s="549">
        <v>770.65123281868591</v>
      </c>
      <c r="D7" s="549">
        <v>2182.5138812196301</v>
      </c>
      <c r="E7" s="550">
        <v>2733.6</v>
      </c>
      <c r="F7" s="551">
        <v>5465.198628013065</v>
      </c>
    </row>
    <row r="8" spans="1:6">
      <c r="A8" s="542" t="s">
        <v>690</v>
      </c>
      <c r="B8" s="543">
        <v>326.14591707655671</v>
      </c>
      <c r="C8" s="549">
        <v>705.87710331270989</v>
      </c>
      <c r="D8" s="549">
        <v>2053.4</v>
      </c>
      <c r="E8" s="551">
        <v>2574.1</v>
      </c>
      <c r="F8" s="551">
        <v>5485.3103536828921</v>
      </c>
    </row>
    <row r="9" spans="1:6">
      <c r="A9" s="542" t="s">
        <v>691</v>
      </c>
      <c r="B9" s="543">
        <v>282.38180474940151</v>
      </c>
      <c r="C9" s="549">
        <v>636.22796389238499</v>
      </c>
      <c r="D9" s="549">
        <v>2048.53783891188</v>
      </c>
      <c r="E9" s="551">
        <v>2500.5</v>
      </c>
      <c r="F9" s="551">
        <v>5317.8063372782499</v>
      </c>
    </row>
    <row r="10" spans="1:6">
      <c r="A10" s="542" t="s">
        <v>692</v>
      </c>
      <c r="B10" s="543">
        <v>244.96570305807398</v>
      </c>
      <c r="C10" s="549">
        <v>569.54509402194401</v>
      </c>
      <c r="D10" s="549">
        <v>2139.4491907658999</v>
      </c>
      <c r="E10" s="551">
        <v>2451.6</v>
      </c>
      <c r="F10" s="551">
        <v>4988.1664825001453</v>
      </c>
    </row>
    <row r="11" spans="1:6">
      <c r="A11" s="542" t="s">
        <v>693</v>
      </c>
      <c r="B11" s="543">
        <v>220.86116367958223</v>
      </c>
      <c r="C11" s="549">
        <v>517.0917324873335</v>
      </c>
      <c r="D11" s="549">
        <v>2358.0460818417</v>
      </c>
      <c r="E11" s="549">
        <v>2362.9</v>
      </c>
      <c r="F11" s="551">
        <v>4750.2025190158993</v>
      </c>
    </row>
    <row r="12" spans="1:6">
      <c r="A12" s="542" t="s">
        <v>694</v>
      </c>
      <c r="B12" s="543">
        <v>201.82713972614047</v>
      </c>
      <c r="C12" s="549">
        <v>460.15689873595875</v>
      </c>
      <c r="D12" s="549">
        <v>2281.5011873278199</v>
      </c>
      <c r="E12" s="549">
        <v>2209.8000000000002</v>
      </c>
      <c r="F12" s="551">
        <v>4288.8436689805067</v>
      </c>
    </row>
    <row r="13" spans="1:6" s="538" customFormat="1" ht="15.6" customHeight="1">
      <c r="A13" s="552" t="s">
        <v>695</v>
      </c>
      <c r="B13" s="553">
        <v>179.14880710953599</v>
      </c>
      <c r="C13" s="554">
        <v>421.82846443492548</v>
      </c>
      <c r="D13" s="554">
        <v>2238.48929475462</v>
      </c>
      <c r="E13" s="554">
        <v>2109.9</v>
      </c>
      <c r="F13" s="555">
        <v>4153.4360675431089</v>
      </c>
    </row>
    <row r="14" spans="1:6" ht="15.75">
      <c r="A14" s="556" t="s">
        <v>603</v>
      </c>
      <c r="B14" s="557" t="s">
        <v>604</v>
      </c>
    </row>
    <row r="15" spans="1:6" ht="80.25" customHeight="1">
      <c r="B15" s="2934" t="s">
        <v>605</v>
      </c>
      <c r="C15" s="2934"/>
      <c r="D15" s="2934"/>
      <c r="E15" s="2934"/>
      <c r="F15" s="2934"/>
    </row>
    <row r="16" spans="1:6" ht="47.25" customHeight="1">
      <c r="B16" s="2934" t="s">
        <v>606</v>
      </c>
      <c r="C16" s="2934"/>
      <c r="D16" s="2934"/>
      <c r="E16" s="2934"/>
      <c r="F16" s="2934"/>
    </row>
    <row r="17" spans="1:6" ht="33" customHeight="1">
      <c r="B17" s="2940" t="s">
        <v>607</v>
      </c>
      <c r="C17" s="2941"/>
      <c r="D17" s="2941"/>
      <c r="E17" s="2941"/>
      <c r="F17" s="2941"/>
    </row>
    <row r="18" spans="1:6" ht="33.75" customHeight="1">
      <c r="B18" s="2934" t="s">
        <v>608</v>
      </c>
      <c r="C18" s="2934"/>
      <c r="D18" s="2934"/>
      <c r="E18" s="2934"/>
      <c r="F18" s="2934"/>
    </row>
    <row r="19" spans="1:6" ht="15.75">
      <c r="A19" s="556" t="s">
        <v>609</v>
      </c>
      <c r="B19" s="540" t="s">
        <v>610</v>
      </c>
    </row>
    <row r="20" spans="1:6" ht="15.75">
      <c r="B20" s="2939" t="s">
        <v>611</v>
      </c>
      <c r="C20" s="2939"/>
    </row>
    <row r="21" spans="1:6" ht="15.75">
      <c r="B21" s="2939" t="s">
        <v>612</v>
      </c>
      <c r="C21" s="2939"/>
    </row>
    <row r="22" spans="1:6" ht="15.75">
      <c r="B22" s="2939" t="s">
        <v>613</v>
      </c>
      <c r="C22" s="2939"/>
      <c r="D22" s="2939"/>
      <c r="E22" s="2939"/>
      <c r="F22" s="2939"/>
    </row>
    <row r="23" spans="1:6" ht="15.75">
      <c r="B23" s="2939" t="s">
        <v>614</v>
      </c>
      <c r="C23" s="2939"/>
      <c r="D23" s="556"/>
      <c r="E23" s="556"/>
      <c r="F23" s="556"/>
    </row>
    <row r="24" spans="1:6" ht="15.75">
      <c r="B24" s="2939" t="s">
        <v>615</v>
      </c>
      <c r="C24" s="2939"/>
      <c r="D24" s="2939"/>
      <c r="E24" s="2939"/>
      <c r="F24" s="2939"/>
    </row>
    <row r="25" spans="1:6" ht="15.75" customHeight="1">
      <c r="B25" s="2939" t="s">
        <v>616</v>
      </c>
      <c r="C25" s="2939"/>
      <c r="D25" s="2939"/>
      <c r="E25" s="2939"/>
      <c r="F25" s="2939"/>
    </row>
    <row r="26" spans="1:6" ht="16.5" customHeight="1">
      <c r="B26" s="2939" t="s">
        <v>617</v>
      </c>
      <c r="C26" s="2939"/>
      <c r="D26" s="2939"/>
      <c r="E26" s="2939"/>
    </row>
    <row r="27" spans="1:6" ht="17.45" customHeight="1">
      <c r="B27" s="540" t="s">
        <v>618</v>
      </c>
    </row>
    <row r="29" spans="1:6" ht="16.5" customHeight="1"/>
  </sheetData>
  <mergeCells count="12">
    <mergeCell ref="B26:E26"/>
    <mergeCell ref="A1:F1"/>
    <mergeCell ref="B15:F15"/>
    <mergeCell ref="B16:F16"/>
    <mergeCell ref="B17:F17"/>
    <mergeCell ref="B18:F18"/>
    <mergeCell ref="B20:C20"/>
    <mergeCell ref="B21:C21"/>
    <mergeCell ref="B22:F22"/>
    <mergeCell ref="B23:C23"/>
    <mergeCell ref="B24:F24"/>
    <mergeCell ref="B25:F25"/>
  </mergeCells>
  <phoneticPr fontId="61" type="noConversion"/>
  <printOptions horizontalCentered="1" verticalCentered="1"/>
  <pageMargins left="0.70866141732283472" right="0.70866141732283472" top="0.74803149606299213" bottom="0.74803149606299213" header="0.31496062992125984" footer="0.31496062992125984"/>
  <pageSetup paperSize="11" scale="68" orientation="landscape" r:id="rId1"/>
  <headerFooter differentOddEven="1" scaleWithDoc="0">
    <oddHeader>&amp;L&amp;"Times New Roman,標準"&amp;8 107&amp;"標楷體,標準"年犯罪狀況及其分析</oddHeader>
    <evenHeader>&amp;R&amp;"標楷體,標準"&amp;8第一篇　&amp;"Times New Roman,標準"107&amp;"標楷體,標準"年犯罪狀況及近&amp;"Times New Roman,標準"10&amp;"標楷體,標準"年犯罪趨勢分析</even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H20"/>
  <sheetViews>
    <sheetView showGridLines="0" zoomScale="130" zoomScaleNormal="130" workbookViewId="0">
      <pane xSplit="1" topLeftCell="B1" activePane="topRight" state="frozen"/>
      <selection activeCell="M18" sqref="M18"/>
      <selection pane="topRight" activeCell="I15" sqref="I15"/>
    </sheetView>
  </sheetViews>
  <sheetFormatPr defaultColWidth="8.625" defaultRowHeight="15.75"/>
  <cols>
    <col min="1" max="1" width="9.375" style="28" customWidth="1"/>
    <col min="2" max="6" width="20.625" style="28" customWidth="1"/>
    <col min="7" max="7" width="8.625" style="28"/>
    <col min="8" max="8" width="11.625" style="28" bestFit="1" customWidth="1"/>
    <col min="9" max="16384" width="8.625" style="28"/>
  </cols>
  <sheetData>
    <row r="1" spans="1:8" ht="20.25">
      <c r="A1" s="2943" t="s">
        <v>619</v>
      </c>
      <c r="B1" s="2943"/>
      <c r="C1" s="2943"/>
      <c r="D1" s="2943"/>
      <c r="E1" s="2943"/>
      <c r="F1" s="2943"/>
    </row>
    <row r="2" spans="1:8">
      <c r="A2" s="29"/>
      <c r="B2" s="558"/>
      <c r="C2" s="558"/>
      <c r="D2" s="540"/>
      <c r="E2" s="540"/>
      <c r="F2" s="559" t="s">
        <v>582</v>
      </c>
    </row>
    <row r="3" spans="1:8" ht="15.75" customHeight="1">
      <c r="A3" s="560"/>
      <c r="B3" s="561" t="s">
        <v>620</v>
      </c>
      <c r="C3" s="562" t="s">
        <v>621</v>
      </c>
      <c r="D3" s="562" t="s">
        <v>622</v>
      </c>
      <c r="E3" s="563" t="s">
        <v>623</v>
      </c>
      <c r="F3" s="564" t="s">
        <v>624</v>
      </c>
    </row>
    <row r="4" spans="1:8" ht="15.75" customHeight="1">
      <c r="A4" s="565" t="s">
        <v>625</v>
      </c>
      <c r="B4" s="566">
        <v>123.13237988348618</v>
      </c>
      <c r="C4" s="566">
        <v>29.552062024378479</v>
      </c>
      <c r="D4" s="567">
        <v>131.1</v>
      </c>
      <c r="E4" s="568">
        <f>152426/309321666*100000</f>
        <v>49.277505184522056</v>
      </c>
      <c r="F4" s="569">
        <v>1114.74189675358</v>
      </c>
    </row>
    <row r="5" spans="1:8" ht="15.75" customHeight="1">
      <c r="A5" s="565" t="s">
        <v>626</v>
      </c>
      <c r="B5" s="566">
        <v>101.80430584096815</v>
      </c>
      <c r="C5" s="566">
        <v>27.167760569399327</v>
      </c>
      <c r="D5" s="567">
        <v>855.4</v>
      </c>
      <c r="E5" s="570">
        <f>132422/311556874*100000</f>
        <v>42.503315141106469</v>
      </c>
      <c r="F5" s="569">
        <v>1220</v>
      </c>
    </row>
    <row r="6" spans="1:8" ht="15.75" customHeight="1">
      <c r="A6" s="565" t="s">
        <v>627</v>
      </c>
      <c r="B6" s="566">
        <v>87.75538434782743</v>
      </c>
      <c r="C6" s="566">
        <v>27.254326457719547</v>
      </c>
      <c r="D6" s="567">
        <v>908.7</v>
      </c>
      <c r="E6" s="570">
        <f>125228/313830990*100000</f>
        <v>39.903006392071092</v>
      </c>
      <c r="F6" s="569">
        <v>1355.7922213203101</v>
      </c>
    </row>
    <row r="7" spans="1:8" ht="15.75" customHeight="1">
      <c r="A7" s="565" t="s">
        <v>628</v>
      </c>
      <c r="B7" s="571">
        <v>80.412361374402835</v>
      </c>
      <c r="C7" s="571">
        <v>30.082033033358343</v>
      </c>
      <c r="D7" s="571">
        <v>922.6</v>
      </c>
      <c r="E7" s="571">
        <v>45.35</v>
      </c>
      <c r="F7" s="572">
        <v>1545.37584594281</v>
      </c>
    </row>
    <row r="8" spans="1:8" ht="15.75" customHeight="1">
      <c r="A8" s="565" t="s">
        <v>629</v>
      </c>
      <c r="B8" s="573">
        <v>98.501792563420153</v>
      </c>
      <c r="C8" s="573">
        <v>32.666303665779509</v>
      </c>
      <c r="D8" s="573">
        <v>1041.5</v>
      </c>
      <c r="E8" s="571">
        <v>44.34</v>
      </c>
      <c r="F8" s="572">
        <v>1609.7890753152101</v>
      </c>
    </row>
    <row r="9" spans="1:8" ht="15.75" customHeight="1">
      <c r="A9" s="565" t="s">
        <v>630</v>
      </c>
      <c r="B9" s="573">
        <v>90.236020981878042</v>
      </c>
      <c r="C9" s="573">
        <v>31.066101679385461</v>
      </c>
      <c r="D9" s="573">
        <v>1074.9000000000001</v>
      </c>
      <c r="E9" s="571">
        <v>41.48</v>
      </c>
      <c r="F9" s="572">
        <v>1895.88099670676</v>
      </c>
    </row>
    <row r="10" spans="1:8" ht="15.75" customHeight="1">
      <c r="A10" s="565" t="s">
        <v>631</v>
      </c>
      <c r="B10" s="573">
        <v>98.550153948735641</v>
      </c>
      <c r="C10" s="573">
        <v>32.283368555205136</v>
      </c>
      <c r="D10" s="573">
        <v>1104.7</v>
      </c>
      <c r="E10" s="571">
        <v>39.78</v>
      </c>
      <c r="F10" s="572">
        <v>2066.92777498126</v>
      </c>
    </row>
    <row r="11" spans="1:8" ht="15.75" customHeight="1">
      <c r="A11" s="565" t="s">
        <v>632</v>
      </c>
      <c r="B11" s="573">
        <v>96.321363627602906</v>
      </c>
      <c r="C11" s="573">
        <v>33.582272018706803</v>
      </c>
      <c r="D11" s="573">
        <v>1093.9000000000001</v>
      </c>
      <c r="E11" s="571">
        <v>38.21</v>
      </c>
      <c r="F11" s="572">
        <v>2074.9082978484798</v>
      </c>
    </row>
    <row r="12" spans="1:8" ht="15.75" customHeight="1">
      <c r="A12" s="565" t="s">
        <v>633</v>
      </c>
      <c r="B12" s="573">
        <v>99.533167392416985</v>
      </c>
      <c r="C12" s="573">
        <v>30.442835397297184</v>
      </c>
      <c r="D12" s="573">
        <v>1143.2</v>
      </c>
      <c r="E12" s="571">
        <v>36.69</v>
      </c>
      <c r="F12" s="572">
        <v>2557.7841683616698</v>
      </c>
    </row>
    <row r="13" spans="1:8" s="29" customFormat="1" ht="15.75" customHeight="1">
      <c r="A13" s="574" t="s">
        <v>634</v>
      </c>
      <c r="B13" s="575">
        <v>100.21602577874711</v>
      </c>
      <c r="C13" s="575">
        <v>25.510180642842929</v>
      </c>
      <c r="D13" s="575">
        <v>1289.4000000000001</v>
      </c>
      <c r="E13" s="575">
        <v>29.2</v>
      </c>
      <c r="F13" s="576">
        <v>2380.5690246424501</v>
      </c>
    </row>
    <row r="14" spans="1:8" ht="15.75" customHeight="1">
      <c r="A14" s="540" t="s">
        <v>603</v>
      </c>
      <c r="B14" s="557" t="s">
        <v>635</v>
      </c>
      <c r="C14" s="540"/>
      <c r="D14" s="540"/>
      <c r="E14" s="540"/>
      <c r="F14" s="540"/>
    </row>
    <row r="15" spans="1:8" ht="81.75" customHeight="1">
      <c r="B15" s="2934" t="s">
        <v>636</v>
      </c>
      <c r="C15" s="2934"/>
      <c r="D15" s="2934"/>
      <c r="E15" s="2934"/>
      <c r="F15" s="2934"/>
    </row>
    <row r="16" spans="1:8" ht="46.5" customHeight="1">
      <c r="B16" s="2934" t="s">
        <v>637</v>
      </c>
      <c r="C16" s="2934"/>
      <c r="D16" s="2934"/>
      <c r="E16" s="2934"/>
      <c r="F16" s="2934"/>
      <c r="G16" s="534"/>
      <c r="H16" s="577"/>
    </row>
    <row r="17" spans="1:8" s="42" customFormat="1" ht="28.5" customHeight="1">
      <c r="B17" s="2934" t="s">
        <v>638</v>
      </c>
      <c r="C17" s="2934"/>
      <c r="D17" s="2934"/>
      <c r="E17" s="2934"/>
      <c r="F17" s="2934"/>
      <c r="G17" s="534"/>
      <c r="H17" s="534"/>
    </row>
    <row r="18" spans="1:8" s="42" customFormat="1" ht="66.75" customHeight="1">
      <c r="B18" s="2934" t="s">
        <v>639</v>
      </c>
      <c r="C18" s="2934"/>
      <c r="D18" s="2934"/>
      <c r="E18" s="2934"/>
      <c r="F18" s="2934"/>
      <c r="G18" s="578"/>
      <c r="H18" s="534"/>
    </row>
    <row r="19" spans="1:8">
      <c r="A19" s="556" t="s">
        <v>640</v>
      </c>
      <c r="B19" s="540" t="s">
        <v>641</v>
      </c>
    </row>
    <row r="20" spans="1:8" ht="32.1" customHeight="1">
      <c r="B20" s="2942" t="s">
        <v>642</v>
      </c>
      <c r="C20" s="2942"/>
      <c r="D20" s="2942"/>
      <c r="E20" s="2942"/>
      <c r="F20" s="2942"/>
    </row>
  </sheetData>
  <mergeCells count="6">
    <mergeCell ref="B20:F20"/>
    <mergeCell ref="A1:F1"/>
    <mergeCell ref="B15:F15"/>
    <mergeCell ref="B16:F16"/>
    <mergeCell ref="B17:F17"/>
    <mergeCell ref="B18:F18"/>
  </mergeCells>
  <phoneticPr fontId="61" type="noConversion"/>
  <printOptions horizontalCentered="1" verticalCentered="1"/>
  <pageMargins left="0.70866141732283472" right="0.70866141732283472" top="0.74803149606299213" bottom="0.74803149606299213" header="0.31496062992125984" footer="0.31496062992125984"/>
  <pageSetup paperSize="11" scale="66" orientation="landscape" r:id="rId1"/>
  <headerFooter differentOddEven="1" scaleWithDoc="0">
    <oddHeader>&amp;L&amp;"Times New Roman,標準"&amp;8 107&amp;"標楷體,標準"年犯罪狀況及其分析</oddHeader>
    <evenHeader>&amp;R&amp;"標楷體,標準"&amp;8第一篇　&amp;"Times New Roman,標準"107&amp;"標楷體,標準"年犯罪狀況及近&amp;"Times New Roman,標準"10&amp;"標楷體,標準"年犯罪趨勢分析</even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AH42"/>
  <sheetViews>
    <sheetView showGridLines="0" zoomScaleNormal="100" zoomScalePageLayoutView="80" workbookViewId="0">
      <selection activeCell="J16" sqref="J16"/>
    </sheetView>
  </sheetViews>
  <sheetFormatPr defaultColWidth="9" defaultRowHeight="15.75"/>
  <cols>
    <col min="1" max="1" width="6.375" style="10" customWidth="1"/>
    <col min="2" max="2" width="7.5" style="9" customWidth="1"/>
    <col min="3" max="3" width="9.5" style="9" bestFit="1" customWidth="1"/>
    <col min="4" max="4" width="7.375" style="9" customWidth="1"/>
    <col min="5" max="5" width="8.75" style="9" bestFit="1" customWidth="1"/>
    <col min="6" max="10" width="9.75" style="9" bestFit="1" customWidth="1"/>
    <col min="11" max="13" width="9.5" style="9" bestFit="1" customWidth="1"/>
    <col min="14" max="14" width="9.375" style="9" customWidth="1"/>
    <col min="15" max="15" width="5.375" style="9" customWidth="1"/>
    <col min="16" max="16384" width="9" style="9"/>
  </cols>
  <sheetData>
    <row r="1" spans="1:34" ht="27" customHeight="1">
      <c r="A1" s="2821" t="s">
        <v>184</v>
      </c>
      <c r="B1" s="2821"/>
      <c r="C1" s="2821"/>
      <c r="D1" s="2821"/>
      <c r="E1" s="2821"/>
      <c r="F1" s="2821"/>
      <c r="G1" s="2821"/>
      <c r="H1" s="2821"/>
      <c r="I1" s="2821"/>
      <c r="J1" s="2821"/>
      <c r="K1" s="2821"/>
      <c r="L1" s="2821"/>
      <c r="M1" s="2821"/>
      <c r="N1" s="2821"/>
      <c r="O1" s="2821"/>
      <c r="P1" s="51"/>
      <c r="Q1" s="51"/>
      <c r="R1" s="51"/>
      <c r="S1" s="51"/>
      <c r="T1" s="51"/>
      <c r="U1" s="51"/>
      <c r="V1" s="51"/>
      <c r="W1" s="51"/>
      <c r="X1" s="51"/>
      <c r="Y1" s="51"/>
      <c r="Z1" s="51"/>
      <c r="AA1" s="51"/>
      <c r="AB1" s="51"/>
      <c r="AC1" s="51"/>
      <c r="AD1" s="51"/>
      <c r="AE1" s="51"/>
      <c r="AF1" s="51"/>
      <c r="AG1" s="51"/>
      <c r="AH1" s="51"/>
    </row>
    <row r="2" spans="1:34" ht="18.75" customHeight="1">
      <c r="A2" s="383"/>
      <c r="B2" s="383"/>
      <c r="C2" s="341" t="s">
        <v>185</v>
      </c>
      <c r="D2" s="63" t="s">
        <v>186</v>
      </c>
      <c r="E2" s="63" t="s">
        <v>187</v>
      </c>
      <c r="F2" s="63" t="s">
        <v>188</v>
      </c>
      <c r="G2" s="63" t="s">
        <v>189</v>
      </c>
      <c r="H2" s="63" t="s">
        <v>190</v>
      </c>
      <c r="I2" s="63" t="s">
        <v>191</v>
      </c>
      <c r="J2" s="63" t="s">
        <v>192</v>
      </c>
      <c r="K2" s="63" t="s">
        <v>193</v>
      </c>
      <c r="L2" s="63" t="s">
        <v>194</v>
      </c>
      <c r="M2" s="63" t="s">
        <v>195</v>
      </c>
      <c r="N2" s="63" t="s">
        <v>196</v>
      </c>
      <c r="O2" s="252" t="s">
        <v>197</v>
      </c>
      <c r="P2" s="10"/>
    </row>
    <row r="3" spans="1:34" hidden="1">
      <c r="A3" s="2822" t="s">
        <v>176</v>
      </c>
      <c r="B3" s="13"/>
      <c r="C3" s="56">
        <f t="shared" ref="C3:N3" si="0">SUM(C4:C5)</f>
        <v>229193</v>
      </c>
      <c r="D3" s="57">
        <f t="shared" si="0"/>
        <v>17</v>
      </c>
      <c r="E3" s="56">
        <f t="shared" si="0"/>
        <v>445</v>
      </c>
      <c r="F3" s="58">
        <f t="shared" si="0"/>
        <v>10384</v>
      </c>
      <c r="G3" s="58">
        <f t="shared" si="0"/>
        <v>24489</v>
      </c>
      <c r="H3" s="58">
        <f t="shared" si="0"/>
        <v>47012</v>
      </c>
      <c r="I3" s="58">
        <f t="shared" si="0"/>
        <v>67557</v>
      </c>
      <c r="J3" s="58">
        <f t="shared" si="0"/>
        <v>49679</v>
      </c>
      <c r="K3" s="58">
        <f t="shared" si="0"/>
        <v>21894</v>
      </c>
      <c r="L3" s="58">
        <f t="shared" si="0"/>
        <v>3491</v>
      </c>
      <c r="M3" s="58">
        <f t="shared" si="0"/>
        <v>2247</v>
      </c>
      <c r="N3" s="58">
        <f t="shared" si="0"/>
        <v>1972</v>
      </c>
      <c r="O3" s="64">
        <v>6</v>
      </c>
      <c r="P3" s="52"/>
    </row>
    <row r="4" spans="1:34" hidden="1">
      <c r="A4" s="2822"/>
      <c r="B4" s="13" t="s">
        <v>198</v>
      </c>
      <c r="C4" s="56">
        <v>189495</v>
      </c>
      <c r="D4" s="57">
        <v>15</v>
      </c>
      <c r="E4" s="56">
        <v>393</v>
      </c>
      <c r="F4" s="56">
        <v>8724</v>
      </c>
      <c r="G4" s="56">
        <v>18712</v>
      </c>
      <c r="H4" s="56">
        <v>37893</v>
      </c>
      <c r="I4" s="56">
        <v>57512</v>
      </c>
      <c r="J4" s="56">
        <v>42071</v>
      </c>
      <c r="K4" s="56">
        <v>17986</v>
      </c>
      <c r="L4" s="56">
        <v>2803</v>
      </c>
      <c r="M4" s="56">
        <v>1801</v>
      </c>
      <c r="N4" s="56">
        <v>1581</v>
      </c>
      <c r="O4" s="64">
        <v>4</v>
      </c>
      <c r="P4" s="52"/>
    </row>
    <row r="5" spans="1:34" hidden="1">
      <c r="A5" s="2822"/>
      <c r="B5" s="13" t="s">
        <v>199</v>
      </c>
      <c r="C5" s="56">
        <v>39698</v>
      </c>
      <c r="D5" s="57">
        <v>2</v>
      </c>
      <c r="E5" s="56">
        <v>52</v>
      </c>
      <c r="F5" s="56">
        <v>1660</v>
      </c>
      <c r="G5" s="56">
        <v>5777</v>
      </c>
      <c r="H5" s="56">
        <v>9119</v>
      </c>
      <c r="I5" s="56">
        <v>10045</v>
      </c>
      <c r="J5" s="56">
        <v>7608</v>
      </c>
      <c r="K5" s="56">
        <v>3908</v>
      </c>
      <c r="L5" s="56">
        <v>688</v>
      </c>
      <c r="M5" s="56">
        <v>446</v>
      </c>
      <c r="N5" s="56">
        <v>391</v>
      </c>
      <c r="O5" s="64">
        <v>2</v>
      </c>
      <c r="P5" s="52"/>
    </row>
    <row r="6" spans="1:34" ht="18.75" customHeight="1">
      <c r="A6" s="2818" t="s">
        <v>200</v>
      </c>
      <c r="B6" s="86" t="s">
        <v>383</v>
      </c>
      <c r="C6" s="105">
        <f t="shared" ref="C6:N6" si="1">SUM(C7:C8)</f>
        <v>269340</v>
      </c>
      <c r="D6" s="105">
        <f t="shared" si="1"/>
        <v>3</v>
      </c>
      <c r="E6" s="105">
        <f t="shared" si="1"/>
        <v>469</v>
      </c>
      <c r="F6" s="105">
        <f t="shared" si="1"/>
        <v>11102</v>
      </c>
      <c r="G6" s="105">
        <f t="shared" si="1"/>
        <v>25213</v>
      </c>
      <c r="H6" s="105">
        <f t="shared" si="1"/>
        <v>39524</v>
      </c>
      <c r="I6" s="483">
        <f t="shared" si="1"/>
        <v>76401</v>
      </c>
      <c r="J6" s="483">
        <f t="shared" si="1"/>
        <v>62177</v>
      </c>
      <c r="K6" s="105">
        <f t="shared" si="1"/>
        <v>38184</v>
      </c>
      <c r="L6" s="105">
        <f t="shared" si="1"/>
        <v>7300</v>
      </c>
      <c r="M6" s="105">
        <f t="shared" si="1"/>
        <v>4257</v>
      </c>
      <c r="N6" s="105">
        <f t="shared" si="1"/>
        <v>4707</v>
      </c>
      <c r="O6" s="106">
        <v>3</v>
      </c>
      <c r="P6" s="52"/>
    </row>
    <row r="7" spans="1:34" ht="18.75" customHeight="1">
      <c r="A7" s="2819"/>
      <c r="B7" s="86" t="s">
        <v>198</v>
      </c>
      <c r="C7" s="86">
        <v>219709</v>
      </c>
      <c r="D7" s="86">
        <v>2</v>
      </c>
      <c r="E7" s="86">
        <v>370</v>
      </c>
      <c r="F7" s="86">
        <v>9365</v>
      </c>
      <c r="G7" s="86">
        <v>19674</v>
      </c>
      <c r="H7" s="86">
        <v>31479</v>
      </c>
      <c r="I7" s="97">
        <v>63614</v>
      </c>
      <c r="J7" s="97">
        <v>52284</v>
      </c>
      <c r="K7" s="86">
        <v>30599</v>
      </c>
      <c r="L7" s="86">
        <v>5664</v>
      </c>
      <c r="M7" s="86">
        <v>3173</v>
      </c>
      <c r="N7" s="86">
        <v>3482</v>
      </c>
      <c r="O7" s="98">
        <v>3</v>
      </c>
      <c r="P7" s="52"/>
    </row>
    <row r="8" spans="1:34" ht="18.75" customHeight="1">
      <c r="A8" s="2820"/>
      <c r="B8" s="103" t="s">
        <v>199</v>
      </c>
      <c r="C8" s="103">
        <v>49631</v>
      </c>
      <c r="D8" s="103">
        <v>1</v>
      </c>
      <c r="E8" s="103">
        <v>99</v>
      </c>
      <c r="F8" s="103">
        <v>1737</v>
      </c>
      <c r="G8" s="103">
        <v>5539</v>
      </c>
      <c r="H8" s="103">
        <v>8045</v>
      </c>
      <c r="I8" s="371">
        <v>12787</v>
      </c>
      <c r="J8" s="371">
        <v>9893</v>
      </c>
      <c r="K8" s="103">
        <v>7585</v>
      </c>
      <c r="L8" s="103">
        <v>1636</v>
      </c>
      <c r="M8" s="103">
        <v>1084</v>
      </c>
      <c r="N8" s="103">
        <v>1225</v>
      </c>
      <c r="O8" s="104">
        <v>0</v>
      </c>
      <c r="P8" s="52"/>
    </row>
    <row r="9" spans="1:34" ht="18.75" customHeight="1">
      <c r="A9" s="2818" t="s">
        <v>201</v>
      </c>
      <c r="B9" s="86" t="s">
        <v>383</v>
      </c>
      <c r="C9" s="105">
        <f t="shared" ref="C9:N9" si="2">SUM(C10:C11)</f>
        <v>260356</v>
      </c>
      <c r="D9" s="105">
        <f t="shared" si="2"/>
        <v>1</v>
      </c>
      <c r="E9" s="105">
        <f t="shared" si="2"/>
        <v>536</v>
      </c>
      <c r="F9" s="105">
        <f t="shared" si="2"/>
        <v>13103</v>
      </c>
      <c r="G9" s="105">
        <f t="shared" si="2"/>
        <v>26610</v>
      </c>
      <c r="H9" s="105">
        <f t="shared" si="2"/>
        <v>35949</v>
      </c>
      <c r="I9" s="483">
        <f t="shared" si="2"/>
        <v>73861</v>
      </c>
      <c r="J9" s="483">
        <f t="shared" si="2"/>
        <v>58932</v>
      </c>
      <c r="K9" s="105">
        <f t="shared" si="2"/>
        <v>36599</v>
      </c>
      <c r="L9" s="105">
        <f t="shared" si="2"/>
        <v>7639</v>
      </c>
      <c r="M9" s="105">
        <f t="shared" si="2"/>
        <v>3433</v>
      </c>
      <c r="N9" s="105">
        <f t="shared" si="2"/>
        <v>3693</v>
      </c>
      <c r="O9" s="106">
        <v>0</v>
      </c>
      <c r="P9" s="52"/>
    </row>
    <row r="10" spans="1:34" ht="18.75" customHeight="1">
      <c r="A10" s="2819"/>
      <c r="B10" s="86" t="s">
        <v>198</v>
      </c>
      <c r="C10" s="86">
        <v>212981</v>
      </c>
      <c r="D10" s="86">
        <v>1</v>
      </c>
      <c r="E10" s="86">
        <v>452</v>
      </c>
      <c r="F10" s="86">
        <v>11168</v>
      </c>
      <c r="G10" s="86">
        <v>21036</v>
      </c>
      <c r="H10" s="86">
        <v>28431</v>
      </c>
      <c r="I10" s="97">
        <v>61070</v>
      </c>
      <c r="J10" s="97">
        <v>49470</v>
      </c>
      <c r="K10" s="86">
        <v>29735</v>
      </c>
      <c r="L10" s="86">
        <v>6013</v>
      </c>
      <c r="M10" s="86">
        <v>2694</v>
      </c>
      <c r="N10" s="86">
        <v>2911</v>
      </c>
      <c r="O10" s="98">
        <v>0</v>
      </c>
      <c r="P10" s="52"/>
    </row>
    <row r="11" spans="1:34" ht="18.75" customHeight="1">
      <c r="A11" s="2820"/>
      <c r="B11" s="103" t="s">
        <v>199</v>
      </c>
      <c r="C11" s="103">
        <v>47375</v>
      </c>
      <c r="D11" s="103">
        <v>0</v>
      </c>
      <c r="E11" s="103">
        <v>84</v>
      </c>
      <c r="F11" s="103">
        <v>1935</v>
      </c>
      <c r="G11" s="103">
        <v>5574</v>
      </c>
      <c r="H11" s="103">
        <v>7518</v>
      </c>
      <c r="I11" s="371">
        <v>12791</v>
      </c>
      <c r="J11" s="371">
        <v>9462</v>
      </c>
      <c r="K11" s="103">
        <v>6864</v>
      </c>
      <c r="L11" s="103">
        <v>1626</v>
      </c>
      <c r="M11" s="103">
        <v>739</v>
      </c>
      <c r="N11" s="103">
        <v>782</v>
      </c>
      <c r="O11" s="104">
        <v>0</v>
      </c>
      <c r="P11" s="52"/>
    </row>
    <row r="12" spans="1:34" ht="18.75" customHeight="1">
      <c r="A12" s="2818" t="s">
        <v>202</v>
      </c>
      <c r="B12" s="86" t="s">
        <v>383</v>
      </c>
      <c r="C12" s="105">
        <f t="shared" ref="C12:N12" si="3">SUM(C13:C14)</f>
        <v>262058</v>
      </c>
      <c r="D12" s="105">
        <f t="shared" si="3"/>
        <v>3</v>
      </c>
      <c r="E12" s="105">
        <f t="shared" si="3"/>
        <v>620</v>
      </c>
      <c r="F12" s="105">
        <f t="shared" si="3"/>
        <v>15078</v>
      </c>
      <c r="G12" s="105">
        <f t="shared" si="3"/>
        <v>28291</v>
      </c>
      <c r="H12" s="105">
        <f t="shared" si="3"/>
        <v>32287</v>
      </c>
      <c r="I12" s="483">
        <f t="shared" si="3"/>
        <v>71855</v>
      </c>
      <c r="J12" s="483">
        <f t="shared" si="3"/>
        <v>58631</v>
      </c>
      <c r="K12" s="105">
        <f t="shared" si="3"/>
        <v>38536</v>
      </c>
      <c r="L12" s="105">
        <f t="shared" si="3"/>
        <v>8764</v>
      </c>
      <c r="M12" s="105">
        <f t="shared" si="3"/>
        <v>3609</v>
      </c>
      <c r="N12" s="105">
        <f t="shared" si="3"/>
        <v>4370</v>
      </c>
      <c r="O12" s="106">
        <v>14</v>
      </c>
      <c r="P12" s="52"/>
    </row>
    <row r="13" spans="1:34" ht="18.75" customHeight="1">
      <c r="A13" s="2819"/>
      <c r="B13" s="86" t="s">
        <v>198</v>
      </c>
      <c r="C13" s="86">
        <v>213949</v>
      </c>
      <c r="D13" s="86">
        <v>3</v>
      </c>
      <c r="E13" s="86">
        <v>522</v>
      </c>
      <c r="F13" s="86">
        <v>12940</v>
      </c>
      <c r="G13" s="86">
        <v>22534</v>
      </c>
      <c r="H13" s="86">
        <v>25522</v>
      </c>
      <c r="I13" s="97">
        <v>59072</v>
      </c>
      <c r="J13" s="97">
        <v>49172</v>
      </c>
      <c r="K13" s="86">
        <v>31155</v>
      </c>
      <c r="L13" s="86">
        <v>6836</v>
      </c>
      <c r="M13" s="86">
        <v>2799</v>
      </c>
      <c r="N13" s="86">
        <v>3382</v>
      </c>
      <c r="O13" s="98">
        <v>12</v>
      </c>
      <c r="P13" s="52"/>
    </row>
    <row r="14" spans="1:34" ht="18.75" customHeight="1">
      <c r="A14" s="2820"/>
      <c r="B14" s="103" t="s">
        <v>199</v>
      </c>
      <c r="C14" s="103">
        <v>48109</v>
      </c>
      <c r="D14" s="103">
        <v>0</v>
      </c>
      <c r="E14" s="103">
        <v>98</v>
      </c>
      <c r="F14" s="103">
        <v>2138</v>
      </c>
      <c r="G14" s="103">
        <v>5757</v>
      </c>
      <c r="H14" s="103">
        <v>6765</v>
      </c>
      <c r="I14" s="371">
        <v>12783</v>
      </c>
      <c r="J14" s="371">
        <v>9459</v>
      </c>
      <c r="K14" s="103">
        <v>7381</v>
      </c>
      <c r="L14" s="103">
        <v>1928</v>
      </c>
      <c r="M14" s="103">
        <v>810</v>
      </c>
      <c r="N14" s="103">
        <v>988</v>
      </c>
      <c r="O14" s="104">
        <v>2</v>
      </c>
      <c r="P14" s="52"/>
    </row>
    <row r="15" spans="1:34" ht="18.75" customHeight="1">
      <c r="A15" s="2818" t="s">
        <v>203</v>
      </c>
      <c r="B15" s="86" t="s">
        <v>383</v>
      </c>
      <c r="C15" s="86">
        <f t="shared" ref="C15:N15" si="4">SUM(C16:C17)</f>
        <v>255310</v>
      </c>
      <c r="D15" s="86">
        <f t="shared" si="4"/>
        <v>11</v>
      </c>
      <c r="E15" s="86">
        <f t="shared" si="4"/>
        <v>598</v>
      </c>
      <c r="F15" s="86">
        <f t="shared" si="4"/>
        <v>12038</v>
      </c>
      <c r="G15" s="86">
        <f t="shared" si="4"/>
        <v>26469</v>
      </c>
      <c r="H15" s="86">
        <f t="shared" si="4"/>
        <v>29739</v>
      </c>
      <c r="I15" s="97">
        <f t="shared" si="4"/>
        <v>69448</v>
      </c>
      <c r="J15" s="97">
        <f t="shared" si="4"/>
        <v>58262</v>
      </c>
      <c r="K15" s="86">
        <f t="shared" si="4"/>
        <v>40325</v>
      </c>
      <c r="L15" s="86">
        <f t="shared" si="4"/>
        <v>9965</v>
      </c>
      <c r="M15" s="86">
        <f t="shared" si="4"/>
        <v>4059</v>
      </c>
      <c r="N15" s="86">
        <f t="shared" si="4"/>
        <v>4368</v>
      </c>
      <c r="O15" s="98">
        <v>28</v>
      </c>
      <c r="P15" s="52"/>
    </row>
    <row r="16" spans="1:34" ht="18.75" customHeight="1">
      <c r="A16" s="2819"/>
      <c r="B16" s="86" t="s">
        <v>198</v>
      </c>
      <c r="C16" s="86">
        <v>209222</v>
      </c>
      <c r="D16" s="86">
        <v>10</v>
      </c>
      <c r="E16" s="86">
        <v>512</v>
      </c>
      <c r="F16" s="86">
        <v>10267</v>
      </c>
      <c r="G16" s="86">
        <v>21327</v>
      </c>
      <c r="H16" s="86">
        <v>23732</v>
      </c>
      <c r="I16" s="97">
        <v>57208</v>
      </c>
      <c r="J16" s="97">
        <v>48974</v>
      </c>
      <c r="K16" s="86">
        <v>32830</v>
      </c>
      <c r="L16" s="86">
        <v>7788</v>
      </c>
      <c r="M16" s="86">
        <v>3176</v>
      </c>
      <c r="N16" s="86">
        <v>3373</v>
      </c>
      <c r="O16" s="98">
        <v>25</v>
      </c>
      <c r="P16" s="52"/>
    </row>
    <row r="17" spans="1:34" ht="18.75" customHeight="1">
      <c r="A17" s="2820"/>
      <c r="B17" s="103" t="s">
        <v>199</v>
      </c>
      <c r="C17" s="103">
        <v>46088</v>
      </c>
      <c r="D17" s="103">
        <v>1</v>
      </c>
      <c r="E17" s="103">
        <v>86</v>
      </c>
      <c r="F17" s="103">
        <v>1771</v>
      </c>
      <c r="G17" s="103">
        <v>5142</v>
      </c>
      <c r="H17" s="103">
        <v>6007</v>
      </c>
      <c r="I17" s="371">
        <v>12240</v>
      </c>
      <c r="J17" s="371">
        <v>9288</v>
      </c>
      <c r="K17" s="103">
        <v>7495</v>
      </c>
      <c r="L17" s="103">
        <v>2177</v>
      </c>
      <c r="M17" s="103">
        <v>883</v>
      </c>
      <c r="N17" s="103">
        <v>995</v>
      </c>
      <c r="O17" s="104">
        <v>3</v>
      </c>
      <c r="P17" s="52"/>
    </row>
    <row r="18" spans="1:34" ht="18.75" customHeight="1">
      <c r="A18" s="2818" t="s">
        <v>204</v>
      </c>
      <c r="B18" s="86" t="s">
        <v>383</v>
      </c>
      <c r="C18" s="44">
        <v>261603</v>
      </c>
      <c r="D18" s="99">
        <v>5</v>
      </c>
      <c r="E18" s="99">
        <v>574</v>
      </c>
      <c r="F18" s="99">
        <v>10969</v>
      </c>
      <c r="G18" s="99">
        <v>25417</v>
      </c>
      <c r="H18" s="99">
        <v>28144</v>
      </c>
      <c r="I18" s="484">
        <v>70013</v>
      </c>
      <c r="J18" s="484">
        <v>59987</v>
      </c>
      <c r="K18" s="99">
        <v>44031</v>
      </c>
      <c r="L18" s="99">
        <v>11692</v>
      </c>
      <c r="M18" s="99">
        <v>5127</v>
      </c>
      <c r="N18" s="99">
        <v>5618</v>
      </c>
      <c r="O18" s="100">
        <v>26</v>
      </c>
      <c r="P18" s="52"/>
    </row>
    <row r="19" spans="1:34" ht="18.75" customHeight="1">
      <c r="A19" s="2819"/>
      <c r="B19" s="86" t="s">
        <v>198</v>
      </c>
      <c r="C19" s="44">
        <v>214701</v>
      </c>
      <c r="D19" s="99">
        <v>4</v>
      </c>
      <c r="E19" s="99">
        <v>478</v>
      </c>
      <c r="F19" s="99">
        <v>9400</v>
      </c>
      <c r="G19" s="99">
        <v>20807</v>
      </c>
      <c r="H19" s="99">
        <v>22354</v>
      </c>
      <c r="I19" s="484">
        <v>57805</v>
      </c>
      <c r="J19" s="484">
        <v>50658</v>
      </c>
      <c r="K19" s="99">
        <v>35947</v>
      </c>
      <c r="L19" s="99">
        <v>9163</v>
      </c>
      <c r="M19" s="99">
        <v>3868</v>
      </c>
      <c r="N19" s="99">
        <v>4200</v>
      </c>
      <c r="O19" s="100">
        <v>17</v>
      </c>
      <c r="P19" s="52"/>
    </row>
    <row r="20" spans="1:34" ht="18.75" customHeight="1">
      <c r="A20" s="2820"/>
      <c r="B20" s="103" t="s">
        <v>199</v>
      </c>
      <c r="C20" s="94">
        <v>46902</v>
      </c>
      <c r="D20" s="101">
        <v>1</v>
      </c>
      <c r="E20" s="101">
        <v>96</v>
      </c>
      <c r="F20" s="101">
        <v>1569</v>
      </c>
      <c r="G20" s="101">
        <v>4610</v>
      </c>
      <c r="H20" s="101">
        <v>5790</v>
      </c>
      <c r="I20" s="485">
        <v>12208</v>
      </c>
      <c r="J20" s="485">
        <v>9329</v>
      </c>
      <c r="K20" s="101">
        <v>8084</v>
      </c>
      <c r="L20" s="101">
        <v>2529</v>
      </c>
      <c r="M20" s="101">
        <v>1259</v>
      </c>
      <c r="N20" s="101">
        <v>1418</v>
      </c>
      <c r="O20" s="102">
        <v>9</v>
      </c>
      <c r="P20" s="52"/>
    </row>
    <row r="21" spans="1:34" ht="18.75" customHeight="1">
      <c r="A21" s="2818" t="s">
        <v>205</v>
      </c>
      <c r="B21" s="86" t="s">
        <v>383</v>
      </c>
      <c r="C21" s="107">
        <v>269296</v>
      </c>
      <c r="D21" s="107">
        <v>11</v>
      </c>
      <c r="E21" s="107">
        <v>467</v>
      </c>
      <c r="F21" s="107">
        <v>11002</v>
      </c>
      <c r="G21" s="107">
        <v>29284</v>
      </c>
      <c r="H21" s="107">
        <v>30124</v>
      </c>
      <c r="I21" s="486">
        <v>72943</v>
      </c>
      <c r="J21" s="486">
        <v>60458</v>
      </c>
      <c r="K21" s="107">
        <v>42729</v>
      </c>
      <c r="L21" s="107">
        <v>12039</v>
      </c>
      <c r="M21" s="107">
        <v>5204</v>
      </c>
      <c r="N21" s="107">
        <v>5013</v>
      </c>
      <c r="O21" s="100">
        <v>22</v>
      </c>
      <c r="P21" s="52"/>
    </row>
    <row r="22" spans="1:34" ht="18.75" customHeight="1">
      <c r="A22" s="2819"/>
      <c r="B22" s="86" t="s">
        <v>198</v>
      </c>
      <c r="C22" s="99">
        <v>221904</v>
      </c>
      <c r="D22" s="99">
        <v>10</v>
      </c>
      <c r="E22" s="99">
        <v>375</v>
      </c>
      <c r="F22" s="99">
        <v>9299</v>
      </c>
      <c r="G22" s="99">
        <v>24148</v>
      </c>
      <c r="H22" s="99">
        <v>23873</v>
      </c>
      <c r="I22" s="484">
        <v>60203</v>
      </c>
      <c r="J22" s="484">
        <v>51228</v>
      </c>
      <c r="K22" s="99">
        <v>35319</v>
      </c>
      <c r="L22" s="99">
        <v>9601</v>
      </c>
      <c r="M22" s="99">
        <v>4005</v>
      </c>
      <c r="N22" s="99">
        <v>3826</v>
      </c>
      <c r="O22" s="100">
        <v>17</v>
      </c>
      <c r="P22" s="52"/>
    </row>
    <row r="23" spans="1:34" ht="18.75" customHeight="1">
      <c r="A23" s="2820"/>
      <c r="B23" s="103" t="s">
        <v>199</v>
      </c>
      <c r="C23" s="101">
        <v>47392</v>
      </c>
      <c r="D23" s="101">
        <v>1</v>
      </c>
      <c r="E23" s="101">
        <v>92</v>
      </c>
      <c r="F23" s="101">
        <v>1703</v>
      </c>
      <c r="G23" s="101">
        <v>5136</v>
      </c>
      <c r="H23" s="101">
        <v>6251</v>
      </c>
      <c r="I23" s="485">
        <v>12740</v>
      </c>
      <c r="J23" s="485">
        <v>9230</v>
      </c>
      <c r="K23" s="101">
        <v>7410</v>
      </c>
      <c r="L23" s="101">
        <v>2438</v>
      </c>
      <c r="M23" s="101">
        <v>1199</v>
      </c>
      <c r="N23" s="101">
        <v>1187</v>
      </c>
      <c r="O23" s="102">
        <v>5</v>
      </c>
      <c r="P23" s="52"/>
    </row>
    <row r="24" spans="1:34" ht="18.75" customHeight="1">
      <c r="A24" s="2818" t="s">
        <v>206</v>
      </c>
      <c r="B24" s="86" t="s">
        <v>383</v>
      </c>
      <c r="C24" s="99">
        <v>272817</v>
      </c>
      <c r="D24" s="99">
        <v>7</v>
      </c>
      <c r="E24" s="99">
        <v>433</v>
      </c>
      <c r="F24" s="99">
        <v>9775</v>
      </c>
      <c r="G24" s="99">
        <v>31092</v>
      </c>
      <c r="H24" s="99">
        <v>32398</v>
      </c>
      <c r="I24" s="484">
        <v>72262</v>
      </c>
      <c r="J24" s="484">
        <v>61157</v>
      </c>
      <c r="K24" s="99">
        <v>42616</v>
      </c>
      <c r="L24" s="99">
        <v>12172</v>
      </c>
      <c r="M24" s="99">
        <v>5920</v>
      </c>
      <c r="N24" s="99">
        <v>4968</v>
      </c>
      <c r="O24" s="100">
        <v>17</v>
      </c>
      <c r="P24" s="10"/>
      <c r="Q24" s="10"/>
      <c r="R24" s="10"/>
      <c r="S24" s="10"/>
      <c r="T24" s="10"/>
      <c r="U24" s="10"/>
      <c r="V24" s="10"/>
      <c r="W24" s="10"/>
      <c r="X24" s="10"/>
      <c r="Y24" s="10"/>
      <c r="Z24" s="10"/>
      <c r="AA24" s="10"/>
      <c r="AB24" s="10"/>
      <c r="AC24" s="10"/>
      <c r="AD24" s="10"/>
      <c r="AE24" s="10"/>
      <c r="AF24" s="10"/>
      <c r="AG24" s="10"/>
      <c r="AH24" s="10"/>
    </row>
    <row r="25" spans="1:34" ht="18.75" customHeight="1">
      <c r="A25" s="2819"/>
      <c r="B25" s="86" t="s">
        <v>198</v>
      </c>
      <c r="C25" s="99">
        <v>224383</v>
      </c>
      <c r="D25" s="99">
        <v>5</v>
      </c>
      <c r="E25" s="99">
        <v>351</v>
      </c>
      <c r="F25" s="99">
        <v>8273</v>
      </c>
      <c r="G25" s="99">
        <v>25922</v>
      </c>
      <c r="H25" s="99">
        <v>25970</v>
      </c>
      <c r="I25" s="484">
        <v>59137</v>
      </c>
      <c r="J25" s="484">
        <v>51654</v>
      </c>
      <c r="K25" s="99">
        <v>35195</v>
      </c>
      <c r="L25" s="99">
        <v>9595</v>
      </c>
      <c r="M25" s="99">
        <v>4535</v>
      </c>
      <c r="N25" s="99">
        <v>3733</v>
      </c>
      <c r="O25" s="100">
        <v>13</v>
      </c>
      <c r="P25" s="10"/>
    </row>
    <row r="26" spans="1:34" ht="18.75" customHeight="1">
      <c r="A26" s="2820"/>
      <c r="B26" s="103" t="s">
        <v>199</v>
      </c>
      <c r="C26" s="101">
        <v>48434</v>
      </c>
      <c r="D26" s="101">
        <v>2</v>
      </c>
      <c r="E26" s="101">
        <v>82</v>
      </c>
      <c r="F26" s="101">
        <v>1502</v>
      </c>
      <c r="G26" s="101">
        <v>5170</v>
      </c>
      <c r="H26" s="101">
        <v>6428</v>
      </c>
      <c r="I26" s="485">
        <v>13125</v>
      </c>
      <c r="J26" s="485">
        <v>9503</v>
      </c>
      <c r="K26" s="101">
        <v>7421</v>
      </c>
      <c r="L26" s="101">
        <v>2577</v>
      </c>
      <c r="M26" s="101">
        <v>1385</v>
      </c>
      <c r="N26" s="101">
        <v>1235</v>
      </c>
      <c r="O26" s="102">
        <v>4</v>
      </c>
    </row>
    <row r="27" spans="1:34" ht="18.75" customHeight="1">
      <c r="A27" s="2818" t="s">
        <v>207</v>
      </c>
      <c r="B27" s="86" t="s">
        <v>383</v>
      </c>
      <c r="C27" s="99">
        <v>287294</v>
      </c>
      <c r="D27" s="99">
        <v>8</v>
      </c>
      <c r="E27" s="99">
        <v>440</v>
      </c>
      <c r="F27" s="99">
        <v>10499</v>
      </c>
      <c r="G27" s="99">
        <v>33849</v>
      </c>
      <c r="H27" s="99">
        <v>35622</v>
      </c>
      <c r="I27" s="484">
        <v>72445</v>
      </c>
      <c r="J27" s="484">
        <v>64802</v>
      </c>
      <c r="K27" s="99">
        <v>44259</v>
      </c>
      <c r="L27" s="99">
        <v>13083</v>
      </c>
      <c r="M27" s="99">
        <v>6995</v>
      </c>
      <c r="N27" s="99">
        <v>5266</v>
      </c>
      <c r="O27" s="100">
        <v>26</v>
      </c>
    </row>
    <row r="28" spans="1:34" ht="18.75" customHeight="1">
      <c r="A28" s="2819"/>
      <c r="B28" s="86" t="s">
        <v>198</v>
      </c>
      <c r="C28" s="99">
        <v>235388</v>
      </c>
      <c r="D28" s="99">
        <v>5</v>
      </c>
      <c r="E28" s="99">
        <v>376</v>
      </c>
      <c r="F28" s="99">
        <v>9071</v>
      </c>
      <c r="G28" s="99">
        <v>28096</v>
      </c>
      <c r="H28" s="99">
        <v>28558</v>
      </c>
      <c r="I28" s="484">
        <v>58874</v>
      </c>
      <c r="J28" s="484">
        <v>54342</v>
      </c>
      <c r="K28" s="99">
        <v>36516</v>
      </c>
      <c r="L28" s="99">
        <v>10327</v>
      </c>
      <c r="M28" s="99">
        <v>5335</v>
      </c>
      <c r="N28" s="99">
        <v>3869</v>
      </c>
      <c r="O28" s="100">
        <v>19</v>
      </c>
    </row>
    <row r="29" spans="1:34" ht="18.75" customHeight="1">
      <c r="A29" s="2820"/>
      <c r="B29" s="103" t="s">
        <v>199</v>
      </c>
      <c r="C29" s="101">
        <v>51906</v>
      </c>
      <c r="D29" s="101">
        <v>3</v>
      </c>
      <c r="E29" s="101">
        <v>64</v>
      </c>
      <c r="F29" s="101">
        <v>1428</v>
      </c>
      <c r="G29" s="101">
        <v>5753</v>
      </c>
      <c r="H29" s="101">
        <v>7064</v>
      </c>
      <c r="I29" s="485">
        <v>13571</v>
      </c>
      <c r="J29" s="485">
        <v>10460</v>
      </c>
      <c r="K29" s="101">
        <v>7743</v>
      </c>
      <c r="L29" s="101">
        <v>2756</v>
      </c>
      <c r="M29" s="101">
        <v>1660</v>
      </c>
      <c r="N29" s="101">
        <v>1397</v>
      </c>
      <c r="O29" s="102">
        <v>7</v>
      </c>
    </row>
    <row r="30" spans="1:34" ht="18.75" customHeight="1">
      <c r="A30" s="2818" t="s">
        <v>208</v>
      </c>
      <c r="B30" s="86" t="s">
        <v>383</v>
      </c>
      <c r="C30" s="99">
        <v>291621</v>
      </c>
      <c r="D30" s="99">
        <v>3</v>
      </c>
      <c r="E30" s="99">
        <v>380</v>
      </c>
      <c r="F30" s="99">
        <v>8893</v>
      </c>
      <c r="G30" s="99">
        <v>32685</v>
      </c>
      <c r="H30" s="99">
        <v>36607</v>
      </c>
      <c r="I30" s="484">
        <v>70003</v>
      </c>
      <c r="J30" s="484">
        <v>67127</v>
      </c>
      <c r="K30" s="99">
        <v>46284</v>
      </c>
      <c r="L30" s="99">
        <v>14216</v>
      </c>
      <c r="M30" s="99">
        <v>8511</v>
      </c>
      <c r="N30" s="99">
        <v>6895</v>
      </c>
      <c r="O30" s="100">
        <v>17</v>
      </c>
    </row>
    <row r="31" spans="1:34" ht="18.75" customHeight="1">
      <c r="A31" s="2819"/>
      <c r="B31" s="86" t="s">
        <v>198</v>
      </c>
      <c r="C31" s="99">
        <v>236308</v>
      </c>
      <c r="D31" s="99">
        <v>3</v>
      </c>
      <c r="E31" s="99">
        <v>319</v>
      </c>
      <c r="F31" s="99">
        <v>7606</v>
      </c>
      <c r="G31" s="99">
        <v>26808</v>
      </c>
      <c r="H31" s="99">
        <v>29531</v>
      </c>
      <c r="I31" s="484">
        <v>56161</v>
      </c>
      <c r="J31" s="484">
        <v>55800</v>
      </c>
      <c r="K31" s="99">
        <v>37680</v>
      </c>
      <c r="L31" s="99">
        <v>11045</v>
      </c>
      <c r="M31" s="99">
        <v>6394</v>
      </c>
      <c r="N31" s="99">
        <v>4946</v>
      </c>
      <c r="O31" s="100">
        <v>15</v>
      </c>
    </row>
    <row r="32" spans="1:34" ht="18.75" customHeight="1">
      <c r="A32" s="2820"/>
      <c r="B32" s="103" t="s">
        <v>199</v>
      </c>
      <c r="C32" s="101">
        <v>55313</v>
      </c>
      <c r="D32" s="101">
        <v>0</v>
      </c>
      <c r="E32" s="101">
        <v>61</v>
      </c>
      <c r="F32" s="101">
        <v>1287</v>
      </c>
      <c r="G32" s="101">
        <v>5877</v>
      </c>
      <c r="H32" s="101">
        <v>7076</v>
      </c>
      <c r="I32" s="485">
        <v>13842</v>
      </c>
      <c r="J32" s="485">
        <v>11327</v>
      </c>
      <c r="K32" s="101">
        <v>8604</v>
      </c>
      <c r="L32" s="101">
        <v>3171</v>
      </c>
      <c r="M32" s="101">
        <v>2117</v>
      </c>
      <c r="N32" s="101">
        <v>1949</v>
      </c>
      <c r="O32" s="102">
        <v>2</v>
      </c>
    </row>
    <row r="33" spans="1:15" s="48" customFormat="1" ht="18.75" customHeight="1">
      <c r="A33" s="2818" t="s">
        <v>209</v>
      </c>
      <c r="B33" s="86" t="s">
        <v>383</v>
      </c>
      <c r="C33" s="100">
        <f t="shared" ref="C33:N33" si="5">SUM(C34:C35)</f>
        <v>277664</v>
      </c>
      <c r="D33" s="100">
        <f t="shared" si="5"/>
        <v>7</v>
      </c>
      <c r="E33" s="100">
        <f t="shared" si="5"/>
        <v>423</v>
      </c>
      <c r="F33" s="100">
        <f t="shared" si="5"/>
        <v>9441</v>
      </c>
      <c r="G33" s="100">
        <f t="shared" si="5"/>
        <v>32447</v>
      </c>
      <c r="H33" s="100">
        <f t="shared" si="5"/>
        <v>35410</v>
      </c>
      <c r="I33" s="487">
        <f t="shared" si="5"/>
        <v>63569</v>
      </c>
      <c r="J33" s="487">
        <f t="shared" si="5"/>
        <v>63927</v>
      </c>
      <c r="K33" s="100">
        <f t="shared" si="5"/>
        <v>43986</v>
      </c>
      <c r="L33" s="100">
        <f t="shared" si="5"/>
        <v>13728</v>
      </c>
      <c r="M33" s="100">
        <f t="shared" si="5"/>
        <v>8345</v>
      </c>
      <c r="N33" s="100">
        <f t="shared" si="5"/>
        <v>6369</v>
      </c>
      <c r="O33" s="100">
        <v>12</v>
      </c>
    </row>
    <row r="34" spans="1:15">
      <c r="A34" s="2819"/>
      <c r="B34" s="86" t="s">
        <v>198</v>
      </c>
      <c r="C34" s="100">
        <v>224434</v>
      </c>
      <c r="D34" s="100">
        <v>5</v>
      </c>
      <c r="E34" s="100">
        <v>332</v>
      </c>
      <c r="F34" s="100">
        <v>8115</v>
      </c>
      <c r="G34" s="100">
        <v>26613</v>
      </c>
      <c r="H34" s="100">
        <v>28534</v>
      </c>
      <c r="I34" s="487">
        <v>50642</v>
      </c>
      <c r="J34" s="487">
        <v>52524</v>
      </c>
      <c r="K34" s="100">
        <v>35904</v>
      </c>
      <c r="L34" s="100">
        <v>10699</v>
      </c>
      <c r="M34" s="100">
        <v>6356</v>
      </c>
      <c r="N34" s="100">
        <v>4700</v>
      </c>
      <c r="O34" s="100">
        <v>10</v>
      </c>
    </row>
    <row r="35" spans="1:15">
      <c r="A35" s="2820"/>
      <c r="B35" s="103" t="s">
        <v>199</v>
      </c>
      <c r="C35" s="102">
        <v>53230</v>
      </c>
      <c r="D35" s="102">
        <v>2</v>
      </c>
      <c r="E35" s="102">
        <v>91</v>
      </c>
      <c r="F35" s="102">
        <v>1326</v>
      </c>
      <c r="G35" s="102">
        <v>5834</v>
      </c>
      <c r="H35" s="102">
        <v>6876</v>
      </c>
      <c r="I35" s="488">
        <v>12927</v>
      </c>
      <c r="J35" s="488">
        <v>11403</v>
      </c>
      <c r="K35" s="102">
        <v>8082</v>
      </c>
      <c r="L35" s="102">
        <v>3029</v>
      </c>
      <c r="M35" s="102">
        <v>1989</v>
      </c>
      <c r="N35" s="102">
        <v>1669</v>
      </c>
      <c r="O35" s="102">
        <v>2</v>
      </c>
    </row>
    <row r="36" spans="1:15">
      <c r="A36" s="301" t="s">
        <v>65</v>
      </c>
      <c r="B36" s="35"/>
      <c r="C36" s="48"/>
      <c r="D36" s="23"/>
      <c r="E36" s="23"/>
      <c r="F36" s="23"/>
      <c r="G36" s="23"/>
      <c r="H36" s="23"/>
      <c r="I36" s="23"/>
      <c r="J36" s="23"/>
      <c r="K36" s="23"/>
      <c r="L36" s="23"/>
      <c r="M36" s="23"/>
      <c r="N36" s="23"/>
      <c r="O36" s="23"/>
    </row>
    <row r="37" spans="1:15">
      <c r="F37" s="61"/>
      <c r="G37" s="61"/>
      <c r="H37" s="61"/>
      <c r="I37" s="61"/>
      <c r="J37" s="61"/>
      <c r="K37" s="61"/>
      <c r="L37" s="61"/>
      <c r="M37" s="61"/>
      <c r="N37" s="61"/>
    </row>
    <row r="38" spans="1:15">
      <c r="F38" s="61"/>
      <c r="G38" s="61"/>
      <c r="H38" s="61"/>
      <c r="I38" s="61"/>
      <c r="J38" s="61"/>
      <c r="K38" s="61"/>
      <c r="L38" s="61"/>
      <c r="M38" s="61"/>
      <c r="N38" s="61"/>
    </row>
    <row r="39" spans="1:15">
      <c r="F39" s="61"/>
      <c r="G39" s="61"/>
      <c r="H39" s="61"/>
      <c r="I39" s="61"/>
      <c r="J39" s="61"/>
      <c r="K39" s="61"/>
      <c r="L39" s="61"/>
      <c r="M39" s="61"/>
      <c r="N39" s="61"/>
    </row>
    <row r="40" spans="1:15">
      <c r="F40" s="61"/>
      <c r="G40" s="61"/>
      <c r="H40" s="61"/>
      <c r="I40" s="61"/>
      <c r="J40" s="61"/>
      <c r="K40" s="61"/>
      <c r="L40" s="61"/>
      <c r="M40" s="61"/>
      <c r="N40" s="61"/>
    </row>
    <row r="41" spans="1:15">
      <c r="F41" s="61"/>
      <c r="G41" s="61"/>
      <c r="H41" s="61"/>
      <c r="I41" s="61"/>
      <c r="J41" s="61"/>
      <c r="K41" s="61"/>
      <c r="L41" s="61"/>
      <c r="M41" s="61"/>
      <c r="N41" s="61"/>
    </row>
    <row r="42" spans="1:15">
      <c r="F42" s="61"/>
      <c r="G42" s="61"/>
      <c r="H42" s="61"/>
      <c r="I42" s="61"/>
      <c r="J42" s="61"/>
      <c r="K42" s="61"/>
      <c r="L42" s="61"/>
      <c r="M42" s="61"/>
      <c r="N42" s="61"/>
    </row>
  </sheetData>
  <mergeCells count="12">
    <mergeCell ref="A33:A35"/>
    <mergeCell ref="A30:A32"/>
    <mergeCell ref="A27:A29"/>
    <mergeCell ref="A24:A26"/>
    <mergeCell ref="A1:O1"/>
    <mergeCell ref="A3:A5"/>
    <mergeCell ref="A18:A20"/>
    <mergeCell ref="A6:A8"/>
    <mergeCell ref="A9:A11"/>
    <mergeCell ref="A12:A14"/>
    <mergeCell ref="A15:A17"/>
    <mergeCell ref="A21:A23"/>
  </mergeCells>
  <phoneticPr fontId="6" type="noConversion"/>
  <printOptions horizontalCentered="1" verticalCentered="1"/>
  <pageMargins left="0.70866141732283472" right="0.70866141732283472" top="0.74803149606299213" bottom="0.74803149606299213" header="0.31496062992125984" footer="0.31496062992125984"/>
  <pageSetup paperSize="11" scale="52" orientation="landscape" r:id="rId1"/>
  <headerFooter differentOddEven="1" scaleWithDoc="0">
    <oddHeader>&amp;L&amp;"Times New Roman,標準"&amp;8 107&amp;"標楷體,標準"年犯罪狀況及其分析</oddHeader>
    <evenHeader>&amp;R&amp;"標楷體,標準"&amp;8第一篇　&amp;"Times New Roman,標準"107&amp;"標楷體,標準"年犯罪狀況及近&amp;"Times New Roman,標準"10&amp;"標楷體,標準"年犯罪趨勢分析</even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G31"/>
  <sheetViews>
    <sheetView showGridLines="0" workbookViewId="0">
      <selection activeCell="M18" sqref="M18"/>
    </sheetView>
  </sheetViews>
  <sheetFormatPr defaultColWidth="8.625" defaultRowHeight="15.75"/>
  <cols>
    <col min="1" max="1" width="10" style="28" customWidth="1"/>
    <col min="2" max="6" width="20.625" style="28" customWidth="1"/>
    <col min="7" max="16384" width="8.625" style="28"/>
  </cols>
  <sheetData>
    <row r="1" spans="1:6" ht="20.25">
      <c r="A1" s="2937" t="s">
        <v>643</v>
      </c>
      <c r="B1" s="2937"/>
      <c r="C1" s="2937"/>
      <c r="D1" s="2937"/>
      <c r="E1" s="2937"/>
      <c r="F1" s="2937"/>
    </row>
    <row r="2" spans="1:6">
      <c r="A2" s="511"/>
      <c r="B2" s="511"/>
      <c r="C2" s="511"/>
      <c r="D2" s="511"/>
      <c r="E2" s="511"/>
      <c r="F2" s="512" t="s">
        <v>644</v>
      </c>
    </row>
    <row r="3" spans="1:6">
      <c r="A3" s="541"/>
      <c r="B3" s="514" t="s">
        <v>645</v>
      </c>
      <c r="C3" s="515" t="s">
        <v>583</v>
      </c>
      <c r="D3" s="516" t="s">
        <v>584</v>
      </c>
      <c r="E3" s="515" t="s">
        <v>585</v>
      </c>
      <c r="F3" s="517" t="s">
        <v>646</v>
      </c>
    </row>
    <row r="4" spans="1:6" hidden="1">
      <c r="A4" s="542" t="s">
        <v>600</v>
      </c>
      <c r="B4" s="579">
        <v>4.2</v>
      </c>
      <c r="C4" s="579">
        <v>1.2</v>
      </c>
      <c r="D4" s="579">
        <v>3.3</v>
      </c>
      <c r="E4" s="579">
        <v>5.7</v>
      </c>
      <c r="F4" s="579">
        <v>5.7</v>
      </c>
    </row>
    <row r="5" spans="1:6" ht="17.25" hidden="1" customHeight="1">
      <c r="A5" s="542" t="s">
        <v>601</v>
      </c>
      <c r="B5" s="580">
        <v>4.0199999999999996</v>
      </c>
      <c r="C5" s="581">
        <v>1.2</v>
      </c>
      <c r="D5" s="582">
        <v>3.5</v>
      </c>
      <c r="E5" s="581">
        <v>5.6</v>
      </c>
      <c r="F5" s="581">
        <v>5.6</v>
      </c>
    </row>
    <row r="6" spans="1:6">
      <c r="A6" s="542" t="s">
        <v>647</v>
      </c>
      <c r="B6" s="583">
        <v>3.2107586949333276</v>
      </c>
      <c r="C6" s="584">
        <v>0.83808922812704034</v>
      </c>
      <c r="D6" s="585">
        <v>2.1</v>
      </c>
      <c r="E6" s="584">
        <v>4.8</v>
      </c>
      <c r="F6" s="586">
        <v>1</v>
      </c>
    </row>
    <row r="7" spans="1:6">
      <c r="A7" s="542" t="s">
        <v>648</v>
      </c>
      <c r="B7" s="583">
        <v>2.9577229293115432</v>
      </c>
      <c r="C7" s="584">
        <v>0.823170625547468</v>
      </c>
      <c r="D7" s="585">
        <v>1.8</v>
      </c>
      <c r="E7" s="584">
        <v>4.7</v>
      </c>
      <c r="F7" s="586">
        <v>0.9</v>
      </c>
    </row>
    <row r="8" spans="1:6">
      <c r="A8" s="542" t="s">
        <v>649</v>
      </c>
      <c r="B8" s="583">
        <v>2.681521954509785</v>
      </c>
      <c r="C8" s="584">
        <v>0.80911526679611567</v>
      </c>
      <c r="D8" s="585">
        <v>1.7</v>
      </c>
      <c r="E8" s="584">
        <v>4.7</v>
      </c>
      <c r="F8" s="586">
        <v>0.7</v>
      </c>
    </row>
    <row r="9" spans="1:6">
      <c r="A9" s="542" t="s">
        <v>650</v>
      </c>
      <c r="B9" s="583">
        <v>2.0090239444169469</v>
      </c>
      <c r="C9" s="587">
        <v>0.73669643844420996</v>
      </c>
      <c r="D9" s="588">
        <v>1.5</v>
      </c>
      <c r="E9" s="587">
        <v>4.5</v>
      </c>
      <c r="F9" s="586">
        <v>0.9</v>
      </c>
    </row>
    <row r="10" spans="1:6">
      <c r="A10" s="542" t="s">
        <v>651</v>
      </c>
      <c r="B10" s="583">
        <v>2.0253264076285586</v>
      </c>
      <c r="C10" s="584">
        <v>0.82918585034153613</v>
      </c>
      <c r="D10" s="588">
        <v>1.9</v>
      </c>
      <c r="E10" s="584">
        <v>4.4000000000000004</v>
      </c>
      <c r="F10" s="586">
        <v>0.9</v>
      </c>
    </row>
    <row r="11" spans="1:6">
      <c r="A11" s="542" t="s">
        <v>652</v>
      </c>
      <c r="B11" s="583">
        <v>1.8838239785561164</v>
      </c>
      <c r="C11" s="584">
        <v>0.7350545969483322</v>
      </c>
      <c r="D11" s="583">
        <f>0.0100333305149429*100</f>
        <v>1.0033330514942902</v>
      </c>
      <c r="E11" s="584">
        <v>4.9000000000000004</v>
      </c>
      <c r="F11" s="586">
        <v>1.1000000000000001</v>
      </c>
    </row>
    <row r="12" spans="1:6">
      <c r="A12" s="542" t="s">
        <v>653</v>
      </c>
      <c r="B12" s="583">
        <v>1.7222357000749917</v>
      </c>
      <c r="C12" s="584">
        <v>0.70489423900728454</v>
      </c>
      <c r="D12" s="583">
        <f>0.0120064790761707*100</f>
        <v>1.20064790761707</v>
      </c>
      <c r="E12" s="584">
        <v>5.4</v>
      </c>
      <c r="F12" s="586">
        <v>1.1000000000000001</v>
      </c>
    </row>
    <row r="13" spans="1:6">
      <c r="A13" s="542" t="s">
        <v>654</v>
      </c>
      <c r="B13" s="583">
        <v>1.6938703374945374</v>
      </c>
      <c r="C13" s="584">
        <v>0.72574499676329562</v>
      </c>
      <c r="D13" s="583">
        <f>0.0118188697573742*100</f>
        <v>1.1818869757374202</v>
      </c>
      <c r="E13" s="584">
        <v>5.3</v>
      </c>
      <c r="F13" s="586">
        <v>1.1000000000000001</v>
      </c>
    </row>
    <row r="14" spans="1:6">
      <c r="A14" s="542" t="s">
        <v>655</v>
      </c>
      <c r="B14" s="583">
        <v>1.3698003011397819</v>
      </c>
      <c r="C14" s="584">
        <v>0.72326732242429626</v>
      </c>
      <c r="D14" s="583">
        <f>0.0117077608476605*100</f>
        <v>1.17077608476605</v>
      </c>
      <c r="E14" s="584">
        <v>5</v>
      </c>
      <c r="F14" s="586">
        <v>1.1000000000000001</v>
      </c>
    </row>
    <row r="15" spans="1:6" s="29" customFormat="1" ht="15.95" customHeight="1">
      <c r="A15" s="542" t="s">
        <v>656</v>
      </c>
      <c r="B15" s="589">
        <v>1.2798765080213823</v>
      </c>
      <c r="C15" s="590">
        <v>0.75246597356788214</v>
      </c>
      <c r="D15" s="583">
        <f>0.0118998480371645*100</f>
        <v>1.18998480371645</v>
      </c>
      <c r="E15" s="590">
        <v>5</v>
      </c>
      <c r="F15" s="591">
        <v>1.1000000000000001</v>
      </c>
    </row>
    <row r="16" spans="1:6" ht="13.5" hidden="1" customHeight="1">
      <c r="A16" s="552" t="s">
        <v>602</v>
      </c>
      <c r="B16" s="592">
        <v>1.88</v>
      </c>
      <c r="C16" s="593"/>
      <c r="D16" s="593"/>
      <c r="E16" s="593"/>
      <c r="F16" s="593"/>
    </row>
    <row r="17" spans="1:7">
      <c r="A17" s="594" t="s">
        <v>657</v>
      </c>
      <c r="B17" s="595" t="s">
        <v>658</v>
      </c>
      <c r="C17" s="596"/>
      <c r="D17" s="596"/>
      <c r="E17" s="596"/>
      <c r="F17" s="596"/>
    </row>
    <row r="18" spans="1:7" ht="80.25" customHeight="1">
      <c r="A18" s="540"/>
      <c r="B18" s="2934" t="s">
        <v>636</v>
      </c>
      <c r="C18" s="2934"/>
      <c r="D18" s="2934"/>
      <c r="E18" s="2934"/>
      <c r="F18" s="2934"/>
    </row>
    <row r="19" spans="1:7" ht="48.75" customHeight="1">
      <c r="A19" s="540"/>
      <c r="B19" s="2934" t="s">
        <v>606</v>
      </c>
      <c r="C19" s="2934"/>
      <c r="D19" s="2934"/>
      <c r="E19" s="2934"/>
      <c r="F19" s="2934"/>
      <c r="G19" s="534"/>
    </row>
    <row r="20" spans="1:7" ht="31.5" customHeight="1">
      <c r="A20" s="540"/>
      <c r="B20" s="2940" t="s">
        <v>659</v>
      </c>
      <c r="C20" s="2941"/>
      <c r="D20" s="2941"/>
      <c r="E20" s="2941"/>
      <c r="F20" s="2941"/>
      <c r="G20" s="534"/>
    </row>
    <row r="21" spans="1:7" ht="17.25" customHeight="1">
      <c r="A21" s="540"/>
      <c r="B21" s="578" t="s">
        <v>660</v>
      </c>
      <c r="C21" s="578"/>
      <c r="D21" s="578"/>
      <c r="E21" s="578"/>
      <c r="F21" s="578"/>
    </row>
    <row r="22" spans="1:7" ht="33" customHeight="1">
      <c r="A22" s="540"/>
      <c r="B22" s="2945" t="s">
        <v>661</v>
      </c>
      <c r="C22" s="2945"/>
      <c r="D22" s="2945"/>
      <c r="E22" s="2945"/>
      <c r="F22" s="2945"/>
    </row>
    <row r="23" spans="1:7" ht="33" customHeight="1">
      <c r="A23" s="540"/>
      <c r="B23" s="2945" t="s">
        <v>662</v>
      </c>
      <c r="C23" s="2945"/>
      <c r="D23" s="2945"/>
      <c r="E23" s="2945"/>
      <c r="F23" s="2945"/>
    </row>
    <row r="24" spans="1:7">
      <c r="A24" s="597" t="s">
        <v>663</v>
      </c>
      <c r="B24" s="540" t="s">
        <v>664</v>
      </c>
      <c r="C24" s="540"/>
      <c r="D24" s="540"/>
      <c r="E24" s="540"/>
      <c r="F24" s="540"/>
    </row>
    <row r="25" spans="1:7">
      <c r="A25" s="540"/>
      <c r="B25" s="540" t="s">
        <v>665</v>
      </c>
      <c r="C25" s="540"/>
      <c r="D25" s="540"/>
      <c r="E25" s="540"/>
      <c r="F25" s="540"/>
    </row>
    <row r="26" spans="1:7">
      <c r="A26" s="540"/>
      <c r="B26" s="540" t="s">
        <v>666</v>
      </c>
      <c r="C26" s="540"/>
      <c r="D26" s="540"/>
      <c r="E26" s="540"/>
      <c r="F26" s="540"/>
    </row>
    <row r="27" spans="1:7" ht="17.25" customHeight="1">
      <c r="A27" s="540"/>
      <c r="B27" s="2944" t="s">
        <v>667</v>
      </c>
      <c r="C27" s="2944"/>
      <c r="D27" s="2944"/>
      <c r="E27" s="2944"/>
      <c r="F27" s="2944"/>
    </row>
    <row r="28" spans="1:7">
      <c r="A28" s="540"/>
      <c r="B28" s="2944" t="s">
        <v>668</v>
      </c>
      <c r="C28" s="2944"/>
      <c r="D28" s="2944"/>
      <c r="E28" s="2944"/>
      <c r="F28" s="2944"/>
    </row>
    <row r="29" spans="1:7">
      <c r="B29" s="2944" t="s">
        <v>669</v>
      </c>
      <c r="C29" s="2944"/>
      <c r="D29" s="2944"/>
      <c r="E29" s="2944"/>
      <c r="F29" s="2944"/>
    </row>
    <row r="30" spans="1:7" ht="48" customHeight="1">
      <c r="B30" s="2945" t="s">
        <v>670</v>
      </c>
      <c r="C30" s="2945"/>
      <c r="D30" s="2945"/>
      <c r="E30" s="2945"/>
      <c r="F30" s="2945"/>
    </row>
    <row r="31" spans="1:7" ht="16.5">
      <c r="B31" s="28" t="s">
        <v>671</v>
      </c>
    </row>
  </sheetData>
  <mergeCells count="10">
    <mergeCell ref="B27:F27"/>
    <mergeCell ref="B28:F28"/>
    <mergeCell ref="B29:F29"/>
    <mergeCell ref="B30:F30"/>
    <mergeCell ref="A1:F1"/>
    <mergeCell ref="B18:F18"/>
    <mergeCell ref="B19:F19"/>
    <mergeCell ref="B20:F20"/>
    <mergeCell ref="B22:F22"/>
    <mergeCell ref="B23:F23"/>
  </mergeCells>
  <phoneticPr fontId="61" type="noConversion"/>
  <printOptions horizontalCentered="1" verticalCentered="1"/>
  <pageMargins left="0.70866141732283472" right="0.70866141732283472" top="0.74803149606299213" bottom="0.74803149606299213" header="0.31496062992125984" footer="0.31496062992125984"/>
  <pageSetup paperSize="11" scale="52" orientation="landscape" r:id="rId1"/>
  <headerFooter differentOddEven="1" scaleWithDoc="0">
    <oddHeader>&amp;L&amp;"Times New Roman,標準"&amp;8 107&amp;"標楷體,標準"年犯罪狀況及其分析</oddHeader>
    <evenHeader>&amp;R&amp;"標楷體,標準"&amp;8第一篇　&amp;"Times New Roman,標準"107&amp;"標楷體,標準"年犯罪狀況及近&amp;"Times New Roman,標準"10&amp;"標楷體,標準"年犯罪趨勢分析</even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F20"/>
  <sheetViews>
    <sheetView showGridLines="0" workbookViewId="0">
      <selection activeCell="M18" sqref="M18"/>
    </sheetView>
  </sheetViews>
  <sheetFormatPr defaultColWidth="8.625" defaultRowHeight="15.75"/>
  <cols>
    <col min="1" max="1" width="11.5" style="28" customWidth="1"/>
    <col min="2" max="6" width="20.625" style="28" customWidth="1"/>
    <col min="7" max="16384" width="8.625" style="28"/>
  </cols>
  <sheetData>
    <row r="1" spans="1:6" ht="20.25">
      <c r="A1" s="2943" t="s">
        <v>672</v>
      </c>
      <c r="B1" s="2943"/>
      <c r="C1" s="2943"/>
      <c r="D1" s="2943"/>
      <c r="E1" s="2943"/>
      <c r="F1" s="2943"/>
    </row>
    <row r="2" spans="1:6">
      <c r="A2" s="29"/>
      <c r="B2" s="558"/>
      <c r="C2" s="558"/>
      <c r="D2" s="540"/>
      <c r="F2" s="559" t="s">
        <v>582</v>
      </c>
    </row>
    <row r="3" spans="1:6" ht="16.5" customHeight="1">
      <c r="A3" s="598"/>
      <c r="B3" s="561" t="s">
        <v>620</v>
      </c>
      <c r="C3" s="562" t="s">
        <v>621</v>
      </c>
      <c r="D3" s="562" t="s">
        <v>622</v>
      </c>
      <c r="E3" s="562" t="s">
        <v>673</v>
      </c>
      <c r="F3" s="599" t="s">
        <v>674</v>
      </c>
    </row>
    <row r="4" spans="1:6" ht="16.5" customHeight="1">
      <c r="A4" s="565" t="s">
        <v>625</v>
      </c>
      <c r="B4" s="600">
        <v>3.7638907446661216</v>
      </c>
      <c r="C4" s="600">
        <v>3.1789320815942332</v>
      </c>
      <c r="D4" s="601">
        <f>76189/55692400*100000</f>
        <v>136.80322629299511</v>
      </c>
      <c r="E4" s="602">
        <v>119.3</v>
      </c>
      <c r="F4" s="603">
        <v>98.248618988253398</v>
      </c>
    </row>
    <row r="5" spans="1:6" ht="16.5" customHeight="1">
      <c r="A5" s="565" t="s">
        <v>626</v>
      </c>
      <c r="B5" s="600">
        <v>2.8068186982242191</v>
      </c>
      <c r="C5" s="600">
        <v>2.8912694499979987</v>
      </c>
      <c r="D5" s="601">
        <f>74688/56170900*100000</f>
        <v>132.96564591274131</v>
      </c>
      <c r="E5" s="602">
        <v>113.9</v>
      </c>
      <c r="F5" s="603">
        <v>103</v>
      </c>
    </row>
    <row r="6" spans="1:6" ht="16.5" customHeight="1">
      <c r="A6" s="565" t="s">
        <v>627</v>
      </c>
      <c r="B6" s="600">
        <v>2.4236833050376902</v>
      </c>
      <c r="C6" s="600">
        <v>2.893841521070216</v>
      </c>
      <c r="D6" s="601">
        <f>65155/56567800*100000</f>
        <v>115.1803676296409</v>
      </c>
      <c r="E6" s="602">
        <v>113.1</v>
      </c>
      <c r="F6" s="603">
        <v>96.781523248522802</v>
      </c>
    </row>
    <row r="7" spans="1:6" ht="16.5" customHeight="1">
      <c r="A7" s="565" t="s">
        <v>628</v>
      </c>
      <c r="B7" s="604">
        <v>1.9918894118419623</v>
      </c>
      <c r="C7" s="604">
        <v>2.6106385515869444</v>
      </c>
      <c r="D7" s="605">
        <f>57828/56948200*100000</f>
        <v>101.54491274526674</v>
      </c>
      <c r="E7" s="602">
        <v>109</v>
      </c>
      <c r="F7" s="603">
        <v>87.090275460885195</v>
      </c>
    </row>
    <row r="8" spans="1:6" ht="16.5" customHeight="1">
      <c r="A8" s="565" t="s">
        <v>629</v>
      </c>
      <c r="B8" s="606">
        <v>1.6578621227001704</v>
      </c>
      <c r="C8" s="606">
        <v>2.404166943684757</v>
      </c>
      <c r="D8" s="601">
        <f>50239/57408700*100000</f>
        <v>87.511126362380622</v>
      </c>
      <c r="E8" s="602">
        <v>101.3</v>
      </c>
      <c r="F8" s="603">
        <v>86.261353129578097</v>
      </c>
    </row>
    <row r="9" spans="1:6" ht="16.5" customHeight="1">
      <c r="A9" s="565" t="s">
        <v>630</v>
      </c>
      <c r="B9" s="606">
        <v>1.6238392213345707</v>
      </c>
      <c r="C9" s="606">
        <v>1.9112995200392862</v>
      </c>
      <c r="D9" s="601">
        <f>0.883020180197919*100</f>
        <v>88.302018019791888</v>
      </c>
      <c r="E9" s="602">
        <v>102.2</v>
      </c>
      <c r="F9" s="603">
        <v>86.343862467830206</v>
      </c>
    </row>
    <row r="10" spans="1:6" ht="16.5" customHeight="1">
      <c r="A10" s="565" t="s">
        <v>631</v>
      </c>
      <c r="B10" s="606">
        <v>1.3607788247506105</v>
      </c>
      <c r="C10" s="606">
        <v>1.8366629780614387</v>
      </c>
      <c r="D10" s="601">
        <f>0.965562774856595*100</f>
        <v>96.556277485659507</v>
      </c>
      <c r="E10" s="602">
        <v>102.9</v>
      </c>
      <c r="F10" s="603">
        <v>86.283650699353998</v>
      </c>
    </row>
    <row r="11" spans="1:6" ht="16.5" customHeight="1">
      <c r="A11" s="565" t="s">
        <v>632</v>
      </c>
      <c r="B11" s="606">
        <v>1.2268885401902789</v>
      </c>
      <c r="C11" s="606">
        <v>1.4609562326148082</v>
      </c>
      <c r="D11" s="601">
        <f>1.27051137012098*100</f>
        <v>127.051137012098</v>
      </c>
      <c r="E11" s="602">
        <v>98.6</v>
      </c>
      <c r="F11" s="603">
        <v>85.993837058630902</v>
      </c>
    </row>
    <row r="12" spans="1:6" ht="16.5" customHeight="1">
      <c r="A12" s="565" t="s">
        <v>633</v>
      </c>
      <c r="B12" s="606">
        <v>0.87785963571496872</v>
      </c>
      <c r="C12" s="606">
        <v>1.412545032975101</v>
      </c>
      <c r="D12" s="605">
        <f>1.34097654093616*100</f>
        <v>134.097654093616</v>
      </c>
      <c r="E12" s="602">
        <v>86.1</v>
      </c>
      <c r="F12" s="603">
        <v>84.971190039403098</v>
      </c>
    </row>
    <row r="13" spans="1:6" s="29" customFormat="1" ht="16.5" customHeight="1">
      <c r="A13" s="574" t="s">
        <v>634</v>
      </c>
      <c r="B13" s="607">
        <v>0.81369632298048145</v>
      </c>
      <c r="C13" s="607">
        <v>1.1968169326958631</v>
      </c>
      <c r="D13" s="608">
        <f>1.4906779787451*100</f>
        <v>149.06779787451001</v>
      </c>
      <c r="E13" s="609">
        <v>81.599999999999994</v>
      </c>
      <c r="F13" s="610">
        <v>87.898621708751094</v>
      </c>
    </row>
    <row r="14" spans="1:6" ht="20.45" hidden="1" customHeight="1">
      <c r="A14" s="574" t="s">
        <v>602</v>
      </c>
      <c r="B14" s="607">
        <v>24.03</v>
      </c>
      <c r="C14" s="607"/>
      <c r="D14" s="607"/>
      <c r="E14" s="609"/>
    </row>
    <row r="15" spans="1:6">
      <c r="A15" s="540" t="s">
        <v>675</v>
      </c>
      <c r="B15" s="2945" t="s">
        <v>676</v>
      </c>
      <c r="C15" s="2934"/>
      <c r="D15" s="540"/>
      <c r="E15" s="540"/>
    </row>
    <row r="16" spans="1:6" ht="80.25" customHeight="1">
      <c r="B16" s="2934" t="s">
        <v>677</v>
      </c>
      <c r="C16" s="2934"/>
      <c r="D16" s="2934"/>
      <c r="E16" s="2934"/>
      <c r="F16" s="2934"/>
    </row>
    <row r="17" spans="1:6" ht="46.5" customHeight="1">
      <c r="B17" s="2934" t="s">
        <v>606</v>
      </c>
      <c r="C17" s="2934"/>
      <c r="D17" s="2934"/>
      <c r="E17" s="2934"/>
      <c r="F17" s="2934"/>
    </row>
    <row r="18" spans="1:6" ht="36" customHeight="1">
      <c r="B18" s="2940" t="s">
        <v>678</v>
      </c>
      <c r="C18" s="2941"/>
      <c r="D18" s="2941"/>
      <c r="E18" s="2941"/>
      <c r="F18" s="2941"/>
    </row>
    <row r="19" spans="1:6" ht="28.5" customHeight="1">
      <c r="B19" s="2941" t="s">
        <v>679</v>
      </c>
      <c r="C19" s="2941"/>
      <c r="D19" s="2941"/>
      <c r="E19" s="2941"/>
      <c r="F19" s="2941"/>
    </row>
    <row r="20" spans="1:6" ht="16.5">
      <c r="A20" s="611" t="s">
        <v>680</v>
      </c>
      <c r="B20" s="2946" t="s">
        <v>681</v>
      </c>
      <c r="C20" s="2947"/>
    </row>
  </sheetData>
  <mergeCells count="7">
    <mergeCell ref="B20:C20"/>
    <mergeCell ref="A1:F1"/>
    <mergeCell ref="B15:C15"/>
    <mergeCell ref="B16:F16"/>
    <mergeCell ref="B17:F17"/>
    <mergeCell ref="B18:F18"/>
    <mergeCell ref="B19:F19"/>
  </mergeCells>
  <phoneticPr fontId="61" type="noConversion"/>
  <printOptions horizontalCentered="1" verticalCentered="1"/>
  <pageMargins left="0.70866141732283472" right="0.70866141732283472" top="0.74803149606299213" bottom="0.74803149606299213" header="0.31496062992125984" footer="0.31496062992125984"/>
  <pageSetup paperSize="11" scale="74" orientation="landscape" r:id="rId1"/>
  <headerFooter differentOddEven="1" scaleWithDoc="0">
    <oddHeader>&amp;L&amp;"Times New Roman,標準"&amp;8 107&amp;"標楷體,標準"年犯罪狀況及其分析</oddHeader>
    <evenHeader>&amp;R&amp;"標楷體,標準"&amp;8第一篇　&amp;"Times New Roman,標準"107&amp;"標楷體,標準"年犯罪狀況及近&amp;"Times New Roman,標準"10&amp;"標楷體,標準"年犯罪趨勢分析</even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F23"/>
  <sheetViews>
    <sheetView showGridLines="0" workbookViewId="0">
      <selection activeCell="M18" sqref="M18"/>
    </sheetView>
  </sheetViews>
  <sheetFormatPr defaultColWidth="8.625" defaultRowHeight="15.75"/>
  <cols>
    <col min="1" max="1" width="11.5" style="28" customWidth="1"/>
    <col min="2" max="6" width="20.625" style="28" customWidth="1"/>
    <col min="7" max="16384" width="8.625" style="28"/>
  </cols>
  <sheetData>
    <row r="1" spans="1:6" ht="20.25">
      <c r="A1" s="2943" t="s">
        <v>682</v>
      </c>
      <c r="B1" s="2943"/>
      <c r="C1" s="2943"/>
      <c r="D1" s="2943"/>
      <c r="E1" s="2943"/>
      <c r="F1" s="2943"/>
    </row>
    <row r="2" spans="1:6">
      <c r="A2" s="29"/>
      <c r="B2" s="558"/>
      <c r="C2" s="558"/>
      <c r="D2" s="540"/>
      <c r="E2" s="612"/>
      <c r="F2" s="559" t="s">
        <v>582</v>
      </c>
    </row>
    <row r="3" spans="1:6">
      <c r="A3" s="598"/>
      <c r="B3" s="561" t="s">
        <v>620</v>
      </c>
      <c r="C3" s="562" t="s">
        <v>683</v>
      </c>
      <c r="D3" s="562" t="s">
        <v>684</v>
      </c>
      <c r="E3" s="564" t="s">
        <v>673</v>
      </c>
      <c r="F3" s="613" t="s">
        <v>624</v>
      </c>
    </row>
    <row r="4" spans="1:6" ht="15.75" hidden="1" customHeight="1">
      <c r="A4" s="565" t="s">
        <v>600</v>
      </c>
      <c r="B4" s="614">
        <v>214.39</v>
      </c>
      <c r="C4" s="606">
        <v>50.9</v>
      </c>
      <c r="D4" s="606">
        <v>552.1</v>
      </c>
      <c r="E4" s="615">
        <v>430.6</v>
      </c>
      <c r="F4" s="616" t="s">
        <v>685</v>
      </c>
    </row>
    <row r="5" spans="1:6" ht="17.25" hidden="1" customHeight="1">
      <c r="A5" s="565" t="s">
        <v>601</v>
      </c>
      <c r="B5" s="600">
        <v>223.96</v>
      </c>
      <c r="C5" s="600">
        <v>146.30000000000001</v>
      </c>
      <c r="D5" s="617">
        <v>456.7</v>
      </c>
      <c r="E5" s="615">
        <v>421.7</v>
      </c>
      <c r="F5" s="616" t="s">
        <v>686</v>
      </c>
    </row>
    <row r="6" spans="1:6" ht="15.75" customHeight="1">
      <c r="A6" s="565" t="s">
        <v>625</v>
      </c>
      <c r="B6" s="618">
        <v>6.7326541678413525</v>
      </c>
      <c r="C6" s="618">
        <v>1.0146529700077371</v>
      </c>
      <c r="D6" s="619">
        <f>15892/55692400*100000</f>
        <v>28.535311819925163</v>
      </c>
      <c r="E6" s="620">
        <v>27.7</v>
      </c>
      <c r="F6" s="621">
        <v>64</v>
      </c>
    </row>
    <row r="7" spans="1:6" ht="15.75" customHeight="1">
      <c r="A7" s="565" t="s">
        <v>687</v>
      </c>
      <c r="B7" s="618">
        <v>5.8249033199706917</v>
      </c>
      <c r="C7" s="618">
        <v>0.93350052878149192</v>
      </c>
      <c r="D7" s="619">
        <f>16038/56170900*100000</f>
        <v>28.55215066876265</v>
      </c>
      <c r="E7" s="620">
        <v>27</v>
      </c>
      <c r="F7" s="621">
        <v>69</v>
      </c>
    </row>
    <row r="8" spans="1:6" ht="15.75" customHeight="1">
      <c r="A8" s="565" t="s">
        <v>688</v>
      </c>
      <c r="B8" s="618">
        <v>5.0665294621266606</v>
      </c>
      <c r="C8" s="618">
        <v>0.99257744938360715</v>
      </c>
      <c r="D8" s="619">
        <f>16374/56567800*100000</f>
        <v>28.945796018229451</v>
      </c>
      <c r="E8" s="620">
        <v>27.1</v>
      </c>
      <c r="F8" s="621">
        <v>66.432904919533001</v>
      </c>
    </row>
    <row r="9" spans="1:6" ht="15.75" customHeight="1">
      <c r="A9" s="565" t="s">
        <v>689</v>
      </c>
      <c r="B9" s="622">
        <v>3.6582227047592171</v>
      </c>
      <c r="C9" s="622">
        <v>1.1066154389849592</v>
      </c>
      <c r="D9" s="623">
        <f>20751/56948200*100000</f>
        <v>36.438377332382764</v>
      </c>
      <c r="E9" s="624">
        <v>35.9</v>
      </c>
      <c r="F9" s="621">
        <v>62.674582878620498</v>
      </c>
    </row>
    <row r="10" spans="1:6" ht="15.75" customHeight="1">
      <c r="A10" s="565" t="s">
        <v>690</v>
      </c>
      <c r="B10" s="625">
        <v>3.4738193447299959</v>
      </c>
      <c r="C10" s="625">
        <v>0.98337980353597731</v>
      </c>
      <c r="D10" s="626">
        <f>26683/57408700*100000</f>
        <v>46.47901798856271</v>
      </c>
      <c r="E10" s="624">
        <v>37</v>
      </c>
      <c r="F10" s="621">
        <v>69.068900276038306</v>
      </c>
    </row>
    <row r="11" spans="1:6" ht="15.75" customHeight="1">
      <c r="A11" s="565" t="s">
        <v>691</v>
      </c>
      <c r="B11" s="625">
        <v>2.6808264310221652</v>
      </c>
      <c r="C11" s="625">
        <v>0.91940912608649916</v>
      </c>
      <c r="D11" s="626">
        <f>0.60374172855542*100</f>
        <v>60.374172855542</v>
      </c>
      <c r="E11" s="624">
        <v>39.299999999999997</v>
      </c>
      <c r="F11" s="621">
        <v>60.392740584401302</v>
      </c>
    </row>
    <row r="12" spans="1:6" ht="15.75" customHeight="1">
      <c r="A12" s="565" t="s">
        <v>692</v>
      </c>
      <c r="B12" s="625">
        <v>2.0114012003344963</v>
      </c>
      <c r="C12" s="625">
        <v>0.77892782388626203</v>
      </c>
      <c r="D12" s="626">
        <f>0.682175317640042*100</f>
        <v>68.217531764004207</v>
      </c>
      <c r="E12" s="624">
        <v>40.9</v>
      </c>
      <c r="F12" s="621">
        <v>67.670487555029496</v>
      </c>
    </row>
    <row r="13" spans="1:6" ht="15.75" customHeight="1">
      <c r="A13" s="565" t="s">
        <v>693</v>
      </c>
      <c r="B13" s="625">
        <v>1.2820772980535096</v>
      </c>
      <c r="C13" s="625">
        <v>0.87483826240271179</v>
      </c>
      <c r="D13" s="626">
        <f>0.890491885429521*100</f>
        <v>89.049188542952095</v>
      </c>
      <c r="E13" s="624">
        <v>41.7</v>
      </c>
      <c r="F13" s="621">
        <v>73.267266190895</v>
      </c>
    </row>
    <row r="14" spans="1:6" ht="15.75" customHeight="1">
      <c r="A14" s="565" t="s">
        <v>694</v>
      </c>
      <c r="B14" s="625">
        <v>0.96691785962808141</v>
      </c>
      <c r="C14" s="625">
        <v>1.033126109736126</v>
      </c>
      <c r="D14" s="626">
        <f>0.97503304805959*100</f>
        <v>97.503304805959004</v>
      </c>
      <c r="E14" s="624">
        <v>44</v>
      </c>
      <c r="F14" s="621">
        <v>78.209661153547202</v>
      </c>
    </row>
    <row r="15" spans="1:6" s="29" customFormat="1" ht="15.75" customHeight="1">
      <c r="A15" s="574" t="s">
        <v>695</v>
      </c>
      <c r="B15" s="627">
        <v>0.82217232634486148</v>
      </c>
      <c r="C15" s="627">
        <v>1.1128575714346047</v>
      </c>
      <c r="D15" s="628">
        <f>0.981453287590554*100</f>
        <v>98.145328759055388</v>
      </c>
      <c r="E15" s="629">
        <v>42.6</v>
      </c>
      <c r="F15" s="630">
        <v>83.481801093834306</v>
      </c>
    </row>
    <row r="16" spans="1:6" ht="20.45" hidden="1" customHeight="1">
      <c r="A16" s="574" t="s">
        <v>602</v>
      </c>
      <c r="B16" s="607">
        <v>24.03</v>
      </c>
      <c r="C16" s="607"/>
      <c r="D16" s="607"/>
      <c r="E16" s="609"/>
      <c r="F16" s="28">
        <v>70.081540280338103</v>
      </c>
    </row>
    <row r="17" spans="1:6">
      <c r="A17" s="540" t="s">
        <v>675</v>
      </c>
      <c r="B17" s="2949" t="s">
        <v>696</v>
      </c>
      <c r="C17" s="2949"/>
      <c r="D17" s="540"/>
      <c r="E17" s="540"/>
    </row>
    <row r="18" spans="1:6" ht="80.25" customHeight="1">
      <c r="B18" s="2934" t="s">
        <v>697</v>
      </c>
      <c r="C18" s="2934"/>
      <c r="D18" s="2934"/>
      <c r="E18" s="2934"/>
      <c r="F18" s="2934"/>
    </row>
    <row r="19" spans="1:6" ht="41.25" customHeight="1">
      <c r="B19" s="2934" t="s">
        <v>637</v>
      </c>
      <c r="C19" s="2934"/>
      <c r="D19" s="2934"/>
      <c r="E19" s="2934"/>
      <c r="F19" s="2934"/>
    </row>
    <row r="20" spans="1:6" ht="36" customHeight="1">
      <c r="B20" s="2940" t="s">
        <v>698</v>
      </c>
      <c r="C20" s="2941"/>
      <c r="D20" s="2941"/>
      <c r="E20" s="2941"/>
      <c r="F20" s="2941"/>
    </row>
    <row r="21" spans="1:6" ht="25.5" customHeight="1">
      <c r="B21" s="2941" t="s">
        <v>699</v>
      </c>
      <c r="C21" s="2941"/>
      <c r="D21" s="2941"/>
      <c r="E21" s="2941"/>
      <c r="F21" s="2941"/>
    </row>
    <row r="22" spans="1:6" ht="16.5">
      <c r="A22" s="631" t="s">
        <v>700</v>
      </c>
      <c r="B22" s="28" t="s">
        <v>701</v>
      </c>
    </row>
    <row r="23" spans="1:6" ht="33" customHeight="1">
      <c r="B23" s="2948" t="s">
        <v>702</v>
      </c>
      <c r="C23" s="2948"/>
      <c r="D23" s="2948"/>
      <c r="E23" s="2948"/>
      <c r="F23" s="2948"/>
    </row>
  </sheetData>
  <mergeCells count="7">
    <mergeCell ref="B23:F23"/>
    <mergeCell ref="A1:F1"/>
    <mergeCell ref="B17:C17"/>
    <mergeCell ref="B18:F18"/>
    <mergeCell ref="B19:F19"/>
    <mergeCell ref="B20:F20"/>
    <mergeCell ref="B21:F21"/>
  </mergeCells>
  <phoneticPr fontId="61" type="noConversion"/>
  <printOptions horizontalCentered="1" verticalCentered="1"/>
  <pageMargins left="0.70866141732283472" right="0.70866141732283472" top="0.74803149606299213" bottom="0.74803149606299213" header="0.31496062992125984" footer="0.31496062992125984"/>
  <pageSetup paperSize="11" scale="72" orientation="landscape" r:id="rId1"/>
  <headerFooter differentOddEven="1" scaleWithDoc="0">
    <oddHeader>&amp;L&amp;"Times New Roman,標準"&amp;8 107&amp;"標楷體,標準"年犯罪狀況及其分析</oddHeader>
    <evenHeader>&amp;R&amp;"標楷體,標準"&amp;8第一篇　&amp;"Times New Roman,標準"107&amp;"標楷體,標準"年犯罪狀況及近&amp;"Times New Roman,標準"10&amp;"標楷體,標準"年犯罪趨勢分析</even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T22"/>
  <sheetViews>
    <sheetView showGridLines="0" zoomScaleNormal="100" zoomScalePageLayoutView="120" workbookViewId="0">
      <selection activeCell="B18" sqref="B18:F18"/>
    </sheetView>
  </sheetViews>
  <sheetFormatPr defaultColWidth="9" defaultRowHeight="15"/>
  <cols>
    <col min="1" max="1" width="11.5" style="1" customWidth="1"/>
    <col min="2" max="6" width="15.625" style="1" customWidth="1"/>
    <col min="7" max="7" width="7.5" style="1" customWidth="1"/>
    <col min="8" max="8" width="9.625" style="1" bestFit="1" customWidth="1"/>
    <col min="9" max="9" width="7.5" style="1" customWidth="1"/>
    <col min="10" max="16384" width="9" style="1"/>
  </cols>
  <sheetData>
    <row r="1" spans="1:11" ht="20.25">
      <c r="A1" s="2953" t="s">
        <v>550</v>
      </c>
      <c r="B1" s="2953"/>
      <c r="C1" s="2953"/>
      <c r="D1" s="2953"/>
      <c r="E1" s="2953"/>
      <c r="F1" s="2953"/>
      <c r="G1" s="22"/>
      <c r="H1" s="22"/>
      <c r="I1" s="22"/>
      <c r="J1" s="22"/>
      <c r="K1" s="22"/>
    </row>
    <row r="2" spans="1:11" ht="15" customHeight="1">
      <c r="A2" s="55"/>
      <c r="B2" s="497"/>
      <c r="C2" s="497"/>
      <c r="D2" s="497"/>
      <c r="F2" s="496" t="s">
        <v>551</v>
      </c>
      <c r="G2" s="22"/>
      <c r="H2" s="22"/>
      <c r="I2" s="22"/>
      <c r="J2" s="22"/>
      <c r="K2" s="22"/>
    </row>
    <row r="3" spans="1:11" ht="15.75" customHeight="1">
      <c r="A3" s="509"/>
      <c r="B3" s="499" t="s">
        <v>552</v>
      </c>
      <c r="C3" s="498" t="s">
        <v>371</v>
      </c>
      <c r="D3" s="499" t="s">
        <v>553</v>
      </c>
      <c r="E3" s="59" t="s">
        <v>372</v>
      </c>
      <c r="F3" s="59" t="s">
        <v>554</v>
      </c>
      <c r="G3" s="29"/>
    </row>
    <row r="4" spans="1:11" ht="15.75" customHeight="1">
      <c r="A4" s="332" t="s">
        <v>555</v>
      </c>
      <c r="B4" s="500">
        <v>282</v>
      </c>
      <c r="C4" s="500">
        <v>57</v>
      </c>
      <c r="D4" s="500">
        <v>153</v>
      </c>
      <c r="E4" s="501">
        <v>731</v>
      </c>
      <c r="F4" s="502">
        <v>74</v>
      </c>
      <c r="G4" s="29"/>
    </row>
    <row r="5" spans="1:11" ht="15.75" customHeight="1">
      <c r="A5" s="332" t="s">
        <v>556</v>
      </c>
      <c r="B5" s="500">
        <v>280</v>
      </c>
      <c r="C5" s="500">
        <v>55</v>
      </c>
      <c r="D5" s="500">
        <v>151</v>
      </c>
      <c r="E5" s="501">
        <v>723</v>
      </c>
      <c r="F5" s="502">
        <v>71</v>
      </c>
      <c r="G5" s="29"/>
    </row>
    <row r="6" spans="1:11" ht="15.75" customHeight="1">
      <c r="A6" s="332" t="s">
        <v>557</v>
      </c>
      <c r="B6" s="500">
        <v>283.5</v>
      </c>
      <c r="C6" s="500">
        <v>53</v>
      </c>
      <c r="D6" s="500">
        <v>153</v>
      </c>
      <c r="E6" s="501">
        <v>707</v>
      </c>
      <c r="F6" s="502">
        <v>69</v>
      </c>
      <c r="G6" s="29"/>
    </row>
    <row r="7" spans="1:11" ht="15.75" customHeight="1">
      <c r="A7" s="332" t="s">
        <v>558</v>
      </c>
      <c r="B7" s="500">
        <v>278</v>
      </c>
      <c r="C7" s="500">
        <v>50</v>
      </c>
      <c r="D7" s="500">
        <v>144</v>
      </c>
      <c r="E7" s="501">
        <v>706</v>
      </c>
      <c r="F7" s="502">
        <v>60</v>
      </c>
      <c r="G7" s="29"/>
    </row>
    <row r="8" spans="1:11" ht="15.75" customHeight="1">
      <c r="A8" s="332" t="s">
        <v>559</v>
      </c>
      <c r="B8" s="500">
        <v>270.8</v>
      </c>
      <c r="C8" s="500">
        <v>48</v>
      </c>
      <c r="D8" s="500">
        <v>149</v>
      </c>
      <c r="E8" s="503">
        <v>693</v>
      </c>
      <c r="F8" s="502">
        <v>61</v>
      </c>
      <c r="G8" s="29"/>
    </row>
    <row r="9" spans="1:11" ht="15.75" customHeight="1">
      <c r="A9" s="332" t="s">
        <v>560</v>
      </c>
      <c r="B9" s="500">
        <v>268</v>
      </c>
      <c r="C9" s="500">
        <v>47</v>
      </c>
      <c r="D9" s="500">
        <v>148</v>
      </c>
      <c r="E9" s="503">
        <v>666</v>
      </c>
      <c r="F9" s="502">
        <v>53</v>
      </c>
      <c r="G9" s="29"/>
    </row>
    <row r="10" spans="1:11" ht="15.75" customHeight="1">
      <c r="A10" s="332" t="s">
        <v>561</v>
      </c>
      <c r="B10" s="500">
        <v>265</v>
      </c>
      <c r="C10" s="500">
        <v>44</v>
      </c>
      <c r="D10" s="500">
        <v>146</v>
      </c>
      <c r="E10" s="503">
        <v>655</v>
      </c>
      <c r="F10" s="502">
        <v>58</v>
      </c>
      <c r="G10" s="29"/>
    </row>
    <row r="11" spans="1:11" ht="15.75" customHeight="1">
      <c r="A11" s="332" t="s">
        <v>562</v>
      </c>
      <c r="B11" s="500">
        <v>264</v>
      </c>
      <c r="C11" s="504">
        <v>42</v>
      </c>
      <c r="D11" s="504">
        <v>144</v>
      </c>
      <c r="E11" s="504">
        <v>663</v>
      </c>
      <c r="F11" s="502">
        <v>59</v>
      </c>
      <c r="G11" s="29"/>
    </row>
    <row r="12" spans="1:11" ht="15.75" customHeight="1">
      <c r="A12" s="497" t="s">
        <v>563</v>
      </c>
      <c r="B12" s="500">
        <v>265</v>
      </c>
      <c r="C12" s="504">
        <v>41</v>
      </c>
      <c r="D12" s="504">
        <v>140</v>
      </c>
      <c r="E12" s="504" t="s">
        <v>564</v>
      </c>
      <c r="F12" s="505">
        <v>62</v>
      </c>
      <c r="G12" s="29"/>
    </row>
    <row r="13" spans="1:11" ht="15.75" customHeight="1">
      <c r="A13" s="333" t="s">
        <v>565</v>
      </c>
      <c r="B13" s="506">
        <v>259</v>
      </c>
      <c r="C13" s="507">
        <v>39</v>
      </c>
      <c r="D13" s="507">
        <v>133</v>
      </c>
      <c r="E13" s="507" t="s">
        <v>566</v>
      </c>
      <c r="F13" s="508" t="s">
        <v>567</v>
      </c>
      <c r="G13" s="29"/>
    </row>
    <row r="14" spans="1:11" ht="15.75" customHeight="1">
      <c r="A14" s="60" t="s">
        <v>373</v>
      </c>
      <c r="B14" s="334" t="s">
        <v>568</v>
      </c>
      <c r="F14" s="28"/>
      <c r="G14" s="28"/>
    </row>
    <row r="15" spans="1:11" ht="48" customHeight="1">
      <c r="B15" s="2954" t="s">
        <v>569</v>
      </c>
      <c r="C15" s="2954"/>
      <c r="D15" s="2954"/>
      <c r="E15" s="2954"/>
      <c r="F15" s="2954"/>
    </row>
    <row r="16" spans="1:11" ht="49.5" customHeight="1">
      <c r="B16" s="2954" t="s">
        <v>570</v>
      </c>
      <c r="C16" s="2954"/>
      <c r="D16" s="2954"/>
      <c r="E16" s="2954"/>
      <c r="F16" s="2954"/>
    </row>
    <row r="17" spans="1:20" ht="48.75" customHeight="1">
      <c r="B17" s="2951" t="s">
        <v>571</v>
      </c>
      <c r="C17" s="2951"/>
      <c r="D17" s="2951"/>
      <c r="E17" s="2951"/>
      <c r="F17" s="2951"/>
      <c r="P17" s="2"/>
      <c r="Q17" s="2"/>
      <c r="R17" s="2"/>
      <c r="S17" s="2"/>
      <c r="T17" s="2"/>
    </row>
    <row r="18" spans="1:20" ht="48.75" customHeight="1">
      <c r="B18" s="2951" t="s">
        <v>572</v>
      </c>
      <c r="C18" s="2951"/>
      <c r="D18" s="2951"/>
      <c r="E18" s="2951"/>
      <c r="F18" s="2951"/>
      <c r="P18" s="2"/>
      <c r="Q18" s="2"/>
      <c r="R18" s="2"/>
      <c r="S18" s="2"/>
      <c r="T18" s="2"/>
    </row>
    <row r="19" spans="1:20" ht="15.75" customHeight="1">
      <c r="A19" s="335" t="s">
        <v>573</v>
      </c>
      <c r="B19" s="2952" t="s">
        <v>574</v>
      </c>
      <c r="C19" s="2952"/>
      <c r="D19" s="2952"/>
      <c r="E19" s="2952"/>
      <c r="F19" s="2952"/>
    </row>
    <row r="20" spans="1:20" ht="15.75" customHeight="1">
      <c r="B20" s="2950" t="s">
        <v>575</v>
      </c>
      <c r="C20" s="2950"/>
      <c r="D20" s="2950"/>
      <c r="E20" s="2950"/>
      <c r="F20" s="2950"/>
    </row>
    <row r="21" spans="1:20" ht="32.25" customHeight="1">
      <c r="B21" s="2951" t="s">
        <v>576</v>
      </c>
      <c r="C21" s="2951"/>
      <c r="D21" s="2951"/>
      <c r="E21" s="2951"/>
      <c r="F21" s="2951"/>
    </row>
    <row r="22" spans="1:20" ht="15.75">
      <c r="B22" s="2952" t="s">
        <v>577</v>
      </c>
      <c r="C22" s="2952"/>
      <c r="D22" s="2952"/>
      <c r="E22" s="2952"/>
      <c r="F22" s="2952"/>
    </row>
  </sheetData>
  <mergeCells count="9">
    <mergeCell ref="B20:F20"/>
    <mergeCell ref="B21:F21"/>
    <mergeCell ref="B22:F22"/>
    <mergeCell ref="A1:F1"/>
    <mergeCell ref="B15:F15"/>
    <mergeCell ref="B16:F16"/>
    <mergeCell ref="B17:F17"/>
    <mergeCell ref="B18:F18"/>
    <mergeCell ref="B19:F19"/>
  </mergeCells>
  <phoneticPr fontId="61" type="noConversion"/>
  <printOptions horizontalCentered="1" verticalCentered="1"/>
  <pageMargins left="0.70866141732283472" right="0.70866141732283472" top="0.74803149606299213" bottom="0.74803149606299213" header="0.31496062992125984" footer="0.31496062992125984"/>
  <pageSetup paperSize="11" scale="65" orientation="landscape" r:id="rId1"/>
  <headerFooter differentOddEven="1" scaleWithDoc="0">
    <oddHeader>&amp;L&amp;"Times New Roman,標準"&amp;8 107&amp;"標楷體,標準"年犯罪狀況及其分析</oddHeader>
    <evenHeader>&amp;R&amp;"標楷體,標準"&amp;8第一篇　&amp;"Times New Roman,標準"107&amp;"標楷體,標準"年犯罪狀況及近&amp;"Times New Roman,標準"10&amp;"標楷體,標準"年犯罪趨勢分析</even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outlinePr summaryBelow="0" summaryRight="0"/>
    <pageSetUpPr autoPageBreaks="0" fitToPage="1"/>
  </sheetPr>
  <dimension ref="A1:K15"/>
  <sheetViews>
    <sheetView showGridLines="0" zoomScaleNormal="100" workbookViewId="0">
      <selection activeCell="J2" sqref="J2:K2"/>
    </sheetView>
  </sheetViews>
  <sheetFormatPr defaultRowHeight="12.75"/>
  <cols>
    <col min="1" max="1" width="6.75" style="632" customWidth="1"/>
    <col min="2" max="3" width="8" style="632" customWidth="1"/>
    <col min="4" max="4" width="9.75" style="632" bestFit="1" customWidth="1"/>
    <col min="5" max="5" width="8" style="632" customWidth="1"/>
    <col min="6" max="6" width="9.75" style="632" bestFit="1" customWidth="1"/>
    <col min="7" max="8" width="8" style="632" customWidth="1"/>
    <col min="9" max="9" width="9.75" style="632" bestFit="1" customWidth="1"/>
    <col min="10" max="10" width="8" style="632" customWidth="1"/>
    <col min="11" max="11" width="9.125" style="632" bestFit="1" customWidth="1"/>
    <col min="12" max="256" width="9" style="632"/>
    <col min="257" max="257" width="6.75" style="632" customWidth="1"/>
    <col min="258" max="259" width="8" style="632" customWidth="1"/>
    <col min="260" max="260" width="9.75" style="632" bestFit="1" customWidth="1"/>
    <col min="261" max="261" width="8" style="632" customWidth="1"/>
    <col min="262" max="262" width="9.75" style="632" bestFit="1" customWidth="1"/>
    <col min="263" max="264" width="8" style="632" customWidth="1"/>
    <col min="265" max="265" width="9.75" style="632" bestFit="1" customWidth="1"/>
    <col min="266" max="266" width="8" style="632" customWidth="1"/>
    <col min="267" max="267" width="9.125" style="632" bestFit="1" customWidth="1"/>
    <col min="268" max="512" width="9" style="632"/>
    <col min="513" max="513" width="6.75" style="632" customWidth="1"/>
    <col min="514" max="515" width="8" style="632" customWidth="1"/>
    <col min="516" max="516" width="9.75" style="632" bestFit="1" customWidth="1"/>
    <col min="517" max="517" width="8" style="632" customWidth="1"/>
    <col min="518" max="518" width="9.75" style="632" bestFit="1" customWidth="1"/>
    <col min="519" max="520" width="8" style="632" customWidth="1"/>
    <col min="521" max="521" width="9.75" style="632" bestFit="1" customWidth="1"/>
    <col min="522" max="522" width="8" style="632" customWidth="1"/>
    <col min="523" max="523" width="9.125" style="632" bestFit="1" customWidth="1"/>
    <col min="524" max="768" width="9" style="632"/>
    <col min="769" max="769" width="6.75" style="632" customWidth="1"/>
    <col min="770" max="771" width="8" style="632" customWidth="1"/>
    <col min="772" max="772" width="9.75" style="632" bestFit="1" customWidth="1"/>
    <col min="773" max="773" width="8" style="632" customWidth="1"/>
    <col min="774" max="774" width="9.75" style="632" bestFit="1" customWidth="1"/>
    <col min="775" max="776" width="8" style="632" customWidth="1"/>
    <col min="777" max="777" width="9.75" style="632" bestFit="1" customWidth="1"/>
    <col min="778" max="778" width="8" style="632" customWidth="1"/>
    <col min="779" max="779" width="9.125" style="632" bestFit="1" customWidth="1"/>
    <col min="780" max="1024" width="9" style="632"/>
    <col min="1025" max="1025" width="6.75" style="632" customWidth="1"/>
    <col min="1026" max="1027" width="8" style="632" customWidth="1"/>
    <col min="1028" max="1028" width="9.75" style="632" bestFit="1" customWidth="1"/>
    <col min="1029" max="1029" width="8" style="632" customWidth="1"/>
    <col min="1030" max="1030" width="9.75" style="632" bestFit="1" customWidth="1"/>
    <col min="1031" max="1032" width="8" style="632" customWidth="1"/>
    <col min="1033" max="1033" width="9.75" style="632" bestFit="1" customWidth="1"/>
    <col min="1034" max="1034" width="8" style="632" customWidth="1"/>
    <col min="1035" max="1035" width="9.125" style="632" bestFit="1" customWidth="1"/>
    <col min="1036" max="1280" width="9" style="632"/>
    <col min="1281" max="1281" width="6.75" style="632" customWidth="1"/>
    <col min="1282" max="1283" width="8" style="632" customWidth="1"/>
    <col min="1284" max="1284" width="9.75" style="632" bestFit="1" customWidth="1"/>
    <col min="1285" max="1285" width="8" style="632" customWidth="1"/>
    <col min="1286" max="1286" width="9.75" style="632" bestFit="1" customWidth="1"/>
    <col min="1287" max="1288" width="8" style="632" customWidth="1"/>
    <col min="1289" max="1289" width="9.75" style="632" bestFit="1" customWidth="1"/>
    <col min="1290" max="1290" width="8" style="632" customWidth="1"/>
    <col min="1291" max="1291" width="9.125" style="632" bestFit="1" customWidth="1"/>
    <col min="1292" max="1536" width="9" style="632"/>
    <col min="1537" max="1537" width="6.75" style="632" customWidth="1"/>
    <col min="1538" max="1539" width="8" style="632" customWidth="1"/>
    <col min="1540" max="1540" width="9.75" style="632" bestFit="1" customWidth="1"/>
    <col min="1541" max="1541" width="8" style="632" customWidth="1"/>
    <col min="1542" max="1542" width="9.75" style="632" bestFit="1" customWidth="1"/>
    <col min="1543" max="1544" width="8" style="632" customWidth="1"/>
    <col min="1545" max="1545" width="9.75" style="632" bestFit="1" customWidth="1"/>
    <col min="1546" max="1546" width="8" style="632" customWidth="1"/>
    <col min="1547" max="1547" width="9.125" style="632" bestFit="1" customWidth="1"/>
    <col min="1548" max="1792" width="9" style="632"/>
    <col min="1793" max="1793" width="6.75" style="632" customWidth="1"/>
    <col min="1794" max="1795" width="8" style="632" customWidth="1"/>
    <col min="1796" max="1796" width="9.75" style="632" bestFit="1" customWidth="1"/>
    <col min="1797" max="1797" width="8" style="632" customWidth="1"/>
    <col min="1798" max="1798" width="9.75" style="632" bestFit="1" customWidth="1"/>
    <col min="1799" max="1800" width="8" style="632" customWidth="1"/>
    <col min="1801" max="1801" width="9.75" style="632" bestFit="1" customWidth="1"/>
    <col min="1802" max="1802" width="8" style="632" customWidth="1"/>
    <col min="1803" max="1803" width="9.125" style="632" bestFit="1" customWidth="1"/>
    <col min="1804" max="2048" width="9" style="632"/>
    <col min="2049" max="2049" width="6.75" style="632" customWidth="1"/>
    <col min="2050" max="2051" width="8" style="632" customWidth="1"/>
    <col min="2052" max="2052" width="9.75" style="632" bestFit="1" customWidth="1"/>
    <col min="2053" max="2053" width="8" style="632" customWidth="1"/>
    <col min="2054" max="2054" width="9.75" style="632" bestFit="1" customWidth="1"/>
    <col min="2055" max="2056" width="8" style="632" customWidth="1"/>
    <col min="2057" max="2057" width="9.75" style="632" bestFit="1" customWidth="1"/>
    <col min="2058" max="2058" width="8" style="632" customWidth="1"/>
    <col min="2059" max="2059" width="9.125" style="632" bestFit="1" customWidth="1"/>
    <col min="2060" max="2304" width="9" style="632"/>
    <col min="2305" max="2305" width="6.75" style="632" customWidth="1"/>
    <col min="2306" max="2307" width="8" style="632" customWidth="1"/>
    <col min="2308" max="2308" width="9.75" style="632" bestFit="1" customWidth="1"/>
    <col min="2309" max="2309" width="8" style="632" customWidth="1"/>
    <col min="2310" max="2310" width="9.75" style="632" bestFit="1" customWidth="1"/>
    <col min="2311" max="2312" width="8" style="632" customWidth="1"/>
    <col min="2313" max="2313" width="9.75" style="632" bestFit="1" customWidth="1"/>
    <col min="2314" max="2314" width="8" style="632" customWidth="1"/>
    <col min="2315" max="2315" width="9.125" style="632" bestFit="1" customWidth="1"/>
    <col min="2316" max="2560" width="9" style="632"/>
    <col min="2561" max="2561" width="6.75" style="632" customWidth="1"/>
    <col min="2562" max="2563" width="8" style="632" customWidth="1"/>
    <col min="2564" max="2564" width="9.75" style="632" bestFit="1" customWidth="1"/>
    <col min="2565" max="2565" width="8" style="632" customWidth="1"/>
    <col min="2566" max="2566" width="9.75" style="632" bestFit="1" customWidth="1"/>
    <col min="2567" max="2568" width="8" style="632" customWidth="1"/>
    <col min="2569" max="2569" width="9.75" style="632" bestFit="1" customWidth="1"/>
    <col min="2570" max="2570" width="8" style="632" customWidth="1"/>
    <col min="2571" max="2571" width="9.125" style="632" bestFit="1" customWidth="1"/>
    <col min="2572" max="2816" width="9" style="632"/>
    <col min="2817" max="2817" width="6.75" style="632" customWidth="1"/>
    <col min="2818" max="2819" width="8" style="632" customWidth="1"/>
    <col min="2820" max="2820" width="9.75" style="632" bestFit="1" customWidth="1"/>
    <col min="2821" max="2821" width="8" style="632" customWidth="1"/>
    <col min="2822" max="2822" width="9.75" style="632" bestFit="1" customWidth="1"/>
    <col min="2823" max="2824" width="8" style="632" customWidth="1"/>
    <col min="2825" max="2825" width="9.75" style="632" bestFit="1" customWidth="1"/>
    <col min="2826" max="2826" width="8" style="632" customWidth="1"/>
    <col min="2827" max="2827" width="9.125" style="632" bestFit="1" customWidth="1"/>
    <col min="2828" max="3072" width="9" style="632"/>
    <col min="3073" max="3073" width="6.75" style="632" customWidth="1"/>
    <col min="3074" max="3075" width="8" style="632" customWidth="1"/>
    <col min="3076" max="3076" width="9.75" style="632" bestFit="1" customWidth="1"/>
    <col min="3077" max="3077" width="8" style="632" customWidth="1"/>
    <col min="3078" max="3078" width="9.75" style="632" bestFit="1" customWidth="1"/>
    <col min="3079" max="3080" width="8" style="632" customWidth="1"/>
    <col min="3081" max="3081" width="9.75" style="632" bestFit="1" customWidth="1"/>
    <col min="3082" max="3082" width="8" style="632" customWidth="1"/>
    <col min="3083" max="3083" width="9.125" style="632" bestFit="1" customWidth="1"/>
    <col min="3084" max="3328" width="9" style="632"/>
    <col min="3329" max="3329" width="6.75" style="632" customWidth="1"/>
    <col min="3330" max="3331" width="8" style="632" customWidth="1"/>
    <col min="3332" max="3332" width="9.75" style="632" bestFit="1" customWidth="1"/>
    <col min="3333" max="3333" width="8" style="632" customWidth="1"/>
    <col min="3334" max="3334" width="9.75" style="632" bestFit="1" customWidth="1"/>
    <col min="3335" max="3336" width="8" style="632" customWidth="1"/>
    <col min="3337" max="3337" width="9.75" style="632" bestFit="1" customWidth="1"/>
    <col min="3338" max="3338" width="8" style="632" customWidth="1"/>
    <col min="3339" max="3339" width="9.125" style="632" bestFit="1" customWidth="1"/>
    <col min="3340" max="3584" width="9" style="632"/>
    <col min="3585" max="3585" width="6.75" style="632" customWidth="1"/>
    <col min="3586" max="3587" width="8" style="632" customWidth="1"/>
    <col min="3588" max="3588" width="9.75" style="632" bestFit="1" customWidth="1"/>
    <col min="3589" max="3589" width="8" style="632" customWidth="1"/>
    <col min="3590" max="3590" width="9.75" style="632" bestFit="1" customWidth="1"/>
    <col min="3591" max="3592" width="8" style="632" customWidth="1"/>
    <col min="3593" max="3593" width="9.75" style="632" bestFit="1" customWidth="1"/>
    <col min="3594" max="3594" width="8" style="632" customWidth="1"/>
    <col min="3595" max="3595" width="9.125" style="632" bestFit="1" customWidth="1"/>
    <col min="3596" max="3840" width="9" style="632"/>
    <col min="3841" max="3841" width="6.75" style="632" customWidth="1"/>
    <col min="3842" max="3843" width="8" style="632" customWidth="1"/>
    <col min="3844" max="3844" width="9.75" style="632" bestFit="1" customWidth="1"/>
    <col min="3845" max="3845" width="8" style="632" customWidth="1"/>
    <col min="3846" max="3846" width="9.75" style="632" bestFit="1" customWidth="1"/>
    <col min="3847" max="3848" width="8" style="632" customWidth="1"/>
    <col min="3849" max="3849" width="9.75" style="632" bestFit="1" customWidth="1"/>
    <col min="3850" max="3850" width="8" style="632" customWidth="1"/>
    <col min="3851" max="3851" width="9.125" style="632" bestFit="1" customWidth="1"/>
    <col min="3852" max="4096" width="9" style="632"/>
    <col min="4097" max="4097" width="6.75" style="632" customWidth="1"/>
    <col min="4098" max="4099" width="8" style="632" customWidth="1"/>
    <col min="4100" max="4100" width="9.75" style="632" bestFit="1" customWidth="1"/>
    <col min="4101" max="4101" width="8" style="632" customWidth="1"/>
    <col min="4102" max="4102" width="9.75" style="632" bestFit="1" customWidth="1"/>
    <col min="4103" max="4104" width="8" style="632" customWidth="1"/>
    <col min="4105" max="4105" width="9.75" style="632" bestFit="1" customWidth="1"/>
    <col min="4106" max="4106" width="8" style="632" customWidth="1"/>
    <col min="4107" max="4107" width="9.125" style="632" bestFit="1" customWidth="1"/>
    <col min="4108" max="4352" width="9" style="632"/>
    <col min="4353" max="4353" width="6.75" style="632" customWidth="1"/>
    <col min="4354" max="4355" width="8" style="632" customWidth="1"/>
    <col min="4356" max="4356" width="9.75" style="632" bestFit="1" customWidth="1"/>
    <col min="4357" max="4357" width="8" style="632" customWidth="1"/>
    <col min="4358" max="4358" width="9.75" style="632" bestFit="1" customWidth="1"/>
    <col min="4359" max="4360" width="8" style="632" customWidth="1"/>
    <col min="4361" max="4361" width="9.75" style="632" bestFit="1" customWidth="1"/>
    <col min="4362" max="4362" width="8" style="632" customWidth="1"/>
    <col min="4363" max="4363" width="9.125" style="632" bestFit="1" customWidth="1"/>
    <col min="4364" max="4608" width="9" style="632"/>
    <col min="4609" max="4609" width="6.75" style="632" customWidth="1"/>
    <col min="4610" max="4611" width="8" style="632" customWidth="1"/>
    <col min="4612" max="4612" width="9.75" style="632" bestFit="1" customWidth="1"/>
    <col min="4613" max="4613" width="8" style="632" customWidth="1"/>
    <col min="4614" max="4614" width="9.75" style="632" bestFit="1" customWidth="1"/>
    <col min="4615" max="4616" width="8" style="632" customWidth="1"/>
    <col min="4617" max="4617" width="9.75" style="632" bestFit="1" customWidth="1"/>
    <col min="4618" max="4618" width="8" style="632" customWidth="1"/>
    <col min="4619" max="4619" width="9.125" style="632" bestFit="1" customWidth="1"/>
    <col min="4620" max="4864" width="9" style="632"/>
    <col min="4865" max="4865" width="6.75" style="632" customWidth="1"/>
    <col min="4866" max="4867" width="8" style="632" customWidth="1"/>
    <col min="4868" max="4868" width="9.75" style="632" bestFit="1" customWidth="1"/>
    <col min="4869" max="4869" width="8" style="632" customWidth="1"/>
    <col min="4870" max="4870" width="9.75" style="632" bestFit="1" customWidth="1"/>
    <col min="4871" max="4872" width="8" style="632" customWidth="1"/>
    <col min="4873" max="4873" width="9.75" style="632" bestFit="1" customWidth="1"/>
    <col min="4874" max="4874" width="8" style="632" customWidth="1"/>
    <col min="4875" max="4875" width="9.125" style="632" bestFit="1" customWidth="1"/>
    <col min="4876" max="5120" width="9" style="632"/>
    <col min="5121" max="5121" width="6.75" style="632" customWidth="1"/>
    <col min="5122" max="5123" width="8" style="632" customWidth="1"/>
    <col min="5124" max="5124" width="9.75" style="632" bestFit="1" customWidth="1"/>
    <col min="5125" max="5125" width="8" style="632" customWidth="1"/>
    <col min="5126" max="5126" width="9.75" style="632" bestFit="1" customWidth="1"/>
    <col min="5127" max="5128" width="8" style="632" customWidth="1"/>
    <col min="5129" max="5129" width="9.75" style="632" bestFit="1" customWidth="1"/>
    <col min="5130" max="5130" width="8" style="632" customWidth="1"/>
    <col min="5131" max="5131" width="9.125" style="632" bestFit="1" customWidth="1"/>
    <col min="5132" max="5376" width="9" style="632"/>
    <col min="5377" max="5377" width="6.75" style="632" customWidth="1"/>
    <col min="5378" max="5379" width="8" style="632" customWidth="1"/>
    <col min="5380" max="5380" width="9.75" style="632" bestFit="1" customWidth="1"/>
    <col min="5381" max="5381" width="8" style="632" customWidth="1"/>
    <col min="5382" max="5382" width="9.75" style="632" bestFit="1" customWidth="1"/>
    <col min="5383" max="5384" width="8" style="632" customWidth="1"/>
    <col min="5385" max="5385" width="9.75" style="632" bestFit="1" customWidth="1"/>
    <col min="5386" max="5386" width="8" style="632" customWidth="1"/>
    <col min="5387" max="5387" width="9.125" style="632" bestFit="1" customWidth="1"/>
    <col min="5388" max="5632" width="9" style="632"/>
    <col min="5633" max="5633" width="6.75" style="632" customWidth="1"/>
    <col min="5634" max="5635" width="8" style="632" customWidth="1"/>
    <col min="5636" max="5636" width="9.75" style="632" bestFit="1" customWidth="1"/>
    <col min="5637" max="5637" width="8" style="632" customWidth="1"/>
    <col min="5638" max="5638" width="9.75" style="632" bestFit="1" customWidth="1"/>
    <col min="5639" max="5640" width="8" style="632" customWidth="1"/>
    <col min="5641" max="5641" width="9.75" style="632" bestFit="1" customWidth="1"/>
    <col min="5642" max="5642" width="8" style="632" customWidth="1"/>
    <col min="5643" max="5643" width="9.125" style="632" bestFit="1" customWidth="1"/>
    <col min="5644" max="5888" width="9" style="632"/>
    <col min="5889" max="5889" width="6.75" style="632" customWidth="1"/>
    <col min="5890" max="5891" width="8" style="632" customWidth="1"/>
    <col min="5892" max="5892" width="9.75" style="632" bestFit="1" customWidth="1"/>
    <col min="5893" max="5893" width="8" style="632" customWidth="1"/>
    <col min="5894" max="5894" width="9.75" style="632" bestFit="1" customWidth="1"/>
    <col min="5895" max="5896" width="8" style="632" customWidth="1"/>
    <col min="5897" max="5897" width="9.75" style="632" bestFit="1" customWidth="1"/>
    <col min="5898" max="5898" width="8" style="632" customWidth="1"/>
    <col min="5899" max="5899" width="9.125" style="632" bestFit="1" customWidth="1"/>
    <col min="5900" max="6144" width="9" style="632"/>
    <col min="6145" max="6145" width="6.75" style="632" customWidth="1"/>
    <col min="6146" max="6147" width="8" style="632" customWidth="1"/>
    <col min="6148" max="6148" width="9.75" style="632" bestFit="1" customWidth="1"/>
    <col min="6149" max="6149" width="8" style="632" customWidth="1"/>
    <col min="6150" max="6150" width="9.75" style="632" bestFit="1" customWidth="1"/>
    <col min="6151" max="6152" width="8" style="632" customWidth="1"/>
    <col min="6153" max="6153" width="9.75" style="632" bestFit="1" customWidth="1"/>
    <col min="6154" max="6154" width="8" style="632" customWidth="1"/>
    <col min="6155" max="6155" width="9.125" style="632" bestFit="1" customWidth="1"/>
    <col min="6156" max="6400" width="9" style="632"/>
    <col min="6401" max="6401" width="6.75" style="632" customWidth="1"/>
    <col min="6402" max="6403" width="8" style="632" customWidth="1"/>
    <col min="6404" max="6404" width="9.75" style="632" bestFit="1" customWidth="1"/>
    <col min="6405" max="6405" width="8" style="632" customWidth="1"/>
    <col min="6406" max="6406" width="9.75" style="632" bestFit="1" customWidth="1"/>
    <col min="6407" max="6408" width="8" style="632" customWidth="1"/>
    <col min="6409" max="6409" width="9.75" style="632" bestFit="1" customWidth="1"/>
    <col min="6410" max="6410" width="8" style="632" customWidth="1"/>
    <col min="6411" max="6411" width="9.125" style="632" bestFit="1" customWidth="1"/>
    <col min="6412" max="6656" width="9" style="632"/>
    <col min="6657" max="6657" width="6.75" style="632" customWidth="1"/>
    <col min="6658" max="6659" width="8" style="632" customWidth="1"/>
    <col min="6660" max="6660" width="9.75" style="632" bestFit="1" customWidth="1"/>
    <col min="6661" max="6661" width="8" style="632" customWidth="1"/>
    <col min="6662" max="6662" width="9.75" style="632" bestFit="1" customWidth="1"/>
    <col min="6663" max="6664" width="8" style="632" customWidth="1"/>
    <col min="6665" max="6665" width="9.75" style="632" bestFit="1" customWidth="1"/>
    <col min="6666" max="6666" width="8" style="632" customWidth="1"/>
    <col min="6667" max="6667" width="9.125" style="632" bestFit="1" customWidth="1"/>
    <col min="6668" max="6912" width="9" style="632"/>
    <col min="6913" max="6913" width="6.75" style="632" customWidth="1"/>
    <col min="6914" max="6915" width="8" style="632" customWidth="1"/>
    <col min="6916" max="6916" width="9.75" style="632" bestFit="1" customWidth="1"/>
    <col min="6917" max="6917" width="8" style="632" customWidth="1"/>
    <col min="6918" max="6918" width="9.75" style="632" bestFit="1" customWidth="1"/>
    <col min="6919" max="6920" width="8" style="632" customWidth="1"/>
    <col min="6921" max="6921" width="9.75" style="632" bestFit="1" customWidth="1"/>
    <col min="6922" max="6922" width="8" style="632" customWidth="1"/>
    <col min="6923" max="6923" width="9.125" style="632" bestFit="1" customWidth="1"/>
    <col min="6924" max="7168" width="9" style="632"/>
    <col min="7169" max="7169" width="6.75" style="632" customWidth="1"/>
    <col min="7170" max="7171" width="8" style="632" customWidth="1"/>
    <col min="7172" max="7172" width="9.75" style="632" bestFit="1" customWidth="1"/>
    <col min="7173" max="7173" width="8" style="632" customWidth="1"/>
    <col min="7174" max="7174" width="9.75" style="632" bestFit="1" customWidth="1"/>
    <col min="7175" max="7176" width="8" style="632" customWidth="1"/>
    <col min="7177" max="7177" width="9.75" style="632" bestFit="1" customWidth="1"/>
    <col min="7178" max="7178" width="8" style="632" customWidth="1"/>
    <col min="7179" max="7179" width="9.125" style="632" bestFit="1" customWidth="1"/>
    <col min="7180" max="7424" width="9" style="632"/>
    <col min="7425" max="7425" width="6.75" style="632" customWidth="1"/>
    <col min="7426" max="7427" width="8" style="632" customWidth="1"/>
    <col min="7428" max="7428" width="9.75" style="632" bestFit="1" customWidth="1"/>
    <col min="7429" max="7429" width="8" style="632" customWidth="1"/>
    <col min="7430" max="7430" width="9.75" style="632" bestFit="1" customWidth="1"/>
    <col min="7431" max="7432" width="8" style="632" customWidth="1"/>
    <col min="7433" max="7433" width="9.75" style="632" bestFit="1" customWidth="1"/>
    <col min="7434" max="7434" width="8" style="632" customWidth="1"/>
    <col min="7435" max="7435" width="9.125" style="632" bestFit="1" customWidth="1"/>
    <col min="7436" max="7680" width="9" style="632"/>
    <col min="7681" max="7681" width="6.75" style="632" customWidth="1"/>
    <col min="7682" max="7683" width="8" style="632" customWidth="1"/>
    <col min="7684" max="7684" width="9.75" style="632" bestFit="1" customWidth="1"/>
    <col min="7685" max="7685" width="8" style="632" customWidth="1"/>
    <col min="7686" max="7686" width="9.75" style="632" bestFit="1" customWidth="1"/>
    <col min="7687" max="7688" width="8" style="632" customWidth="1"/>
    <col min="7689" max="7689" width="9.75" style="632" bestFit="1" customWidth="1"/>
    <col min="7690" max="7690" width="8" style="632" customWidth="1"/>
    <col min="7691" max="7691" width="9.125" style="632" bestFit="1" customWidth="1"/>
    <col min="7692" max="7936" width="9" style="632"/>
    <col min="7937" max="7937" width="6.75" style="632" customWidth="1"/>
    <col min="7938" max="7939" width="8" style="632" customWidth="1"/>
    <col min="7940" max="7940" width="9.75" style="632" bestFit="1" customWidth="1"/>
    <col min="7941" max="7941" width="8" style="632" customWidth="1"/>
    <col min="7942" max="7942" width="9.75" style="632" bestFit="1" customWidth="1"/>
    <col min="7943" max="7944" width="8" style="632" customWidth="1"/>
    <col min="7945" max="7945" width="9.75" style="632" bestFit="1" customWidth="1"/>
    <col min="7946" max="7946" width="8" style="632" customWidth="1"/>
    <col min="7947" max="7947" width="9.125" style="632" bestFit="1" customWidth="1"/>
    <col min="7948" max="8192" width="9" style="632"/>
    <col min="8193" max="8193" width="6.75" style="632" customWidth="1"/>
    <col min="8194" max="8195" width="8" style="632" customWidth="1"/>
    <col min="8196" max="8196" width="9.75" style="632" bestFit="1" customWidth="1"/>
    <col min="8197" max="8197" width="8" style="632" customWidth="1"/>
    <col min="8198" max="8198" width="9.75" style="632" bestFit="1" customWidth="1"/>
    <col min="8199" max="8200" width="8" style="632" customWidth="1"/>
    <col min="8201" max="8201" width="9.75" style="632" bestFit="1" customWidth="1"/>
    <col min="8202" max="8202" width="8" style="632" customWidth="1"/>
    <col min="8203" max="8203" width="9.125" style="632" bestFit="1" customWidth="1"/>
    <col min="8204" max="8448" width="9" style="632"/>
    <col min="8449" max="8449" width="6.75" style="632" customWidth="1"/>
    <col min="8450" max="8451" width="8" style="632" customWidth="1"/>
    <col min="8452" max="8452" width="9.75" style="632" bestFit="1" customWidth="1"/>
    <col min="8453" max="8453" width="8" style="632" customWidth="1"/>
    <col min="8454" max="8454" width="9.75" style="632" bestFit="1" customWidth="1"/>
    <col min="8455" max="8456" width="8" style="632" customWidth="1"/>
    <col min="8457" max="8457" width="9.75" style="632" bestFit="1" customWidth="1"/>
    <col min="8458" max="8458" width="8" style="632" customWidth="1"/>
    <col min="8459" max="8459" width="9.125" style="632" bestFit="1" customWidth="1"/>
    <col min="8460" max="8704" width="9" style="632"/>
    <col min="8705" max="8705" width="6.75" style="632" customWidth="1"/>
    <col min="8706" max="8707" width="8" style="632" customWidth="1"/>
    <col min="8708" max="8708" width="9.75" style="632" bestFit="1" customWidth="1"/>
    <col min="8709" max="8709" width="8" style="632" customWidth="1"/>
    <col min="8710" max="8710" width="9.75" style="632" bestFit="1" customWidth="1"/>
    <col min="8711" max="8712" width="8" style="632" customWidth="1"/>
    <col min="8713" max="8713" width="9.75" style="632" bestFit="1" customWidth="1"/>
    <col min="8714" max="8714" width="8" style="632" customWidth="1"/>
    <col min="8715" max="8715" width="9.125" style="632" bestFit="1" customWidth="1"/>
    <col min="8716" max="8960" width="9" style="632"/>
    <col min="8961" max="8961" width="6.75" style="632" customWidth="1"/>
    <col min="8962" max="8963" width="8" style="632" customWidth="1"/>
    <col min="8964" max="8964" width="9.75" style="632" bestFit="1" customWidth="1"/>
    <col min="8965" max="8965" width="8" style="632" customWidth="1"/>
    <col min="8966" max="8966" width="9.75" style="632" bestFit="1" customWidth="1"/>
    <col min="8967" max="8968" width="8" style="632" customWidth="1"/>
    <col min="8969" max="8969" width="9.75" style="632" bestFit="1" customWidth="1"/>
    <col min="8970" max="8970" width="8" style="632" customWidth="1"/>
    <col min="8971" max="8971" width="9.125" style="632" bestFit="1" customWidth="1"/>
    <col min="8972" max="9216" width="9" style="632"/>
    <col min="9217" max="9217" width="6.75" style="632" customWidth="1"/>
    <col min="9218" max="9219" width="8" style="632" customWidth="1"/>
    <col min="9220" max="9220" width="9.75" style="632" bestFit="1" customWidth="1"/>
    <col min="9221" max="9221" width="8" style="632" customWidth="1"/>
    <col min="9222" max="9222" width="9.75" style="632" bestFit="1" customWidth="1"/>
    <col min="9223" max="9224" width="8" style="632" customWidth="1"/>
    <col min="9225" max="9225" width="9.75" style="632" bestFit="1" customWidth="1"/>
    <col min="9226" max="9226" width="8" style="632" customWidth="1"/>
    <col min="9227" max="9227" width="9.125" style="632" bestFit="1" customWidth="1"/>
    <col min="9228" max="9472" width="9" style="632"/>
    <col min="9473" max="9473" width="6.75" style="632" customWidth="1"/>
    <col min="9474" max="9475" width="8" style="632" customWidth="1"/>
    <col min="9476" max="9476" width="9.75" style="632" bestFit="1" customWidth="1"/>
    <col min="9477" max="9477" width="8" style="632" customWidth="1"/>
    <col min="9478" max="9478" width="9.75" style="632" bestFit="1" customWidth="1"/>
    <col min="9479" max="9480" width="8" style="632" customWidth="1"/>
    <col min="9481" max="9481" width="9.75" style="632" bestFit="1" customWidth="1"/>
    <col min="9482" max="9482" width="8" style="632" customWidth="1"/>
    <col min="9483" max="9483" width="9.125" style="632" bestFit="1" customWidth="1"/>
    <col min="9484" max="9728" width="9" style="632"/>
    <col min="9729" max="9729" width="6.75" style="632" customWidth="1"/>
    <col min="9730" max="9731" width="8" style="632" customWidth="1"/>
    <col min="9732" max="9732" width="9.75" style="632" bestFit="1" customWidth="1"/>
    <col min="9733" max="9733" width="8" style="632" customWidth="1"/>
    <col min="9734" max="9734" width="9.75" style="632" bestFit="1" customWidth="1"/>
    <col min="9735" max="9736" width="8" style="632" customWidth="1"/>
    <col min="9737" max="9737" width="9.75" style="632" bestFit="1" customWidth="1"/>
    <col min="9738" max="9738" width="8" style="632" customWidth="1"/>
    <col min="9739" max="9739" width="9.125" style="632" bestFit="1" customWidth="1"/>
    <col min="9740" max="9984" width="9" style="632"/>
    <col min="9985" max="9985" width="6.75" style="632" customWidth="1"/>
    <col min="9986" max="9987" width="8" style="632" customWidth="1"/>
    <col min="9988" max="9988" width="9.75" style="632" bestFit="1" customWidth="1"/>
    <col min="9989" max="9989" width="8" style="632" customWidth="1"/>
    <col min="9990" max="9990" width="9.75" style="632" bestFit="1" customWidth="1"/>
    <col min="9991" max="9992" width="8" style="632" customWidth="1"/>
    <col min="9993" max="9993" width="9.75" style="632" bestFit="1" customWidth="1"/>
    <col min="9994" max="9994" width="8" style="632" customWidth="1"/>
    <col min="9995" max="9995" width="9.125" style="632" bestFit="1" customWidth="1"/>
    <col min="9996" max="10240" width="9" style="632"/>
    <col min="10241" max="10241" width="6.75" style="632" customWidth="1"/>
    <col min="10242" max="10243" width="8" style="632" customWidth="1"/>
    <col min="10244" max="10244" width="9.75" style="632" bestFit="1" customWidth="1"/>
    <col min="10245" max="10245" width="8" style="632" customWidth="1"/>
    <col min="10246" max="10246" width="9.75" style="632" bestFit="1" customWidth="1"/>
    <col min="10247" max="10248" width="8" style="632" customWidth="1"/>
    <col min="10249" max="10249" width="9.75" style="632" bestFit="1" customWidth="1"/>
    <col min="10250" max="10250" width="8" style="632" customWidth="1"/>
    <col min="10251" max="10251" width="9.125" style="632" bestFit="1" customWidth="1"/>
    <col min="10252" max="10496" width="9" style="632"/>
    <col min="10497" max="10497" width="6.75" style="632" customWidth="1"/>
    <col min="10498" max="10499" width="8" style="632" customWidth="1"/>
    <col min="10500" max="10500" width="9.75" style="632" bestFit="1" customWidth="1"/>
    <col min="10501" max="10501" width="8" style="632" customWidth="1"/>
    <col min="10502" max="10502" width="9.75" style="632" bestFit="1" customWidth="1"/>
    <col min="10503" max="10504" width="8" style="632" customWidth="1"/>
    <col min="10505" max="10505" width="9.75" style="632" bestFit="1" customWidth="1"/>
    <col min="10506" max="10506" width="8" style="632" customWidth="1"/>
    <col min="10507" max="10507" width="9.125" style="632" bestFit="1" customWidth="1"/>
    <col min="10508" max="10752" width="9" style="632"/>
    <col min="10753" max="10753" width="6.75" style="632" customWidth="1"/>
    <col min="10754" max="10755" width="8" style="632" customWidth="1"/>
    <col min="10756" max="10756" width="9.75" style="632" bestFit="1" customWidth="1"/>
    <col min="10757" max="10757" width="8" style="632" customWidth="1"/>
    <col min="10758" max="10758" width="9.75" style="632" bestFit="1" customWidth="1"/>
    <col min="10759" max="10760" width="8" style="632" customWidth="1"/>
    <col min="10761" max="10761" width="9.75" style="632" bestFit="1" customWidth="1"/>
    <col min="10762" max="10762" width="8" style="632" customWidth="1"/>
    <col min="10763" max="10763" width="9.125" style="632" bestFit="1" customWidth="1"/>
    <col min="10764" max="11008" width="9" style="632"/>
    <col min="11009" max="11009" width="6.75" style="632" customWidth="1"/>
    <col min="11010" max="11011" width="8" style="632" customWidth="1"/>
    <col min="11012" max="11012" width="9.75" style="632" bestFit="1" customWidth="1"/>
    <col min="11013" max="11013" width="8" style="632" customWidth="1"/>
    <col min="11014" max="11014" width="9.75" style="632" bestFit="1" customWidth="1"/>
    <col min="11015" max="11016" width="8" style="632" customWidth="1"/>
    <col min="11017" max="11017" width="9.75" style="632" bestFit="1" customWidth="1"/>
    <col min="11018" max="11018" width="8" style="632" customWidth="1"/>
    <col min="11019" max="11019" width="9.125" style="632" bestFit="1" customWidth="1"/>
    <col min="11020" max="11264" width="9" style="632"/>
    <col min="11265" max="11265" width="6.75" style="632" customWidth="1"/>
    <col min="11266" max="11267" width="8" style="632" customWidth="1"/>
    <col min="11268" max="11268" width="9.75" style="632" bestFit="1" customWidth="1"/>
    <col min="11269" max="11269" width="8" style="632" customWidth="1"/>
    <col min="11270" max="11270" width="9.75" style="632" bestFit="1" customWidth="1"/>
    <col min="11271" max="11272" width="8" style="632" customWidth="1"/>
    <col min="11273" max="11273" width="9.75" style="632" bestFit="1" customWidth="1"/>
    <col min="11274" max="11274" width="8" style="632" customWidth="1"/>
    <col min="11275" max="11275" width="9.125" style="632" bestFit="1" customWidth="1"/>
    <col min="11276" max="11520" width="9" style="632"/>
    <col min="11521" max="11521" width="6.75" style="632" customWidth="1"/>
    <col min="11522" max="11523" width="8" style="632" customWidth="1"/>
    <col min="11524" max="11524" width="9.75" style="632" bestFit="1" customWidth="1"/>
    <col min="11525" max="11525" width="8" style="632" customWidth="1"/>
    <col min="11526" max="11526" width="9.75" style="632" bestFit="1" customWidth="1"/>
    <col min="11527" max="11528" width="8" style="632" customWidth="1"/>
    <col min="11529" max="11529" width="9.75" style="632" bestFit="1" customWidth="1"/>
    <col min="11530" max="11530" width="8" style="632" customWidth="1"/>
    <col min="11531" max="11531" width="9.125" style="632" bestFit="1" customWidth="1"/>
    <col min="11532" max="11776" width="9" style="632"/>
    <col min="11777" max="11777" width="6.75" style="632" customWidth="1"/>
    <col min="11778" max="11779" width="8" style="632" customWidth="1"/>
    <col min="11780" max="11780" width="9.75" style="632" bestFit="1" customWidth="1"/>
    <col min="11781" max="11781" width="8" style="632" customWidth="1"/>
    <col min="11782" max="11782" width="9.75" style="632" bestFit="1" customWidth="1"/>
    <col min="11783" max="11784" width="8" style="632" customWidth="1"/>
    <col min="11785" max="11785" width="9.75" style="632" bestFit="1" customWidth="1"/>
    <col min="11786" max="11786" width="8" style="632" customWidth="1"/>
    <col min="11787" max="11787" width="9.125" style="632" bestFit="1" customWidth="1"/>
    <col min="11788" max="12032" width="9" style="632"/>
    <col min="12033" max="12033" width="6.75" style="632" customWidth="1"/>
    <col min="12034" max="12035" width="8" style="632" customWidth="1"/>
    <col min="12036" max="12036" width="9.75" style="632" bestFit="1" customWidth="1"/>
    <col min="12037" max="12037" width="8" style="632" customWidth="1"/>
    <col min="12038" max="12038" width="9.75" style="632" bestFit="1" customWidth="1"/>
    <col min="12039" max="12040" width="8" style="632" customWidth="1"/>
    <col min="12041" max="12041" width="9.75" style="632" bestFit="1" customWidth="1"/>
    <col min="12042" max="12042" width="8" style="632" customWidth="1"/>
    <col min="12043" max="12043" width="9.125" style="632" bestFit="1" customWidth="1"/>
    <col min="12044" max="12288" width="9" style="632"/>
    <col min="12289" max="12289" width="6.75" style="632" customWidth="1"/>
    <col min="12290" max="12291" width="8" style="632" customWidth="1"/>
    <col min="12292" max="12292" width="9.75" style="632" bestFit="1" customWidth="1"/>
    <col min="12293" max="12293" width="8" style="632" customWidth="1"/>
    <col min="12294" max="12294" width="9.75" style="632" bestFit="1" customWidth="1"/>
    <col min="12295" max="12296" width="8" style="632" customWidth="1"/>
    <col min="12297" max="12297" width="9.75" style="632" bestFit="1" customWidth="1"/>
    <col min="12298" max="12298" width="8" style="632" customWidth="1"/>
    <col min="12299" max="12299" width="9.125" style="632" bestFit="1" customWidth="1"/>
    <col min="12300" max="12544" width="9" style="632"/>
    <col min="12545" max="12545" width="6.75" style="632" customWidth="1"/>
    <col min="12546" max="12547" width="8" style="632" customWidth="1"/>
    <col min="12548" max="12548" width="9.75" style="632" bestFit="1" customWidth="1"/>
    <col min="12549" max="12549" width="8" style="632" customWidth="1"/>
    <col min="12550" max="12550" width="9.75" style="632" bestFit="1" customWidth="1"/>
    <col min="12551" max="12552" width="8" style="632" customWidth="1"/>
    <col min="12553" max="12553" width="9.75" style="632" bestFit="1" customWidth="1"/>
    <col min="12554" max="12554" width="8" style="632" customWidth="1"/>
    <col min="12555" max="12555" width="9.125" style="632" bestFit="1" customWidth="1"/>
    <col min="12556" max="12800" width="9" style="632"/>
    <col min="12801" max="12801" width="6.75" style="632" customWidth="1"/>
    <col min="12802" max="12803" width="8" style="632" customWidth="1"/>
    <col min="12804" max="12804" width="9.75" style="632" bestFit="1" customWidth="1"/>
    <col min="12805" max="12805" width="8" style="632" customWidth="1"/>
    <col min="12806" max="12806" width="9.75" style="632" bestFit="1" customWidth="1"/>
    <col min="12807" max="12808" width="8" style="632" customWidth="1"/>
    <col min="12809" max="12809" width="9.75" style="632" bestFit="1" customWidth="1"/>
    <col min="12810" max="12810" width="8" style="632" customWidth="1"/>
    <col min="12811" max="12811" width="9.125" style="632" bestFit="1" customWidth="1"/>
    <col min="12812" max="13056" width="9" style="632"/>
    <col min="13057" max="13057" width="6.75" style="632" customWidth="1"/>
    <col min="13058" max="13059" width="8" style="632" customWidth="1"/>
    <col min="13060" max="13060" width="9.75" style="632" bestFit="1" customWidth="1"/>
    <col min="13061" max="13061" width="8" style="632" customWidth="1"/>
    <col min="13062" max="13062" width="9.75" style="632" bestFit="1" customWidth="1"/>
    <col min="13063" max="13064" width="8" style="632" customWidth="1"/>
    <col min="13065" max="13065" width="9.75" style="632" bestFit="1" customWidth="1"/>
    <col min="13066" max="13066" width="8" style="632" customWidth="1"/>
    <col min="13067" max="13067" width="9.125" style="632" bestFit="1" customWidth="1"/>
    <col min="13068" max="13312" width="9" style="632"/>
    <col min="13313" max="13313" width="6.75" style="632" customWidth="1"/>
    <col min="13314" max="13315" width="8" style="632" customWidth="1"/>
    <col min="13316" max="13316" width="9.75" style="632" bestFit="1" customWidth="1"/>
    <col min="13317" max="13317" width="8" style="632" customWidth="1"/>
    <col min="13318" max="13318" width="9.75" style="632" bestFit="1" customWidth="1"/>
    <col min="13319" max="13320" width="8" style="632" customWidth="1"/>
    <col min="13321" max="13321" width="9.75" style="632" bestFit="1" customWidth="1"/>
    <col min="13322" max="13322" width="8" style="632" customWidth="1"/>
    <col min="13323" max="13323" width="9.125" style="632" bestFit="1" customWidth="1"/>
    <col min="13324" max="13568" width="9" style="632"/>
    <col min="13569" max="13569" width="6.75" style="632" customWidth="1"/>
    <col min="13570" max="13571" width="8" style="632" customWidth="1"/>
    <col min="13572" max="13572" width="9.75" style="632" bestFit="1" customWidth="1"/>
    <col min="13573" max="13573" width="8" style="632" customWidth="1"/>
    <col min="13574" max="13574" width="9.75" style="632" bestFit="1" customWidth="1"/>
    <col min="13575" max="13576" width="8" style="632" customWidth="1"/>
    <col min="13577" max="13577" width="9.75" style="632" bestFit="1" customWidth="1"/>
    <col min="13578" max="13578" width="8" style="632" customWidth="1"/>
    <col min="13579" max="13579" width="9.125" style="632" bestFit="1" customWidth="1"/>
    <col min="13580" max="13824" width="9" style="632"/>
    <col min="13825" max="13825" width="6.75" style="632" customWidth="1"/>
    <col min="13826" max="13827" width="8" style="632" customWidth="1"/>
    <col min="13828" max="13828" width="9.75" style="632" bestFit="1" customWidth="1"/>
    <col min="13829" max="13829" width="8" style="632" customWidth="1"/>
    <col min="13830" max="13830" width="9.75" style="632" bestFit="1" customWidth="1"/>
    <col min="13831" max="13832" width="8" style="632" customWidth="1"/>
    <col min="13833" max="13833" width="9.75" style="632" bestFit="1" customWidth="1"/>
    <col min="13834" max="13834" width="8" style="632" customWidth="1"/>
    <col min="13835" max="13835" width="9.125" style="632" bestFit="1" customWidth="1"/>
    <col min="13836" max="14080" width="9" style="632"/>
    <col min="14081" max="14081" width="6.75" style="632" customWidth="1"/>
    <col min="14082" max="14083" width="8" style="632" customWidth="1"/>
    <col min="14084" max="14084" width="9.75" style="632" bestFit="1" customWidth="1"/>
    <col min="14085" max="14085" width="8" style="632" customWidth="1"/>
    <col min="14086" max="14086" width="9.75" style="632" bestFit="1" customWidth="1"/>
    <col min="14087" max="14088" width="8" style="632" customWidth="1"/>
    <col min="14089" max="14089" width="9.75" style="632" bestFit="1" customWidth="1"/>
    <col min="14090" max="14090" width="8" style="632" customWidth="1"/>
    <col min="14091" max="14091" width="9.125" style="632" bestFit="1" customWidth="1"/>
    <col min="14092" max="14336" width="9" style="632"/>
    <col min="14337" max="14337" width="6.75" style="632" customWidth="1"/>
    <col min="14338" max="14339" width="8" style="632" customWidth="1"/>
    <col min="14340" max="14340" width="9.75" style="632" bestFit="1" customWidth="1"/>
    <col min="14341" max="14341" width="8" style="632" customWidth="1"/>
    <col min="14342" max="14342" width="9.75" style="632" bestFit="1" customWidth="1"/>
    <col min="14343" max="14344" width="8" style="632" customWidth="1"/>
    <col min="14345" max="14345" width="9.75" style="632" bestFit="1" customWidth="1"/>
    <col min="14346" max="14346" width="8" style="632" customWidth="1"/>
    <col min="14347" max="14347" width="9.125" style="632" bestFit="1" customWidth="1"/>
    <col min="14348" max="14592" width="9" style="632"/>
    <col min="14593" max="14593" width="6.75" style="632" customWidth="1"/>
    <col min="14594" max="14595" width="8" style="632" customWidth="1"/>
    <col min="14596" max="14596" width="9.75" style="632" bestFit="1" customWidth="1"/>
    <col min="14597" max="14597" width="8" style="632" customWidth="1"/>
    <col min="14598" max="14598" width="9.75" style="632" bestFit="1" customWidth="1"/>
    <col min="14599" max="14600" width="8" style="632" customWidth="1"/>
    <col min="14601" max="14601" width="9.75" style="632" bestFit="1" customWidth="1"/>
    <col min="14602" max="14602" width="8" style="632" customWidth="1"/>
    <col min="14603" max="14603" width="9.125" style="632" bestFit="1" customWidth="1"/>
    <col min="14604" max="14848" width="9" style="632"/>
    <col min="14849" max="14849" width="6.75" style="632" customWidth="1"/>
    <col min="14850" max="14851" width="8" style="632" customWidth="1"/>
    <col min="14852" max="14852" width="9.75" style="632" bestFit="1" customWidth="1"/>
    <col min="14853" max="14853" width="8" style="632" customWidth="1"/>
    <col min="14854" max="14854" width="9.75" style="632" bestFit="1" customWidth="1"/>
    <col min="14855" max="14856" width="8" style="632" customWidth="1"/>
    <col min="14857" max="14857" width="9.75" style="632" bestFit="1" customWidth="1"/>
    <col min="14858" max="14858" width="8" style="632" customWidth="1"/>
    <col min="14859" max="14859" width="9.125" style="632" bestFit="1" customWidth="1"/>
    <col min="14860" max="15104" width="9" style="632"/>
    <col min="15105" max="15105" width="6.75" style="632" customWidth="1"/>
    <col min="15106" max="15107" width="8" style="632" customWidth="1"/>
    <col min="15108" max="15108" width="9.75" style="632" bestFit="1" customWidth="1"/>
    <col min="15109" max="15109" width="8" style="632" customWidth="1"/>
    <col min="15110" max="15110" width="9.75" style="632" bestFit="1" customWidth="1"/>
    <col min="15111" max="15112" width="8" style="632" customWidth="1"/>
    <col min="15113" max="15113" width="9.75" style="632" bestFit="1" customWidth="1"/>
    <col min="15114" max="15114" width="8" style="632" customWidth="1"/>
    <col min="15115" max="15115" width="9.125" style="632" bestFit="1" customWidth="1"/>
    <col min="15116" max="15360" width="9" style="632"/>
    <col min="15361" max="15361" width="6.75" style="632" customWidth="1"/>
    <col min="15362" max="15363" width="8" style="632" customWidth="1"/>
    <col min="15364" max="15364" width="9.75" style="632" bestFit="1" customWidth="1"/>
    <col min="15365" max="15365" width="8" style="632" customWidth="1"/>
    <col min="15366" max="15366" width="9.75" style="632" bestFit="1" customWidth="1"/>
    <col min="15367" max="15368" width="8" style="632" customWidth="1"/>
    <col min="15369" max="15369" width="9.75" style="632" bestFit="1" customWidth="1"/>
    <col min="15370" max="15370" width="8" style="632" customWidth="1"/>
    <col min="15371" max="15371" width="9.125" style="632" bestFit="1" customWidth="1"/>
    <col min="15372" max="15616" width="9" style="632"/>
    <col min="15617" max="15617" width="6.75" style="632" customWidth="1"/>
    <col min="15618" max="15619" width="8" style="632" customWidth="1"/>
    <col min="15620" max="15620" width="9.75" style="632" bestFit="1" customWidth="1"/>
    <col min="15621" max="15621" width="8" style="632" customWidth="1"/>
    <col min="15622" max="15622" width="9.75" style="632" bestFit="1" customWidth="1"/>
    <col min="15623" max="15624" width="8" style="632" customWidth="1"/>
    <col min="15625" max="15625" width="9.75" style="632" bestFit="1" customWidth="1"/>
    <col min="15626" max="15626" width="8" style="632" customWidth="1"/>
    <col min="15627" max="15627" width="9.125" style="632" bestFit="1" customWidth="1"/>
    <col min="15628" max="15872" width="9" style="632"/>
    <col min="15873" max="15873" width="6.75" style="632" customWidth="1"/>
    <col min="15874" max="15875" width="8" style="632" customWidth="1"/>
    <col min="15876" max="15876" width="9.75" style="632" bestFit="1" customWidth="1"/>
    <col min="15877" max="15877" width="8" style="632" customWidth="1"/>
    <col min="15878" max="15878" width="9.75" style="632" bestFit="1" customWidth="1"/>
    <col min="15879" max="15880" width="8" style="632" customWidth="1"/>
    <col min="15881" max="15881" width="9.75" style="632" bestFit="1" customWidth="1"/>
    <col min="15882" max="15882" width="8" style="632" customWidth="1"/>
    <col min="15883" max="15883" width="9.125" style="632" bestFit="1" customWidth="1"/>
    <col min="15884" max="16128" width="9" style="632"/>
    <col min="16129" max="16129" width="6.75" style="632" customWidth="1"/>
    <col min="16130" max="16131" width="8" style="632" customWidth="1"/>
    <col min="16132" max="16132" width="9.75" style="632" bestFit="1" customWidth="1"/>
    <col min="16133" max="16133" width="8" style="632" customWidth="1"/>
    <col min="16134" max="16134" width="9.75" style="632" bestFit="1" customWidth="1"/>
    <col min="16135" max="16136" width="8" style="632" customWidth="1"/>
    <col min="16137" max="16137" width="9.75" style="632" bestFit="1" customWidth="1"/>
    <col min="16138" max="16138" width="8" style="632" customWidth="1"/>
    <col min="16139" max="16139" width="9.125" style="632" bestFit="1" customWidth="1"/>
    <col min="16140" max="16384" width="9" style="632"/>
  </cols>
  <sheetData>
    <row r="1" spans="1:11" ht="20.25">
      <c r="A1" s="2956" t="s">
        <v>754</v>
      </c>
      <c r="B1" s="2956"/>
      <c r="C1" s="2956"/>
      <c r="D1" s="2956"/>
      <c r="E1" s="2956"/>
      <c r="F1" s="2956"/>
      <c r="G1" s="2956"/>
      <c r="H1" s="2956"/>
      <c r="I1" s="2956"/>
      <c r="J1" s="2956"/>
      <c r="K1" s="2956"/>
    </row>
    <row r="2" spans="1:11" ht="13.5" customHeight="1" thickBot="1">
      <c r="J2" s="2957" t="s">
        <v>755</v>
      </c>
      <c r="K2" s="2957"/>
    </row>
    <row r="3" spans="1:11" ht="17.25" thickBot="1">
      <c r="A3" s="633"/>
      <c r="B3" s="2958" t="s">
        <v>756</v>
      </c>
      <c r="C3" s="2958"/>
      <c r="D3" s="2958"/>
      <c r="E3" s="2958"/>
      <c r="F3" s="2958"/>
      <c r="G3" s="2958" t="s">
        <v>757</v>
      </c>
      <c r="H3" s="2958"/>
      <c r="I3" s="2958"/>
      <c r="J3" s="2958"/>
      <c r="K3" s="2958"/>
    </row>
    <row r="4" spans="1:11" ht="17.25" thickBot="1">
      <c r="A4" s="634"/>
      <c r="B4" s="635" t="s">
        <v>758</v>
      </c>
      <c r="C4" s="2959" t="s">
        <v>759</v>
      </c>
      <c r="D4" s="2959"/>
      <c r="E4" s="2959" t="s">
        <v>760</v>
      </c>
      <c r="F4" s="2959"/>
      <c r="G4" s="636" t="s">
        <v>761</v>
      </c>
      <c r="H4" s="2960" t="s">
        <v>759</v>
      </c>
      <c r="I4" s="2960"/>
      <c r="J4" s="2959" t="s">
        <v>760</v>
      </c>
      <c r="K4" s="2959"/>
    </row>
    <row r="5" spans="1:11" ht="16.5">
      <c r="A5" s="637" t="s">
        <v>355</v>
      </c>
      <c r="B5" s="638">
        <v>975</v>
      </c>
      <c r="C5" s="638">
        <v>597</v>
      </c>
      <c r="D5" s="639" t="s">
        <v>762</v>
      </c>
      <c r="E5" s="638">
        <v>133</v>
      </c>
      <c r="F5" s="639" t="s">
        <v>763</v>
      </c>
      <c r="G5" s="638">
        <v>1778</v>
      </c>
      <c r="H5" s="638">
        <v>1133</v>
      </c>
      <c r="I5" s="639" t="s">
        <v>764</v>
      </c>
      <c r="J5" s="638">
        <v>259</v>
      </c>
      <c r="K5" s="640" t="s">
        <v>716</v>
      </c>
    </row>
    <row r="6" spans="1:11" ht="16.5">
      <c r="A6" s="637" t="s">
        <v>356</v>
      </c>
      <c r="B6" s="638">
        <v>930</v>
      </c>
      <c r="C6" s="638">
        <v>552</v>
      </c>
      <c r="D6" s="639" t="s">
        <v>717</v>
      </c>
      <c r="E6" s="638">
        <v>141</v>
      </c>
      <c r="F6" s="639" t="s">
        <v>718</v>
      </c>
      <c r="G6" s="638">
        <v>1936</v>
      </c>
      <c r="H6" s="638">
        <v>1127</v>
      </c>
      <c r="I6" s="639" t="s">
        <v>719</v>
      </c>
      <c r="J6" s="638">
        <v>300</v>
      </c>
      <c r="K6" s="640" t="s">
        <v>720</v>
      </c>
    </row>
    <row r="7" spans="1:11" ht="16.5">
      <c r="A7" s="637" t="s">
        <v>357</v>
      </c>
      <c r="B7" s="638">
        <v>955</v>
      </c>
      <c r="C7" s="638">
        <v>505</v>
      </c>
      <c r="D7" s="639" t="s">
        <v>721</v>
      </c>
      <c r="E7" s="638">
        <v>164</v>
      </c>
      <c r="F7" s="639" t="s">
        <v>722</v>
      </c>
      <c r="G7" s="638">
        <v>2165</v>
      </c>
      <c r="H7" s="638">
        <v>1217</v>
      </c>
      <c r="I7" s="639" t="s">
        <v>723</v>
      </c>
      <c r="J7" s="638">
        <v>405</v>
      </c>
      <c r="K7" s="640" t="s">
        <v>724</v>
      </c>
    </row>
    <row r="8" spans="1:11" ht="16.5">
      <c r="A8" s="637" t="s">
        <v>358</v>
      </c>
      <c r="B8" s="638">
        <v>846</v>
      </c>
      <c r="C8" s="638">
        <v>445</v>
      </c>
      <c r="D8" s="639" t="s">
        <v>725</v>
      </c>
      <c r="E8" s="638">
        <v>157</v>
      </c>
      <c r="F8" s="639" t="s">
        <v>726</v>
      </c>
      <c r="G8" s="638">
        <v>2539</v>
      </c>
      <c r="H8" s="638">
        <v>1419</v>
      </c>
      <c r="I8" s="639" t="s">
        <v>727</v>
      </c>
      <c r="J8" s="638">
        <v>437</v>
      </c>
      <c r="K8" s="640" t="s">
        <v>728</v>
      </c>
    </row>
    <row r="9" spans="1:11" ht="16.5">
      <c r="A9" s="637" t="s">
        <v>359</v>
      </c>
      <c r="B9" s="638">
        <v>857</v>
      </c>
      <c r="C9" s="638">
        <v>472</v>
      </c>
      <c r="D9" s="639" t="s">
        <v>729</v>
      </c>
      <c r="E9" s="638">
        <v>153</v>
      </c>
      <c r="F9" s="639" t="s">
        <v>730</v>
      </c>
      <c r="G9" s="638">
        <v>2401</v>
      </c>
      <c r="H9" s="638">
        <v>1274</v>
      </c>
      <c r="I9" s="639" t="s">
        <v>731</v>
      </c>
      <c r="J9" s="638">
        <v>443</v>
      </c>
      <c r="K9" s="640" t="s">
        <v>732</v>
      </c>
    </row>
    <row r="10" spans="1:11" ht="16.5">
      <c r="A10" s="637" t="s">
        <v>360</v>
      </c>
      <c r="B10" s="638">
        <v>849</v>
      </c>
      <c r="C10" s="638">
        <v>499</v>
      </c>
      <c r="D10" s="639" t="s">
        <v>733</v>
      </c>
      <c r="E10" s="638">
        <v>168</v>
      </c>
      <c r="F10" s="639" t="s">
        <v>734</v>
      </c>
      <c r="G10" s="638">
        <v>2672</v>
      </c>
      <c r="H10" s="638">
        <v>1456</v>
      </c>
      <c r="I10" s="639" t="s">
        <v>735</v>
      </c>
      <c r="J10" s="638">
        <v>623</v>
      </c>
      <c r="K10" s="640" t="s">
        <v>736</v>
      </c>
    </row>
    <row r="11" spans="1:11" ht="16.5">
      <c r="A11" s="637" t="s">
        <v>361</v>
      </c>
      <c r="B11" s="638">
        <v>1032</v>
      </c>
      <c r="C11" s="638">
        <v>598</v>
      </c>
      <c r="D11" s="639" t="s">
        <v>737</v>
      </c>
      <c r="E11" s="638">
        <v>183</v>
      </c>
      <c r="F11" s="639" t="s">
        <v>738</v>
      </c>
      <c r="G11" s="638">
        <v>3694</v>
      </c>
      <c r="H11" s="638">
        <v>1998</v>
      </c>
      <c r="I11" s="639" t="s">
        <v>739</v>
      </c>
      <c r="J11" s="638">
        <v>768</v>
      </c>
      <c r="K11" s="640" t="s">
        <v>740</v>
      </c>
    </row>
    <row r="12" spans="1:11" ht="16.5">
      <c r="A12" s="637" t="s">
        <v>362</v>
      </c>
      <c r="B12" s="638">
        <v>984</v>
      </c>
      <c r="C12" s="638">
        <v>585</v>
      </c>
      <c r="D12" s="639" t="s">
        <v>741</v>
      </c>
      <c r="E12" s="638">
        <v>165</v>
      </c>
      <c r="F12" s="639" t="s">
        <v>742</v>
      </c>
      <c r="G12" s="638">
        <v>3650</v>
      </c>
      <c r="H12" s="638">
        <v>2000</v>
      </c>
      <c r="I12" s="639" t="s">
        <v>743</v>
      </c>
      <c r="J12" s="638">
        <v>737</v>
      </c>
      <c r="K12" s="640" t="s">
        <v>744</v>
      </c>
    </row>
    <row r="13" spans="1:11" ht="16.5">
      <c r="A13" s="637" t="s">
        <v>363</v>
      </c>
      <c r="B13" s="638">
        <v>1019</v>
      </c>
      <c r="C13" s="638">
        <v>587</v>
      </c>
      <c r="D13" s="639" t="s">
        <v>745</v>
      </c>
      <c r="E13" s="638">
        <v>210</v>
      </c>
      <c r="F13" s="639" t="s">
        <v>746</v>
      </c>
      <c r="G13" s="638">
        <v>3691</v>
      </c>
      <c r="H13" s="638">
        <v>2141</v>
      </c>
      <c r="I13" s="639" t="s">
        <v>747</v>
      </c>
      <c r="J13" s="638">
        <v>758</v>
      </c>
      <c r="K13" s="640" t="s">
        <v>748</v>
      </c>
    </row>
    <row r="14" spans="1:11" ht="17.25" thickBot="1">
      <c r="A14" s="641" t="s">
        <v>765</v>
      </c>
      <c r="B14" s="642">
        <v>963</v>
      </c>
      <c r="C14" s="642">
        <v>544</v>
      </c>
      <c r="D14" s="643" t="s">
        <v>749</v>
      </c>
      <c r="E14" s="642">
        <v>226</v>
      </c>
      <c r="F14" s="643" t="s">
        <v>750</v>
      </c>
      <c r="G14" s="642">
        <v>3473</v>
      </c>
      <c r="H14" s="642">
        <v>1931</v>
      </c>
      <c r="I14" s="643" t="s">
        <v>751</v>
      </c>
      <c r="J14" s="642">
        <v>894</v>
      </c>
      <c r="K14" s="644" t="s">
        <v>752</v>
      </c>
    </row>
    <row r="15" spans="1:11">
      <c r="A15" s="2955" t="s">
        <v>766</v>
      </c>
      <c r="B15" s="2955"/>
      <c r="C15" s="2955"/>
      <c r="D15" s="2955"/>
      <c r="E15" s="2955"/>
      <c r="F15" s="646"/>
      <c r="G15" s="645" t="s">
        <v>753</v>
      </c>
      <c r="H15" s="645" t="s">
        <v>753</v>
      </c>
      <c r="I15" s="646"/>
      <c r="J15" s="645" t="s">
        <v>753</v>
      </c>
      <c r="K15" s="647"/>
    </row>
  </sheetData>
  <mergeCells count="9">
    <mergeCell ref="A15:E15"/>
    <mergeCell ref="A1:K1"/>
    <mergeCell ref="J2:K2"/>
    <mergeCell ref="B3:F3"/>
    <mergeCell ref="G3:K3"/>
    <mergeCell ref="C4:D4"/>
    <mergeCell ref="E4:F4"/>
    <mergeCell ref="H4:I4"/>
    <mergeCell ref="J4:K4"/>
  </mergeCells>
  <phoneticPr fontId="61" type="noConversion"/>
  <pageMargins left="0.75" right="0.75" top="1" bottom="1" header="0.5" footer="0.5"/>
  <pageSetup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L13"/>
  <sheetViews>
    <sheetView showGridLines="0" zoomScaleNormal="100" workbookViewId="0">
      <selection activeCell="B16" sqref="B16"/>
    </sheetView>
  </sheetViews>
  <sheetFormatPr defaultColWidth="9" defaultRowHeight="15.75"/>
  <cols>
    <col min="1" max="1" width="6.875" style="650" customWidth="1"/>
    <col min="2" max="2" width="23" style="650" customWidth="1"/>
    <col min="3" max="12" width="8.625" style="650" customWidth="1"/>
    <col min="13" max="16384" width="9" style="650"/>
  </cols>
  <sheetData>
    <row r="1" spans="1:12" s="648" customFormat="1" ht="30.6" customHeight="1">
      <c r="A1" s="2964" t="s">
        <v>767</v>
      </c>
      <c r="B1" s="2964"/>
      <c r="C1" s="2964"/>
      <c r="D1" s="2964"/>
      <c r="E1" s="2964"/>
      <c r="F1" s="2964"/>
      <c r="G1" s="2964"/>
      <c r="H1" s="2964"/>
      <c r="I1" s="2964"/>
      <c r="J1" s="2964"/>
      <c r="K1" s="2964"/>
      <c r="L1" s="2964"/>
    </row>
    <row r="2" spans="1:12" ht="30" customHeight="1">
      <c r="A2" s="649"/>
      <c r="B2" s="649"/>
      <c r="C2" s="2965" t="s">
        <v>768</v>
      </c>
      <c r="D2" s="2965"/>
      <c r="E2" s="2966" t="s">
        <v>769</v>
      </c>
      <c r="F2" s="2965"/>
      <c r="G2" s="2966" t="s">
        <v>770</v>
      </c>
      <c r="H2" s="2965"/>
      <c r="I2" s="2966" t="s">
        <v>771</v>
      </c>
      <c r="J2" s="2965"/>
      <c r="K2" s="2966" t="s">
        <v>772</v>
      </c>
      <c r="L2" s="2965"/>
    </row>
    <row r="3" spans="1:12" ht="30" customHeight="1">
      <c r="A3" s="651"/>
      <c r="B3" s="651"/>
      <c r="C3" s="652" t="s">
        <v>773</v>
      </c>
      <c r="D3" s="653" t="s">
        <v>0</v>
      </c>
      <c r="E3" s="654" t="s">
        <v>774</v>
      </c>
      <c r="F3" s="653" t="s">
        <v>0</v>
      </c>
      <c r="G3" s="654" t="s">
        <v>775</v>
      </c>
      <c r="H3" s="653" t="s">
        <v>0</v>
      </c>
      <c r="I3" s="654" t="s">
        <v>773</v>
      </c>
      <c r="J3" s="653" t="s">
        <v>0</v>
      </c>
      <c r="K3" s="654" t="s">
        <v>774</v>
      </c>
      <c r="L3" s="653" t="s">
        <v>0</v>
      </c>
    </row>
    <row r="4" spans="1:12" ht="45" customHeight="1">
      <c r="A4" s="2961" t="s">
        <v>776</v>
      </c>
      <c r="B4" s="2962"/>
      <c r="C4" s="655">
        <f>SUM(C5:C11)</f>
        <v>432161</v>
      </c>
      <c r="D4" s="656">
        <f t="shared" ref="D4:L4" si="0">SUM(D5:D11)</f>
        <v>100</v>
      </c>
      <c r="E4" s="655">
        <f t="shared" si="0"/>
        <v>459220</v>
      </c>
      <c r="F4" s="657">
        <f t="shared" si="0"/>
        <v>100</v>
      </c>
      <c r="G4" s="655">
        <f t="shared" si="0"/>
        <v>482428</v>
      </c>
      <c r="H4" s="656">
        <f t="shared" si="0"/>
        <v>100</v>
      </c>
      <c r="I4" s="655">
        <f t="shared" si="0"/>
        <v>486772</v>
      </c>
      <c r="J4" s="656">
        <f t="shared" si="0"/>
        <v>99.999999999999986</v>
      </c>
      <c r="K4" s="655">
        <f t="shared" si="0"/>
        <v>470896</v>
      </c>
      <c r="L4" s="658">
        <f t="shared" si="0"/>
        <v>100</v>
      </c>
    </row>
    <row r="5" spans="1:12" ht="45" customHeight="1">
      <c r="A5" s="659"/>
      <c r="B5" s="660" t="s">
        <v>777</v>
      </c>
      <c r="C5" s="655">
        <v>17459</v>
      </c>
      <c r="D5" s="656">
        <v>4.0399295632877568</v>
      </c>
      <c r="E5" s="655">
        <v>16431</v>
      </c>
      <c r="F5" s="656">
        <v>3.5780236052436742</v>
      </c>
      <c r="G5" s="655">
        <v>17653</v>
      </c>
      <c r="H5" s="656">
        <v>3.6591988856368203</v>
      </c>
      <c r="I5" s="655">
        <v>16035</v>
      </c>
      <c r="J5" s="656">
        <v>3.2941500332804678</v>
      </c>
      <c r="K5" s="655">
        <v>16033</v>
      </c>
      <c r="L5" s="658">
        <v>3.4047857701063506</v>
      </c>
    </row>
    <row r="6" spans="1:12" ht="45" customHeight="1">
      <c r="A6" s="659"/>
      <c r="B6" s="660" t="s">
        <v>778</v>
      </c>
      <c r="C6" s="655">
        <v>380</v>
      </c>
      <c r="D6" s="656">
        <v>8.7930192682819597E-2</v>
      </c>
      <c r="E6" s="655">
        <v>872</v>
      </c>
      <c r="F6" s="656">
        <v>0.18988720003484169</v>
      </c>
      <c r="G6" s="655">
        <v>1334</v>
      </c>
      <c r="H6" s="656">
        <v>0.27651794671951047</v>
      </c>
      <c r="I6" s="655">
        <v>1101</v>
      </c>
      <c r="J6" s="656">
        <v>0.22618392183609576</v>
      </c>
      <c r="K6" s="655">
        <v>620</v>
      </c>
      <c r="L6" s="658">
        <v>0.13166389181475316</v>
      </c>
    </row>
    <row r="7" spans="1:12" ht="45" customHeight="1">
      <c r="A7" s="659"/>
      <c r="B7" s="660" t="s">
        <v>779</v>
      </c>
      <c r="C7" s="655">
        <v>120</v>
      </c>
      <c r="D7" s="656">
        <v>2.7767429268258818E-2</v>
      </c>
      <c r="E7" s="655">
        <v>104</v>
      </c>
      <c r="F7" s="656">
        <v>2.2647097251861852E-2</v>
      </c>
      <c r="G7" s="655">
        <v>201</v>
      </c>
      <c r="H7" s="656">
        <v>4.1664248343794306E-2</v>
      </c>
      <c r="I7" s="655">
        <v>163</v>
      </c>
      <c r="J7" s="656">
        <v>3.3485903051120439E-2</v>
      </c>
      <c r="K7" s="655">
        <v>138</v>
      </c>
      <c r="L7" s="658">
        <v>2.9305833984574085E-2</v>
      </c>
    </row>
    <row r="8" spans="1:12" ht="45" customHeight="1">
      <c r="A8" s="659"/>
      <c r="B8" s="660" t="s">
        <v>780</v>
      </c>
      <c r="C8" s="655">
        <v>317681</v>
      </c>
      <c r="D8" s="656">
        <v>73.509872478081078</v>
      </c>
      <c r="E8" s="655">
        <v>335738</v>
      </c>
      <c r="F8" s="656">
        <v>73.110491703323021</v>
      </c>
      <c r="G8" s="655">
        <v>353712</v>
      </c>
      <c r="H8" s="656">
        <v>73.319127413831694</v>
      </c>
      <c r="I8" s="655">
        <v>352565</v>
      </c>
      <c r="J8" s="656">
        <v>72.429186559621343</v>
      </c>
      <c r="K8" s="655">
        <v>341992</v>
      </c>
      <c r="L8" s="658">
        <v>72.625802725017834</v>
      </c>
    </row>
    <row r="9" spans="1:12" ht="45" customHeight="1">
      <c r="A9" s="659"/>
      <c r="B9" s="660" t="s">
        <v>781</v>
      </c>
      <c r="C9" s="655">
        <v>19569</v>
      </c>
      <c r="D9" s="656">
        <v>4.5281735279213073</v>
      </c>
      <c r="E9" s="655">
        <v>28216</v>
      </c>
      <c r="F9" s="656">
        <v>6.1443316928705194</v>
      </c>
      <c r="G9" s="655">
        <v>28805</v>
      </c>
      <c r="H9" s="656">
        <v>5.9708391718556966</v>
      </c>
      <c r="I9" s="655">
        <v>31406</v>
      </c>
      <c r="J9" s="656">
        <v>6.4518912344999304</v>
      </c>
      <c r="K9" s="655">
        <v>28244</v>
      </c>
      <c r="L9" s="658">
        <v>5.9979273555094972</v>
      </c>
    </row>
    <row r="10" spans="1:12" ht="45" customHeight="1">
      <c r="A10" s="659"/>
      <c r="B10" s="660" t="s">
        <v>782</v>
      </c>
      <c r="C10" s="655">
        <v>75837</v>
      </c>
      <c r="D10" s="656">
        <v>17.548321111807869</v>
      </c>
      <c r="E10" s="655">
        <v>76766</v>
      </c>
      <c r="F10" s="656">
        <v>16.71660641958103</v>
      </c>
      <c r="G10" s="655">
        <v>79626</v>
      </c>
      <c r="H10" s="656">
        <v>16.505260888671469</v>
      </c>
      <c r="I10" s="655">
        <v>84863</v>
      </c>
      <c r="J10" s="656">
        <v>17.433829390351129</v>
      </c>
      <c r="K10" s="655">
        <v>83131</v>
      </c>
      <c r="L10" s="658">
        <v>17.653791920084263</v>
      </c>
    </row>
    <row r="11" spans="1:12" ht="45" customHeight="1">
      <c r="A11" s="651"/>
      <c r="B11" s="661" t="s">
        <v>783</v>
      </c>
      <c r="C11" s="662">
        <v>1115</v>
      </c>
      <c r="D11" s="663">
        <v>0.25800569695090486</v>
      </c>
      <c r="E11" s="662">
        <v>1093</v>
      </c>
      <c r="F11" s="663">
        <v>0.23801228169504812</v>
      </c>
      <c r="G11" s="662">
        <v>1097</v>
      </c>
      <c r="H11" s="663">
        <v>0.22739144494100674</v>
      </c>
      <c r="I11" s="662">
        <v>639</v>
      </c>
      <c r="J11" s="663">
        <v>0.13127295735991387</v>
      </c>
      <c r="K11" s="662">
        <v>738</v>
      </c>
      <c r="L11" s="664">
        <v>0.15672250348272229</v>
      </c>
    </row>
    <row r="12" spans="1:12" s="665" customFormat="1" ht="14.25">
      <c r="A12" s="665" t="s">
        <v>784</v>
      </c>
    </row>
    <row r="13" spans="1:12" ht="31.5" customHeight="1">
      <c r="A13" s="2963" t="s">
        <v>785</v>
      </c>
      <c r="B13" s="2963"/>
      <c r="C13" s="2963"/>
      <c r="D13" s="2963"/>
      <c r="E13" s="2963"/>
      <c r="F13" s="2963"/>
      <c r="G13" s="2963"/>
      <c r="H13" s="2963"/>
      <c r="I13" s="2963"/>
      <c r="J13" s="2963"/>
      <c r="K13" s="2963"/>
      <c r="L13" s="2963"/>
    </row>
  </sheetData>
  <mergeCells count="8">
    <mergeCell ref="A4:B4"/>
    <mergeCell ref="A13:L13"/>
    <mergeCell ref="A1:L1"/>
    <mergeCell ref="C2:D2"/>
    <mergeCell ref="E2:F2"/>
    <mergeCell ref="G2:H2"/>
    <mergeCell ref="I2:J2"/>
    <mergeCell ref="K2:L2"/>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6" orientation="landscape" r:id="rId1"/>
  <headerFooter differentOddEven="1" scaleWithDoc="0">
    <oddHeader>&amp;L&amp;"Times New Roman,標準"&amp;8 107&amp;"標楷體,標準"年犯罪狀況及其分析</oddHeader>
    <evenHeader>&amp;R&amp;"標楷體,標準"&amp;8第二篇　犯罪之處理</even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O17"/>
  <sheetViews>
    <sheetView showGridLines="0" workbookViewId="0">
      <selection activeCell="B16" sqref="B16"/>
    </sheetView>
  </sheetViews>
  <sheetFormatPr defaultColWidth="9" defaultRowHeight="15.75"/>
  <cols>
    <col min="1" max="1" width="10.625" style="687" customWidth="1"/>
    <col min="2" max="2" width="3.125" style="687" customWidth="1"/>
    <col min="3" max="11" width="10.75" style="687" customWidth="1"/>
    <col min="12" max="16384" width="9" style="687"/>
  </cols>
  <sheetData>
    <row r="1" spans="1:15" s="667" customFormat="1" ht="30.6" customHeight="1">
      <c r="A1" s="2967" t="s">
        <v>786</v>
      </c>
      <c r="B1" s="2967"/>
      <c r="C1" s="2967"/>
      <c r="D1" s="2967"/>
      <c r="E1" s="2967"/>
      <c r="F1" s="2967"/>
      <c r="G1" s="2967"/>
      <c r="H1" s="2967"/>
      <c r="I1" s="2967"/>
      <c r="J1" s="2967"/>
      <c r="K1" s="2967"/>
      <c r="L1" s="666"/>
      <c r="M1" s="666"/>
      <c r="N1" s="666"/>
      <c r="O1" s="666"/>
    </row>
    <row r="2" spans="1:15" s="668" customFormat="1">
      <c r="J2" s="2968" t="s">
        <v>787</v>
      </c>
      <c r="K2" s="2968"/>
    </row>
    <row r="3" spans="1:15" s="670" customFormat="1" ht="41.45" customHeight="1">
      <c r="A3" s="2969"/>
      <c r="B3" s="2969"/>
      <c r="C3" s="2969" t="s">
        <v>788</v>
      </c>
      <c r="D3" s="2972"/>
      <c r="E3" s="2973"/>
      <c r="F3" s="2974" t="s">
        <v>789</v>
      </c>
      <c r="G3" s="2972"/>
      <c r="H3" s="2973"/>
      <c r="I3" s="2974" t="s">
        <v>790</v>
      </c>
      <c r="J3" s="2972"/>
      <c r="K3" s="2972"/>
      <c r="L3" s="669"/>
    </row>
    <row r="4" spans="1:15" s="670" customFormat="1" ht="17.45" customHeight="1">
      <c r="A4" s="2970"/>
      <c r="B4" s="2970"/>
      <c r="C4" s="671"/>
      <c r="D4" s="672"/>
      <c r="E4" s="673"/>
      <c r="F4" s="674"/>
      <c r="G4" s="672"/>
      <c r="H4" s="673"/>
      <c r="I4" s="674"/>
      <c r="J4" s="672"/>
      <c r="K4" s="675"/>
      <c r="L4" s="669"/>
    </row>
    <row r="5" spans="1:15" s="670" customFormat="1" ht="63.75" customHeight="1">
      <c r="A5" s="2971"/>
      <c r="B5" s="2971"/>
      <c r="C5" s="676"/>
      <c r="D5" s="677" t="s">
        <v>791</v>
      </c>
      <c r="E5" s="673" t="s">
        <v>792</v>
      </c>
      <c r="F5" s="678"/>
      <c r="G5" s="677" t="s">
        <v>791</v>
      </c>
      <c r="H5" s="673" t="s">
        <v>792</v>
      </c>
      <c r="I5" s="678"/>
      <c r="J5" s="677" t="s">
        <v>791</v>
      </c>
      <c r="K5" s="675" t="s">
        <v>792</v>
      </c>
      <c r="L5" s="669"/>
    </row>
    <row r="6" spans="1:15" s="670" customFormat="1" ht="27.75" customHeight="1">
      <c r="A6" s="2975" t="s">
        <v>793</v>
      </c>
      <c r="B6" s="2976"/>
      <c r="C6" s="679">
        <v>412553</v>
      </c>
      <c r="D6" s="679">
        <v>2486</v>
      </c>
      <c r="E6" s="680">
        <v>0.6</v>
      </c>
      <c r="F6" s="679">
        <v>306134</v>
      </c>
      <c r="G6" s="679">
        <v>1498</v>
      </c>
      <c r="H6" s="680">
        <v>0.49</v>
      </c>
      <c r="I6" s="679">
        <v>106419</v>
      </c>
      <c r="J6" s="679">
        <v>988</v>
      </c>
      <c r="K6" s="681">
        <v>0.93</v>
      </c>
    </row>
    <row r="7" spans="1:15" s="670" customFormat="1" ht="27.75" customHeight="1">
      <c r="A7" s="2975" t="s">
        <v>794</v>
      </c>
      <c r="B7" s="2976"/>
      <c r="C7" s="679">
        <v>400884</v>
      </c>
      <c r="D7" s="679">
        <v>3199</v>
      </c>
      <c r="E7" s="680">
        <v>0.8</v>
      </c>
      <c r="F7" s="679">
        <v>297870</v>
      </c>
      <c r="G7" s="679">
        <v>2232</v>
      </c>
      <c r="H7" s="680">
        <v>0.75</v>
      </c>
      <c r="I7" s="679">
        <v>103014</v>
      </c>
      <c r="J7" s="679">
        <v>967</v>
      </c>
      <c r="K7" s="681">
        <v>0.94</v>
      </c>
    </row>
    <row r="8" spans="1:15" s="670" customFormat="1" ht="27.75" customHeight="1">
      <c r="A8" s="2975" t="s">
        <v>795</v>
      </c>
      <c r="B8" s="2976"/>
      <c r="C8" s="679">
        <v>392964</v>
      </c>
      <c r="D8" s="679">
        <v>3526</v>
      </c>
      <c r="E8" s="680">
        <v>0.9</v>
      </c>
      <c r="F8" s="679">
        <v>294581</v>
      </c>
      <c r="G8" s="679">
        <v>2557</v>
      </c>
      <c r="H8" s="680">
        <v>0.87</v>
      </c>
      <c r="I8" s="679">
        <v>98383</v>
      </c>
      <c r="J8" s="679">
        <v>969</v>
      </c>
      <c r="K8" s="681">
        <v>0.98</v>
      </c>
    </row>
    <row r="9" spans="1:15" s="670" customFormat="1" ht="27.75" customHeight="1">
      <c r="A9" s="2975" t="s">
        <v>796</v>
      </c>
      <c r="B9" s="2976"/>
      <c r="C9" s="679">
        <v>394348</v>
      </c>
      <c r="D9" s="679">
        <v>4177</v>
      </c>
      <c r="E9" s="680">
        <v>1.06</v>
      </c>
      <c r="F9" s="679">
        <v>299641</v>
      </c>
      <c r="G9" s="679">
        <v>2625</v>
      </c>
      <c r="H9" s="680">
        <v>0.88</v>
      </c>
      <c r="I9" s="679">
        <v>94707</v>
      </c>
      <c r="J9" s="679">
        <v>1552</v>
      </c>
      <c r="K9" s="681">
        <v>1.64</v>
      </c>
    </row>
    <row r="10" spans="1:15" s="670" customFormat="1" ht="27.75" customHeight="1">
      <c r="A10" s="2975" t="s">
        <v>797</v>
      </c>
      <c r="B10" s="2976"/>
      <c r="C10" s="679">
        <v>413975</v>
      </c>
      <c r="D10" s="679">
        <v>3143</v>
      </c>
      <c r="E10" s="680">
        <v>0.76</v>
      </c>
      <c r="F10" s="679">
        <v>322588</v>
      </c>
      <c r="G10" s="679">
        <v>1931</v>
      </c>
      <c r="H10" s="680">
        <v>0.6</v>
      </c>
      <c r="I10" s="679">
        <v>91387</v>
      </c>
      <c r="J10" s="679">
        <v>1212</v>
      </c>
      <c r="K10" s="681">
        <v>1.33</v>
      </c>
    </row>
    <row r="11" spans="1:15" s="670" customFormat="1" ht="27.75" customHeight="1">
      <c r="A11" s="2975" t="s">
        <v>798</v>
      </c>
      <c r="B11" s="2976"/>
      <c r="C11" s="679">
        <v>432161</v>
      </c>
      <c r="D11" s="679">
        <v>1115</v>
      </c>
      <c r="E11" s="680">
        <v>0.26</v>
      </c>
      <c r="F11" s="679">
        <v>326468</v>
      </c>
      <c r="G11" s="679">
        <v>691</v>
      </c>
      <c r="H11" s="680">
        <v>0.21</v>
      </c>
      <c r="I11" s="679">
        <v>105693</v>
      </c>
      <c r="J11" s="679">
        <v>424</v>
      </c>
      <c r="K11" s="681">
        <v>0.4</v>
      </c>
    </row>
    <row r="12" spans="1:15" s="670" customFormat="1" ht="27.75" customHeight="1">
      <c r="A12" s="2975" t="s">
        <v>799</v>
      </c>
      <c r="B12" s="2976"/>
      <c r="C12" s="679">
        <v>459220</v>
      </c>
      <c r="D12" s="679">
        <v>1093</v>
      </c>
      <c r="E12" s="680">
        <v>0.24</v>
      </c>
      <c r="F12" s="679">
        <v>338538</v>
      </c>
      <c r="G12" s="679">
        <v>719</v>
      </c>
      <c r="H12" s="680">
        <v>0.21</v>
      </c>
      <c r="I12" s="679">
        <v>120682</v>
      </c>
      <c r="J12" s="679">
        <v>374</v>
      </c>
      <c r="K12" s="681">
        <v>0.31</v>
      </c>
    </row>
    <row r="13" spans="1:15" s="670" customFormat="1" ht="27.75" customHeight="1">
      <c r="A13" s="2975" t="s">
        <v>800</v>
      </c>
      <c r="B13" s="2976"/>
      <c r="C13" s="679">
        <v>482428</v>
      </c>
      <c r="D13" s="679">
        <v>1097</v>
      </c>
      <c r="E13" s="680">
        <v>0.23</v>
      </c>
      <c r="F13" s="679">
        <v>354192</v>
      </c>
      <c r="G13" s="679">
        <v>756</v>
      </c>
      <c r="H13" s="680">
        <v>0.21</v>
      </c>
      <c r="I13" s="679">
        <v>128236</v>
      </c>
      <c r="J13" s="679">
        <v>341</v>
      </c>
      <c r="K13" s="681">
        <v>0.27</v>
      </c>
    </row>
    <row r="14" spans="1:15" s="670" customFormat="1" ht="27.75" customHeight="1">
      <c r="A14" s="2975" t="s">
        <v>801</v>
      </c>
      <c r="B14" s="2976"/>
      <c r="C14" s="679">
        <v>486772</v>
      </c>
      <c r="D14" s="679">
        <v>639</v>
      </c>
      <c r="E14" s="680">
        <v>0.13</v>
      </c>
      <c r="F14" s="679">
        <v>361100</v>
      </c>
      <c r="G14" s="679">
        <v>464</v>
      </c>
      <c r="H14" s="680">
        <v>0.13</v>
      </c>
      <c r="I14" s="679">
        <v>125672</v>
      </c>
      <c r="J14" s="679">
        <v>175</v>
      </c>
      <c r="K14" s="681">
        <v>0.14000000000000001</v>
      </c>
    </row>
    <row r="15" spans="1:15" s="670" customFormat="1" ht="27.75" customHeight="1">
      <c r="A15" s="2977" t="s">
        <v>802</v>
      </c>
      <c r="B15" s="2978"/>
      <c r="C15" s="682">
        <v>470896</v>
      </c>
      <c r="D15" s="682">
        <v>738</v>
      </c>
      <c r="E15" s="683">
        <v>0.16</v>
      </c>
      <c r="F15" s="682">
        <v>361436</v>
      </c>
      <c r="G15" s="682">
        <v>515</v>
      </c>
      <c r="H15" s="683">
        <v>0.14000000000000001</v>
      </c>
      <c r="I15" s="682">
        <v>109460</v>
      </c>
      <c r="J15" s="682">
        <v>223</v>
      </c>
      <c r="K15" s="684">
        <v>0.2</v>
      </c>
    </row>
    <row r="16" spans="1:15" s="685" customFormat="1" ht="15" customHeight="1">
      <c r="A16" s="685" t="s">
        <v>803</v>
      </c>
    </row>
    <row r="17" spans="3:4">
      <c r="C17" s="686"/>
      <c r="D17" s="686"/>
    </row>
  </sheetData>
  <mergeCells count="16">
    <mergeCell ref="A12:B12"/>
    <mergeCell ref="A13:B13"/>
    <mergeCell ref="A14:B14"/>
    <mergeCell ref="A15:B15"/>
    <mergeCell ref="A6:B6"/>
    <mergeCell ref="A7:B7"/>
    <mergeCell ref="A8:B8"/>
    <mergeCell ref="A9:B9"/>
    <mergeCell ref="A10:B10"/>
    <mergeCell ref="A11:B11"/>
    <mergeCell ref="A1:K1"/>
    <mergeCell ref="J2:K2"/>
    <mergeCell ref="A3:B5"/>
    <mergeCell ref="C3:E3"/>
    <mergeCell ref="F3:H3"/>
    <mergeCell ref="I3:K3"/>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9"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Q26"/>
  <sheetViews>
    <sheetView showGridLines="0" zoomScale="81" workbookViewId="0">
      <selection activeCell="B16" sqref="B16"/>
    </sheetView>
  </sheetViews>
  <sheetFormatPr defaultColWidth="9" defaultRowHeight="15.75"/>
  <cols>
    <col min="1" max="1" width="23.75" style="650" customWidth="1"/>
    <col min="2" max="2" width="9.5" style="650" customWidth="1"/>
    <col min="3" max="3" width="7.75" style="650" customWidth="1"/>
    <col min="4" max="4" width="10.625" style="650" bestFit="1" customWidth="1"/>
    <col min="5" max="5" width="9.5" style="650" customWidth="1"/>
    <col min="6" max="6" width="7.375" style="650" customWidth="1"/>
    <col min="7" max="7" width="10.625" style="650" bestFit="1" customWidth="1"/>
    <col min="8" max="8" width="9.5" style="650" customWidth="1"/>
    <col min="9" max="9" width="7.75" style="650" customWidth="1"/>
    <col min="10" max="10" width="10.625" style="650" bestFit="1" customWidth="1"/>
    <col min="11" max="11" width="9.5" style="650" customWidth="1"/>
    <col min="12" max="12" width="7.75" style="650" customWidth="1"/>
    <col min="13" max="13" width="10.625" style="650" bestFit="1" customWidth="1"/>
    <col min="14" max="14" width="9.5" style="650" customWidth="1"/>
    <col min="15" max="15" width="7.25" style="650" customWidth="1"/>
    <col min="16" max="16" width="9.75" style="650" bestFit="1" customWidth="1"/>
    <col min="17" max="16384" width="9" style="650"/>
  </cols>
  <sheetData>
    <row r="1" spans="1:17" s="659" customFormat="1" ht="20.25">
      <c r="A1" s="2964" t="s">
        <v>804</v>
      </c>
      <c r="B1" s="2964"/>
      <c r="C1" s="2964"/>
      <c r="D1" s="2964"/>
      <c r="E1" s="2964"/>
      <c r="F1" s="2964"/>
      <c r="G1" s="2964"/>
      <c r="H1" s="2964"/>
      <c r="I1" s="2964"/>
      <c r="J1" s="2964"/>
      <c r="K1" s="2964"/>
      <c r="L1" s="2964"/>
      <c r="M1" s="2964"/>
      <c r="N1" s="2964"/>
      <c r="O1" s="2964"/>
      <c r="P1" s="2964"/>
    </row>
    <row r="2" spans="1:17" s="688" customFormat="1">
      <c r="I2" s="2980"/>
      <c r="J2" s="2980"/>
      <c r="L2" s="2980"/>
      <c r="M2" s="2980"/>
      <c r="O2" s="2980" t="s">
        <v>805</v>
      </c>
      <c r="P2" s="2980"/>
    </row>
    <row r="3" spans="1:17" s="659" customFormat="1" ht="18.95" customHeight="1">
      <c r="A3" s="2981"/>
      <c r="B3" s="689">
        <v>104</v>
      </c>
      <c r="C3" s="690"/>
      <c r="D3" s="691"/>
      <c r="E3" s="692">
        <v>105</v>
      </c>
      <c r="F3" s="690"/>
      <c r="G3" s="691"/>
      <c r="H3" s="692">
        <v>106</v>
      </c>
      <c r="I3" s="690"/>
      <c r="J3" s="691"/>
      <c r="K3" s="692">
        <v>107</v>
      </c>
      <c r="L3" s="690"/>
      <c r="M3" s="691"/>
      <c r="N3" s="692">
        <v>108</v>
      </c>
      <c r="O3" s="693"/>
      <c r="P3" s="693"/>
      <c r="Q3" s="694"/>
    </row>
    <row r="4" spans="1:17" s="659" customFormat="1" ht="18.95" customHeight="1">
      <c r="A4" s="2982"/>
      <c r="B4" s="2984" t="s">
        <v>806</v>
      </c>
      <c r="C4" s="2986" t="s">
        <v>807</v>
      </c>
      <c r="D4" s="691"/>
      <c r="E4" s="2988" t="s">
        <v>808</v>
      </c>
      <c r="F4" s="2986" t="s">
        <v>807</v>
      </c>
      <c r="G4" s="691"/>
      <c r="H4" s="2988" t="s">
        <v>808</v>
      </c>
      <c r="I4" s="2986" t="s">
        <v>807</v>
      </c>
      <c r="J4" s="691"/>
      <c r="K4" s="2988" t="s">
        <v>808</v>
      </c>
      <c r="L4" s="2986" t="s">
        <v>783</v>
      </c>
      <c r="M4" s="691"/>
      <c r="N4" s="2988" t="s">
        <v>808</v>
      </c>
      <c r="O4" s="2986" t="s">
        <v>807</v>
      </c>
      <c r="P4" s="690"/>
      <c r="Q4" s="694"/>
    </row>
    <row r="5" spans="1:17" s="659" customFormat="1" ht="57" customHeight="1">
      <c r="A5" s="2983"/>
      <c r="B5" s="2985"/>
      <c r="C5" s="2987"/>
      <c r="D5" s="695" t="s">
        <v>792</v>
      </c>
      <c r="E5" s="2989"/>
      <c r="F5" s="2987"/>
      <c r="G5" s="695" t="s">
        <v>792</v>
      </c>
      <c r="H5" s="2989"/>
      <c r="I5" s="2987"/>
      <c r="J5" s="695" t="s">
        <v>809</v>
      </c>
      <c r="K5" s="2989"/>
      <c r="L5" s="2987"/>
      <c r="M5" s="695" t="s">
        <v>792</v>
      </c>
      <c r="N5" s="2989"/>
      <c r="O5" s="2987"/>
      <c r="P5" s="695" t="s">
        <v>809</v>
      </c>
      <c r="Q5" s="694"/>
    </row>
    <row r="6" spans="1:17" s="659" customFormat="1" ht="21" customHeight="1">
      <c r="A6" s="660" t="s">
        <v>810</v>
      </c>
      <c r="B6" s="696">
        <v>432161</v>
      </c>
      <c r="C6" s="696">
        <v>1115</v>
      </c>
      <c r="D6" s="697">
        <f t="shared" ref="D6:D25" si="0">C6/C$6*100</f>
        <v>100</v>
      </c>
      <c r="E6" s="696">
        <v>459220</v>
      </c>
      <c r="F6" s="696">
        <v>1093</v>
      </c>
      <c r="G6" s="697">
        <f t="shared" ref="G6:G25" si="1">F6/F$6*100</f>
        <v>100</v>
      </c>
      <c r="H6" s="696">
        <v>482428</v>
      </c>
      <c r="I6" s="696">
        <v>1097</v>
      </c>
      <c r="J6" s="697">
        <f t="shared" ref="J6:J25" si="2">I6/I$6*100</f>
        <v>100</v>
      </c>
      <c r="K6" s="696">
        <v>486772</v>
      </c>
      <c r="L6" s="696">
        <v>639</v>
      </c>
      <c r="M6" s="697">
        <f t="shared" ref="M6:M25" si="3">L6/L$6*100</f>
        <v>100</v>
      </c>
      <c r="N6" s="696">
        <v>470896</v>
      </c>
      <c r="O6" s="696">
        <v>738</v>
      </c>
      <c r="P6" s="697">
        <f t="shared" ref="P6:P25" si="4">O6/O$6*100</f>
        <v>100</v>
      </c>
    </row>
    <row r="7" spans="1:17" s="659" customFormat="1" ht="21" customHeight="1">
      <c r="A7" s="660" t="s">
        <v>811</v>
      </c>
      <c r="B7" s="696">
        <v>42486</v>
      </c>
      <c r="C7" s="696">
        <v>113</v>
      </c>
      <c r="D7" s="697">
        <f t="shared" si="0"/>
        <v>10.134529147982063</v>
      </c>
      <c r="E7" s="696">
        <v>53859</v>
      </c>
      <c r="F7" s="696">
        <v>211</v>
      </c>
      <c r="G7" s="697">
        <f t="shared" si="1"/>
        <v>19.304666056724614</v>
      </c>
      <c r="H7" s="696">
        <v>63185</v>
      </c>
      <c r="I7" s="696">
        <v>228</v>
      </c>
      <c r="J7" s="697">
        <f t="shared" si="2"/>
        <v>20.783956244302644</v>
      </c>
      <c r="K7" s="696">
        <v>71519</v>
      </c>
      <c r="L7" s="696">
        <v>166</v>
      </c>
      <c r="M7" s="697">
        <f t="shared" si="3"/>
        <v>25.978090766823158</v>
      </c>
      <c r="N7" s="696">
        <v>71071</v>
      </c>
      <c r="O7" s="696">
        <v>177</v>
      </c>
      <c r="P7" s="697">
        <f t="shared" si="4"/>
        <v>23.983739837398375</v>
      </c>
    </row>
    <row r="8" spans="1:17" s="659" customFormat="1" ht="21" customHeight="1">
      <c r="A8" s="660" t="s">
        <v>812</v>
      </c>
      <c r="B8" s="696">
        <v>75620</v>
      </c>
      <c r="C8" s="696">
        <v>230</v>
      </c>
      <c r="D8" s="697">
        <f t="shared" si="0"/>
        <v>20.627802690582961</v>
      </c>
      <c r="E8" s="696">
        <v>89038</v>
      </c>
      <c r="F8" s="696">
        <v>197</v>
      </c>
      <c r="G8" s="697">
        <f t="shared" si="1"/>
        <v>18.023787740164686</v>
      </c>
      <c r="H8" s="696">
        <v>95705</v>
      </c>
      <c r="I8" s="696">
        <v>201</v>
      </c>
      <c r="J8" s="697">
        <f t="shared" si="2"/>
        <v>18.322698268003645</v>
      </c>
      <c r="K8" s="696">
        <v>92943</v>
      </c>
      <c r="L8" s="696">
        <v>116</v>
      </c>
      <c r="M8" s="697">
        <f t="shared" si="3"/>
        <v>18.153364632237874</v>
      </c>
      <c r="N8" s="696">
        <v>78692</v>
      </c>
      <c r="O8" s="696">
        <v>117</v>
      </c>
      <c r="P8" s="697">
        <f t="shared" si="4"/>
        <v>15.853658536585366</v>
      </c>
    </row>
    <row r="9" spans="1:17" s="659" customFormat="1" ht="21" customHeight="1">
      <c r="A9" s="660" t="s">
        <v>813</v>
      </c>
      <c r="B9" s="696">
        <v>9063</v>
      </c>
      <c r="C9" s="696">
        <v>88</v>
      </c>
      <c r="D9" s="697">
        <f t="shared" si="0"/>
        <v>7.8923766816143495</v>
      </c>
      <c r="E9" s="696">
        <v>8969</v>
      </c>
      <c r="F9" s="696">
        <v>71</v>
      </c>
      <c r="G9" s="697">
        <f t="shared" si="1"/>
        <v>6.4958828911253432</v>
      </c>
      <c r="H9" s="696">
        <v>9225</v>
      </c>
      <c r="I9" s="696">
        <v>73</v>
      </c>
      <c r="J9" s="697">
        <f t="shared" si="2"/>
        <v>6.654512306289881</v>
      </c>
      <c r="K9" s="696">
        <v>8671</v>
      </c>
      <c r="L9" s="696">
        <v>37</v>
      </c>
      <c r="M9" s="697">
        <f t="shared" si="3"/>
        <v>5.7902973395931143</v>
      </c>
      <c r="N9" s="696">
        <v>8270</v>
      </c>
      <c r="O9" s="696">
        <v>51</v>
      </c>
      <c r="P9" s="697">
        <f t="shared" si="4"/>
        <v>6.9105691056910574</v>
      </c>
    </row>
    <row r="10" spans="1:17" s="659" customFormat="1" ht="21" customHeight="1">
      <c r="A10" s="660" t="s">
        <v>814</v>
      </c>
      <c r="B10" s="696">
        <v>4583</v>
      </c>
      <c r="C10" s="696">
        <v>62</v>
      </c>
      <c r="D10" s="697">
        <f t="shared" si="0"/>
        <v>5.5605381165919283</v>
      </c>
      <c r="E10" s="696">
        <v>4393</v>
      </c>
      <c r="F10" s="696">
        <v>61</v>
      </c>
      <c r="G10" s="697">
        <f t="shared" si="1"/>
        <v>5.5809698078682519</v>
      </c>
      <c r="H10" s="696">
        <v>4329</v>
      </c>
      <c r="I10" s="696">
        <v>52</v>
      </c>
      <c r="J10" s="697">
        <f t="shared" si="2"/>
        <v>4.740200546946217</v>
      </c>
      <c r="K10" s="696">
        <v>4291</v>
      </c>
      <c r="L10" s="696">
        <v>40</v>
      </c>
      <c r="M10" s="697">
        <f t="shared" si="3"/>
        <v>6.2597809076682314</v>
      </c>
      <c r="N10" s="696">
        <v>4182</v>
      </c>
      <c r="O10" s="696">
        <v>43</v>
      </c>
      <c r="P10" s="697">
        <f t="shared" si="4"/>
        <v>5.8265582655826558</v>
      </c>
    </row>
    <row r="11" spans="1:17" s="659" customFormat="1" ht="21" customHeight="1">
      <c r="A11" s="660" t="s">
        <v>815</v>
      </c>
      <c r="B11" s="696">
        <v>51905</v>
      </c>
      <c r="C11" s="696">
        <v>43</v>
      </c>
      <c r="D11" s="697">
        <f t="shared" si="0"/>
        <v>3.8565022421524668</v>
      </c>
      <c r="E11" s="696">
        <v>54863</v>
      </c>
      <c r="F11" s="696">
        <v>48</v>
      </c>
      <c r="G11" s="697">
        <f t="shared" si="1"/>
        <v>4.3915827996340351</v>
      </c>
      <c r="H11" s="696">
        <v>57976</v>
      </c>
      <c r="I11" s="696">
        <v>39</v>
      </c>
      <c r="J11" s="697">
        <f t="shared" si="2"/>
        <v>3.5551504102096629</v>
      </c>
      <c r="K11" s="696">
        <v>59361</v>
      </c>
      <c r="L11" s="696">
        <v>35</v>
      </c>
      <c r="M11" s="697">
        <f t="shared" si="3"/>
        <v>5.4773082942097027</v>
      </c>
      <c r="N11" s="696">
        <v>63713</v>
      </c>
      <c r="O11" s="696">
        <v>42</v>
      </c>
      <c r="P11" s="697">
        <f t="shared" si="4"/>
        <v>5.6910569105691051</v>
      </c>
    </row>
    <row r="12" spans="1:17" s="659" customFormat="1" ht="21" customHeight="1">
      <c r="A12" s="698" t="s">
        <v>816</v>
      </c>
      <c r="B12" s="696">
        <v>41004</v>
      </c>
      <c r="C12" s="696">
        <v>72</v>
      </c>
      <c r="D12" s="697">
        <f t="shared" si="0"/>
        <v>6.4573991031390134</v>
      </c>
      <c r="E12" s="696">
        <v>42037</v>
      </c>
      <c r="F12" s="696">
        <v>71</v>
      </c>
      <c r="G12" s="697">
        <f t="shared" si="1"/>
        <v>6.4958828911253432</v>
      </c>
      <c r="H12" s="696">
        <v>43682</v>
      </c>
      <c r="I12" s="696">
        <v>68</v>
      </c>
      <c r="J12" s="697">
        <f t="shared" si="2"/>
        <v>6.1987237921604379</v>
      </c>
      <c r="K12" s="696">
        <v>44451</v>
      </c>
      <c r="L12" s="696">
        <v>53</v>
      </c>
      <c r="M12" s="697">
        <f t="shared" si="3"/>
        <v>8.2942097026604067</v>
      </c>
      <c r="N12" s="696">
        <v>45840</v>
      </c>
      <c r="O12" s="696">
        <v>38</v>
      </c>
      <c r="P12" s="697">
        <f t="shared" si="4"/>
        <v>5.1490514905149052</v>
      </c>
    </row>
    <row r="13" spans="1:17" s="659" customFormat="1" ht="21" customHeight="1">
      <c r="A13" s="698" t="s">
        <v>817</v>
      </c>
      <c r="B13" s="696">
        <v>7678</v>
      </c>
      <c r="C13" s="696">
        <v>20</v>
      </c>
      <c r="D13" s="697">
        <f t="shared" si="0"/>
        <v>1.7937219730941705</v>
      </c>
      <c r="E13" s="696">
        <v>11688</v>
      </c>
      <c r="F13" s="696">
        <v>29</v>
      </c>
      <c r="G13" s="697">
        <f t="shared" si="1"/>
        <v>2.6532479414455628</v>
      </c>
      <c r="H13" s="696">
        <v>13917</v>
      </c>
      <c r="I13" s="696">
        <v>20</v>
      </c>
      <c r="J13" s="697">
        <f t="shared" si="2"/>
        <v>1.8231540565177755</v>
      </c>
      <c r="K13" s="696">
        <v>14623</v>
      </c>
      <c r="L13" s="696">
        <v>23</v>
      </c>
      <c r="M13" s="697">
        <f t="shared" si="3"/>
        <v>3.5993740219092332</v>
      </c>
      <c r="N13" s="696">
        <v>15433</v>
      </c>
      <c r="O13" s="696">
        <v>23</v>
      </c>
      <c r="P13" s="697">
        <f t="shared" si="4"/>
        <v>3.116531165311653</v>
      </c>
    </row>
    <row r="14" spans="1:17" s="699" customFormat="1" ht="21" customHeight="1">
      <c r="A14" s="698" t="s">
        <v>818</v>
      </c>
      <c r="B14" s="696">
        <v>12735</v>
      </c>
      <c r="C14" s="696">
        <v>19</v>
      </c>
      <c r="D14" s="697">
        <f t="shared" si="0"/>
        <v>1.7040358744394617</v>
      </c>
      <c r="E14" s="696">
        <v>13997</v>
      </c>
      <c r="F14" s="696">
        <v>19</v>
      </c>
      <c r="G14" s="697">
        <f t="shared" si="1"/>
        <v>1.7383348581884721</v>
      </c>
      <c r="H14" s="696">
        <v>14845</v>
      </c>
      <c r="I14" s="696">
        <v>26</v>
      </c>
      <c r="J14" s="697">
        <f t="shared" si="2"/>
        <v>2.3701002734731085</v>
      </c>
      <c r="K14" s="696">
        <v>15426</v>
      </c>
      <c r="L14" s="696">
        <v>12</v>
      </c>
      <c r="M14" s="697">
        <f t="shared" si="3"/>
        <v>1.8779342723004695</v>
      </c>
      <c r="N14" s="696">
        <v>15549</v>
      </c>
      <c r="O14" s="696">
        <v>18</v>
      </c>
      <c r="P14" s="697">
        <f t="shared" si="4"/>
        <v>2.4390243902439024</v>
      </c>
    </row>
    <row r="15" spans="1:17" s="659" customFormat="1" ht="21" customHeight="1">
      <c r="A15" s="660" t="s">
        <v>819</v>
      </c>
      <c r="B15" s="696">
        <v>101922</v>
      </c>
      <c r="C15" s="696">
        <v>23</v>
      </c>
      <c r="D15" s="697">
        <f t="shared" si="0"/>
        <v>2.0627802690582961</v>
      </c>
      <c r="E15" s="696">
        <v>95483</v>
      </c>
      <c r="F15" s="696">
        <v>24</v>
      </c>
      <c r="G15" s="697">
        <f t="shared" si="1"/>
        <v>2.1957913998170175</v>
      </c>
      <c r="H15" s="696">
        <v>93048</v>
      </c>
      <c r="I15" s="696">
        <v>26</v>
      </c>
      <c r="J15" s="697">
        <f t="shared" si="2"/>
        <v>2.3701002734731085</v>
      </c>
      <c r="K15" s="696">
        <v>88641</v>
      </c>
      <c r="L15" s="696">
        <v>10</v>
      </c>
      <c r="M15" s="697">
        <f t="shared" si="3"/>
        <v>1.5649452269170578</v>
      </c>
      <c r="N15" s="696">
        <v>82616</v>
      </c>
      <c r="O15" s="696">
        <v>17</v>
      </c>
      <c r="P15" s="697">
        <f t="shared" si="4"/>
        <v>2.3035230352303522</v>
      </c>
    </row>
    <row r="16" spans="1:17" s="659" customFormat="1" ht="21" customHeight="1">
      <c r="A16" s="700" t="s">
        <v>820</v>
      </c>
      <c r="B16" s="696">
        <v>7307</v>
      </c>
      <c r="C16" s="696">
        <v>19</v>
      </c>
      <c r="D16" s="697">
        <f t="shared" si="0"/>
        <v>1.7040358744394617</v>
      </c>
      <c r="E16" s="696">
        <v>7720</v>
      </c>
      <c r="F16" s="696">
        <v>33</v>
      </c>
      <c r="G16" s="697">
        <f t="shared" si="1"/>
        <v>3.019213174748399</v>
      </c>
      <c r="H16" s="696">
        <v>7449</v>
      </c>
      <c r="I16" s="696">
        <v>87</v>
      </c>
      <c r="J16" s="697">
        <f t="shared" si="2"/>
        <v>7.930720145852324</v>
      </c>
      <c r="K16" s="696">
        <v>5927</v>
      </c>
      <c r="L16" s="696">
        <v>16</v>
      </c>
      <c r="M16" s="697">
        <f t="shared" si="3"/>
        <v>2.5039123630672928</v>
      </c>
      <c r="N16" s="696">
        <v>5178</v>
      </c>
      <c r="O16" s="696">
        <v>15</v>
      </c>
      <c r="P16" s="697">
        <f t="shared" si="4"/>
        <v>2.0325203252032518</v>
      </c>
    </row>
    <row r="17" spans="1:16" s="659" customFormat="1" ht="21" customHeight="1">
      <c r="A17" s="660" t="s">
        <v>821</v>
      </c>
      <c r="B17" s="696">
        <v>5850</v>
      </c>
      <c r="C17" s="696">
        <v>7</v>
      </c>
      <c r="D17" s="697">
        <f t="shared" si="0"/>
        <v>0.62780269058295957</v>
      </c>
      <c r="E17" s="696">
        <v>6839</v>
      </c>
      <c r="F17" s="696">
        <v>8</v>
      </c>
      <c r="G17" s="697">
        <f t="shared" si="1"/>
        <v>0.73193046660567251</v>
      </c>
      <c r="H17" s="696">
        <v>7375</v>
      </c>
      <c r="I17" s="696">
        <v>13</v>
      </c>
      <c r="J17" s="697">
        <f t="shared" si="2"/>
        <v>1.1850501367365542</v>
      </c>
      <c r="K17" s="696">
        <v>7740</v>
      </c>
      <c r="L17" s="696">
        <v>5</v>
      </c>
      <c r="M17" s="697">
        <f t="shared" si="3"/>
        <v>0.78247261345852892</v>
      </c>
      <c r="N17" s="696">
        <v>8352</v>
      </c>
      <c r="O17" s="696">
        <v>15</v>
      </c>
      <c r="P17" s="697">
        <f t="shared" si="4"/>
        <v>2.0325203252032518</v>
      </c>
    </row>
    <row r="18" spans="1:16" s="659" customFormat="1" ht="21" customHeight="1">
      <c r="A18" s="660" t="s">
        <v>822</v>
      </c>
      <c r="B18" s="696">
        <v>5874</v>
      </c>
      <c r="C18" s="696">
        <v>84</v>
      </c>
      <c r="D18" s="697">
        <f t="shared" si="0"/>
        <v>7.5336322869955161</v>
      </c>
      <c r="E18" s="696">
        <v>6167</v>
      </c>
      <c r="F18" s="696">
        <v>42</v>
      </c>
      <c r="G18" s="697">
        <f t="shared" si="1"/>
        <v>3.8426349496797805</v>
      </c>
      <c r="H18" s="696">
        <v>5880</v>
      </c>
      <c r="I18" s="696">
        <v>29</v>
      </c>
      <c r="J18" s="697">
        <f t="shared" si="2"/>
        <v>2.643573381950775</v>
      </c>
      <c r="K18" s="696">
        <v>5621</v>
      </c>
      <c r="L18" s="696">
        <v>10</v>
      </c>
      <c r="M18" s="697">
        <f t="shared" si="3"/>
        <v>1.5649452269170578</v>
      </c>
      <c r="N18" s="696">
        <v>5700</v>
      </c>
      <c r="O18" s="696">
        <v>14</v>
      </c>
      <c r="P18" s="697">
        <f t="shared" si="4"/>
        <v>1.8970189701897018</v>
      </c>
    </row>
    <row r="19" spans="1:16" s="659" customFormat="1" ht="21" customHeight="1">
      <c r="A19" s="698" t="s">
        <v>823</v>
      </c>
      <c r="B19" s="696">
        <v>9127</v>
      </c>
      <c r="C19" s="696">
        <v>8</v>
      </c>
      <c r="D19" s="697">
        <f t="shared" si="0"/>
        <v>0.71748878923766812</v>
      </c>
      <c r="E19" s="696">
        <v>9949</v>
      </c>
      <c r="F19" s="696">
        <v>16</v>
      </c>
      <c r="G19" s="697">
        <f t="shared" si="1"/>
        <v>1.463860933211345</v>
      </c>
      <c r="H19" s="696">
        <v>12048</v>
      </c>
      <c r="I19" s="696">
        <v>15</v>
      </c>
      <c r="J19" s="697">
        <f t="shared" si="2"/>
        <v>1.367365542388332</v>
      </c>
      <c r="K19" s="696">
        <v>13517</v>
      </c>
      <c r="L19" s="696">
        <v>2</v>
      </c>
      <c r="M19" s="697">
        <f t="shared" si="3"/>
        <v>0.3129890453834116</v>
      </c>
      <c r="N19" s="696">
        <v>14123</v>
      </c>
      <c r="O19" s="696">
        <v>12</v>
      </c>
      <c r="P19" s="697">
        <f t="shared" si="4"/>
        <v>1.6260162601626018</v>
      </c>
    </row>
    <row r="20" spans="1:16" s="659" customFormat="1" ht="21" customHeight="1">
      <c r="A20" s="660" t="s">
        <v>824</v>
      </c>
      <c r="B20" s="696">
        <v>666</v>
      </c>
      <c r="C20" s="696">
        <v>18</v>
      </c>
      <c r="D20" s="697">
        <f t="shared" si="0"/>
        <v>1.6143497757847534</v>
      </c>
      <c r="E20" s="696">
        <v>579</v>
      </c>
      <c r="F20" s="696">
        <v>10</v>
      </c>
      <c r="G20" s="697">
        <f t="shared" si="1"/>
        <v>0.91491308325709064</v>
      </c>
      <c r="H20" s="696">
        <v>544</v>
      </c>
      <c r="I20" s="696">
        <v>6</v>
      </c>
      <c r="J20" s="697">
        <f t="shared" si="2"/>
        <v>0.54694621695533274</v>
      </c>
      <c r="K20" s="696">
        <v>607</v>
      </c>
      <c r="L20" s="696">
        <v>6</v>
      </c>
      <c r="M20" s="697">
        <f t="shared" si="3"/>
        <v>0.93896713615023475</v>
      </c>
      <c r="N20" s="696">
        <v>606</v>
      </c>
      <c r="O20" s="696">
        <v>8</v>
      </c>
      <c r="P20" s="697">
        <f t="shared" si="4"/>
        <v>1.084010840108401</v>
      </c>
    </row>
    <row r="21" spans="1:16" s="659" customFormat="1" ht="21" customHeight="1">
      <c r="A21" s="660" t="s">
        <v>825</v>
      </c>
      <c r="B21" s="696">
        <v>4769</v>
      </c>
      <c r="C21" s="696">
        <v>17</v>
      </c>
      <c r="D21" s="697">
        <f t="shared" si="0"/>
        <v>1.5246636771300448</v>
      </c>
      <c r="E21" s="696">
        <v>1866</v>
      </c>
      <c r="F21" s="696">
        <v>7</v>
      </c>
      <c r="G21" s="697">
        <f t="shared" si="1"/>
        <v>0.64043915827996334</v>
      </c>
      <c r="H21" s="696">
        <v>1425</v>
      </c>
      <c r="I21" s="696">
        <v>1</v>
      </c>
      <c r="J21" s="697">
        <f t="shared" si="2"/>
        <v>9.1157702825888781E-2</v>
      </c>
      <c r="K21" s="696">
        <v>1299</v>
      </c>
      <c r="L21" s="696">
        <v>9</v>
      </c>
      <c r="M21" s="697">
        <f t="shared" si="3"/>
        <v>1.4084507042253522</v>
      </c>
      <c r="N21" s="696">
        <v>1411</v>
      </c>
      <c r="O21" s="696">
        <v>7</v>
      </c>
      <c r="P21" s="697">
        <f t="shared" si="4"/>
        <v>0.94850948509485089</v>
      </c>
    </row>
    <row r="22" spans="1:16" s="659" customFormat="1" ht="21" customHeight="1">
      <c r="A22" s="660" t="s">
        <v>826</v>
      </c>
      <c r="B22" s="696">
        <v>2066</v>
      </c>
      <c r="C22" s="696">
        <v>16</v>
      </c>
      <c r="D22" s="697">
        <f t="shared" si="0"/>
        <v>1.4349775784753362</v>
      </c>
      <c r="E22" s="696">
        <v>2028</v>
      </c>
      <c r="F22" s="696">
        <v>17</v>
      </c>
      <c r="G22" s="697">
        <f t="shared" si="1"/>
        <v>1.555352241537054</v>
      </c>
      <c r="H22" s="696">
        <v>2098</v>
      </c>
      <c r="I22" s="696">
        <v>12</v>
      </c>
      <c r="J22" s="697">
        <f t="shared" si="2"/>
        <v>1.0938924339106655</v>
      </c>
      <c r="K22" s="696">
        <v>1979</v>
      </c>
      <c r="L22" s="696">
        <v>8</v>
      </c>
      <c r="M22" s="697">
        <f t="shared" si="3"/>
        <v>1.2519561815336464</v>
      </c>
      <c r="N22" s="696">
        <v>1993</v>
      </c>
      <c r="O22" s="696">
        <v>4</v>
      </c>
      <c r="P22" s="697">
        <f t="shared" si="4"/>
        <v>0.54200542005420049</v>
      </c>
    </row>
    <row r="23" spans="1:16" s="659" customFormat="1" ht="21" customHeight="1">
      <c r="A23" s="660" t="s">
        <v>827</v>
      </c>
      <c r="B23" s="696">
        <v>2379</v>
      </c>
      <c r="C23" s="696">
        <v>14</v>
      </c>
      <c r="D23" s="697">
        <f t="shared" si="0"/>
        <v>1.2556053811659191</v>
      </c>
      <c r="E23" s="696">
        <v>2660</v>
      </c>
      <c r="F23" s="696">
        <v>12</v>
      </c>
      <c r="G23" s="697">
        <f t="shared" si="1"/>
        <v>1.0978956999085088</v>
      </c>
      <c r="H23" s="696">
        <v>3031</v>
      </c>
      <c r="I23" s="696">
        <v>13</v>
      </c>
      <c r="J23" s="697">
        <f t="shared" si="2"/>
        <v>1.1850501367365542</v>
      </c>
      <c r="K23" s="696">
        <v>3004</v>
      </c>
      <c r="L23" s="696">
        <v>5</v>
      </c>
      <c r="M23" s="697">
        <f t="shared" si="3"/>
        <v>0.78247261345852892</v>
      </c>
      <c r="N23" s="696">
        <v>2476</v>
      </c>
      <c r="O23" s="696">
        <v>2</v>
      </c>
      <c r="P23" s="697">
        <f t="shared" si="4"/>
        <v>0.27100271002710025</v>
      </c>
    </row>
    <row r="24" spans="1:16" s="659" customFormat="1" ht="21" customHeight="1">
      <c r="A24" s="660" t="s">
        <v>828</v>
      </c>
      <c r="B24" s="696">
        <v>3840</v>
      </c>
      <c r="C24" s="696">
        <v>17</v>
      </c>
      <c r="D24" s="697">
        <f t="shared" si="0"/>
        <v>1.5246636771300448</v>
      </c>
      <c r="E24" s="696">
        <v>3829</v>
      </c>
      <c r="F24" s="696">
        <v>14</v>
      </c>
      <c r="G24" s="697">
        <f t="shared" si="1"/>
        <v>1.2808783165599267</v>
      </c>
      <c r="H24" s="696">
        <v>3718</v>
      </c>
      <c r="I24" s="696">
        <v>6</v>
      </c>
      <c r="J24" s="697">
        <f t="shared" si="2"/>
        <v>0.54694621695533274</v>
      </c>
      <c r="K24" s="696">
        <v>4364</v>
      </c>
      <c r="L24" s="696">
        <v>1</v>
      </c>
      <c r="M24" s="697">
        <f t="shared" si="3"/>
        <v>0.1564945226917058</v>
      </c>
      <c r="N24" s="696">
        <v>3661</v>
      </c>
      <c r="O24" s="696">
        <v>2</v>
      </c>
      <c r="P24" s="697">
        <f t="shared" si="4"/>
        <v>0.27100271002710025</v>
      </c>
    </row>
    <row r="25" spans="1:16" s="659" customFormat="1" ht="21" customHeight="1">
      <c r="A25" s="661" t="s">
        <v>829</v>
      </c>
      <c r="B25" s="701">
        <v>43287</v>
      </c>
      <c r="C25" s="701">
        <v>245</v>
      </c>
      <c r="D25" s="702">
        <f t="shared" si="0"/>
        <v>21.973094170403588</v>
      </c>
      <c r="E25" s="701">
        <v>43256</v>
      </c>
      <c r="F25" s="701">
        <v>203</v>
      </c>
      <c r="G25" s="702">
        <f t="shared" si="1"/>
        <v>18.572735590118938</v>
      </c>
      <c r="H25" s="701">
        <v>42948</v>
      </c>
      <c r="I25" s="701">
        <v>182</v>
      </c>
      <c r="J25" s="702">
        <f t="shared" si="2"/>
        <v>16.590701914311758</v>
      </c>
      <c r="K25" s="701">
        <v>42788</v>
      </c>
      <c r="L25" s="701">
        <v>85</v>
      </c>
      <c r="M25" s="702">
        <f t="shared" si="3"/>
        <v>13.302034428794993</v>
      </c>
      <c r="N25" s="701">
        <v>42030</v>
      </c>
      <c r="O25" s="701">
        <v>133</v>
      </c>
      <c r="P25" s="702">
        <f t="shared" si="4"/>
        <v>18.021680216802167</v>
      </c>
    </row>
    <row r="26" spans="1:16" s="703" customFormat="1" ht="33" customHeight="1">
      <c r="A26" s="2979" t="s">
        <v>830</v>
      </c>
      <c r="B26" s="2979"/>
      <c r="C26" s="2979"/>
      <c r="D26" s="2979"/>
      <c r="E26" s="2979"/>
      <c r="F26" s="2979"/>
      <c r="G26" s="2979"/>
    </row>
  </sheetData>
  <mergeCells count="16">
    <mergeCell ref="A26:G26"/>
    <mergeCell ref="A1:P1"/>
    <mergeCell ref="I2:J2"/>
    <mergeCell ref="L2:M2"/>
    <mergeCell ref="O2:P2"/>
    <mergeCell ref="A3:A5"/>
    <mergeCell ref="B4:B5"/>
    <mergeCell ref="C4:C5"/>
    <mergeCell ref="E4:E5"/>
    <mergeCell ref="F4:F5"/>
    <mergeCell ref="H4:H5"/>
    <mergeCell ref="I4:I5"/>
    <mergeCell ref="K4:K5"/>
    <mergeCell ref="L4:L5"/>
    <mergeCell ref="N4:N5"/>
    <mergeCell ref="O4:O5"/>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56"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M14"/>
  <sheetViews>
    <sheetView showGridLines="0" zoomScaleNormal="100" workbookViewId="0">
      <selection activeCell="B16" sqref="B16"/>
    </sheetView>
  </sheetViews>
  <sheetFormatPr defaultColWidth="8.875" defaultRowHeight="15.75"/>
  <cols>
    <col min="1" max="1" width="14.875" style="732" customWidth="1"/>
    <col min="2" max="2" width="8.875" style="732" customWidth="1"/>
    <col min="3" max="16384" width="8.875" style="732"/>
  </cols>
  <sheetData>
    <row r="1" spans="1:13" s="704" customFormat="1" ht="22.5" customHeight="1">
      <c r="A1" s="2967" t="s">
        <v>831</v>
      </c>
      <c r="B1" s="2967"/>
      <c r="C1" s="2967"/>
      <c r="D1" s="2967"/>
      <c r="E1" s="2967"/>
      <c r="F1" s="2967"/>
      <c r="G1" s="2967"/>
      <c r="H1" s="2967"/>
      <c r="I1" s="2967"/>
      <c r="J1" s="2967"/>
      <c r="K1" s="2967"/>
      <c r="L1" s="2967"/>
      <c r="M1" s="2967"/>
    </row>
    <row r="2" spans="1:13" s="704" customFormat="1" ht="30" customHeight="1">
      <c r="A2" s="705"/>
      <c r="B2" s="2992" t="s">
        <v>832</v>
      </c>
      <c r="C2" s="2993"/>
      <c r="D2" s="2994" t="s">
        <v>833</v>
      </c>
      <c r="E2" s="2995"/>
      <c r="F2" s="2996" t="s">
        <v>834</v>
      </c>
      <c r="G2" s="2993"/>
      <c r="H2" s="2997" t="s">
        <v>833</v>
      </c>
      <c r="I2" s="2998"/>
      <c r="J2" s="2996" t="s">
        <v>835</v>
      </c>
      <c r="K2" s="2993"/>
      <c r="L2" s="2994" t="s">
        <v>833</v>
      </c>
      <c r="M2" s="2999"/>
    </row>
    <row r="3" spans="1:13" s="704" customFormat="1" ht="30" customHeight="1">
      <c r="A3" s="706"/>
      <c r="B3" s="3000" t="s">
        <v>773</v>
      </c>
      <c r="C3" s="2990" t="s">
        <v>400</v>
      </c>
      <c r="D3" s="2990" t="s">
        <v>773</v>
      </c>
      <c r="E3" s="2994" t="s">
        <v>0</v>
      </c>
      <c r="F3" s="3003" t="s">
        <v>773</v>
      </c>
      <c r="G3" s="2990" t="s">
        <v>400</v>
      </c>
      <c r="H3" s="3000" t="s">
        <v>773</v>
      </c>
      <c r="I3" s="2994" t="s">
        <v>0</v>
      </c>
      <c r="J3" s="3003" t="s">
        <v>773</v>
      </c>
      <c r="K3" s="2990" t="s">
        <v>400</v>
      </c>
      <c r="L3" s="2990" t="s">
        <v>836</v>
      </c>
      <c r="M3" s="2994" t="s">
        <v>0</v>
      </c>
    </row>
    <row r="4" spans="1:13" s="704" customFormat="1" ht="30" customHeight="1">
      <c r="A4" s="707"/>
      <c r="B4" s="3001"/>
      <c r="C4" s="2991" t="s">
        <v>0</v>
      </c>
      <c r="D4" s="2991"/>
      <c r="E4" s="3002" t="s">
        <v>0</v>
      </c>
      <c r="F4" s="3004"/>
      <c r="G4" s="2991" t="s">
        <v>0</v>
      </c>
      <c r="H4" s="3001"/>
      <c r="I4" s="3002" t="s">
        <v>0</v>
      </c>
      <c r="J4" s="3004"/>
      <c r="K4" s="2991" t="s">
        <v>0</v>
      </c>
      <c r="L4" s="2991"/>
      <c r="M4" s="3002" t="s">
        <v>0</v>
      </c>
    </row>
    <row r="5" spans="1:13" s="704" customFormat="1" ht="37.5" customHeight="1">
      <c r="A5" s="708" t="s">
        <v>837</v>
      </c>
      <c r="B5" s="709">
        <v>413975</v>
      </c>
      <c r="C5" s="710">
        <v>100</v>
      </c>
      <c r="D5" s="711">
        <v>19627</v>
      </c>
      <c r="E5" s="712">
        <v>4.9770760850822118</v>
      </c>
      <c r="F5" s="713">
        <v>432161</v>
      </c>
      <c r="G5" s="714">
        <v>100</v>
      </c>
      <c r="H5" s="715">
        <v>18186</v>
      </c>
      <c r="I5" s="712">
        <v>4.3930189021076149</v>
      </c>
      <c r="J5" s="713">
        <v>459220</v>
      </c>
      <c r="K5" s="714">
        <v>100</v>
      </c>
      <c r="L5" s="711">
        <v>27059</v>
      </c>
      <c r="M5" s="712">
        <v>6.2613239047484619</v>
      </c>
    </row>
    <row r="6" spans="1:13" s="704" customFormat="1" ht="37.5" customHeight="1">
      <c r="A6" s="708" t="s">
        <v>838</v>
      </c>
      <c r="B6" s="709">
        <v>322588</v>
      </c>
      <c r="C6" s="710">
        <v>77.924512349779576</v>
      </c>
      <c r="D6" s="711">
        <v>22947</v>
      </c>
      <c r="E6" s="712">
        <v>7.6581642699096593</v>
      </c>
      <c r="F6" s="713">
        <v>326468</v>
      </c>
      <c r="G6" s="714">
        <v>75.543142486249337</v>
      </c>
      <c r="H6" s="715">
        <v>3880</v>
      </c>
      <c r="I6" s="712">
        <v>1.2027725767852493</v>
      </c>
      <c r="J6" s="713">
        <v>338538</v>
      </c>
      <c r="K6" s="714">
        <v>73.720221244719312</v>
      </c>
      <c r="L6" s="711">
        <v>12070</v>
      </c>
      <c r="M6" s="712">
        <v>3.6971464278275357</v>
      </c>
    </row>
    <row r="7" spans="1:13" s="704" customFormat="1" ht="37.5" customHeight="1" thickBot="1">
      <c r="A7" s="716" t="s">
        <v>839</v>
      </c>
      <c r="B7" s="717">
        <v>91387</v>
      </c>
      <c r="C7" s="718">
        <v>22.075487650220424</v>
      </c>
      <c r="D7" s="719">
        <v>-3320</v>
      </c>
      <c r="E7" s="720">
        <v>-3.5055486922825132</v>
      </c>
      <c r="F7" s="721">
        <v>105693</v>
      </c>
      <c r="G7" s="718">
        <v>24.456857513750663</v>
      </c>
      <c r="H7" s="722">
        <v>14306</v>
      </c>
      <c r="I7" s="720">
        <v>15.654305316948799</v>
      </c>
      <c r="J7" s="721">
        <v>120682</v>
      </c>
      <c r="K7" s="718">
        <v>26.279778755280692</v>
      </c>
      <c r="L7" s="719">
        <v>14989</v>
      </c>
      <c r="M7" s="720">
        <v>14.181639276016385</v>
      </c>
    </row>
    <row r="8" spans="1:13" s="704" customFormat="1" ht="30" customHeight="1" thickTop="1">
      <c r="A8" s="723"/>
      <c r="B8" s="3007" t="s">
        <v>840</v>
      </c>
      <c r="C8" s="3008"/>
      <c r="D8" s="3005" t="s">
        <v>841</v>
      </c>
      <c r="E8" s="3009"/>
      <c r="F8" s="3010" t="s">
        <v>842</v>
      </c>
      <c r="G8" s="3008"/>
      <c r="H8" s="3011" t="s">
        <v>833</v>
      </c>
      <c r="I8" s="3012"/>
      <c r="J8" s="3010" t="s">
        <v>843</v>
      </c>
      <c r="K8" s="3008"/>
      <c r="L8" s="3005" t="s">
        <v>833</v>
      </c>
      <c r="M8" s="3006"/>
    </row>
    <row r="9" spans="1:13" s="704" customFormat="1" ht="30" customHeight="1">
      <c r="A9" s="706"/>
      <c r="B9" s="3000" t="s">
        <v>773</v>
      </c>
      <c r="C9" s="2990" t="s">
        <v>400</v>
      </c>
      <c r="D9" s="2990" t="s">
        <v>773</v>
      </c>
      <c r="E9" s="2994" t="s">
        <v>0</v>
      </c>
      <c r="F9" s="3003" t="s">
        <v>773</v>
      </c>
      <c r="G9" s="2990" t="s">
        <v>400</v>
      </c>
      <c r="H9" s="3000" t="s">
        <v>773</v>
      </c>
      <c r="I9" s="2994" t="s">
        <v>0</v>
      </c>
      <c r="J9" s="3003" t="s">
        <v>773</v>
      </c>
      <c r="K9" s="2990" t="s">
        <v>400</v>
      </c>
      <c r="L9" s="3000" t="s">
        <v>773</v>
      </c>
      <c r="M9" s="2994" t="s">
        <v>0</v>
      </c>
    </row>
    <row r="10" spans="1:13" s="704" customFormat="1" ht="30" customHeight="1">
      <c r="A10" s="707"/>
      <c r="B10" s="3001"/>
      <c r="C10" s="2991" t="s">
        <v>0</v>
      </c>
      <c r="D10" s="2991"/>
      <c r="E10" s="3002" t="s">
        <v>0</v>
      </c>
      <c r="F10" s="3004"/>
      <c r="G10" s="2991" t="s">
        <v>0</v>
      </c>
      <c r="H10" s="3001"/>
      <c r="I10" s="3002" t="s">
        <v>0</v>
      </c>
      <c r="J10" s="3004"/>
      <c r="K10" s="2991" t="s">
        <v>0</v>
      </c>
      <c r="L10" s="3001"/>
      <c r="M10" s="3002" t="s">
        <v>0</v>
      </c>
    </row>
    <row r="11" spans="1:13" s="704" customFormat="1" ht="37.5" customHeight="1">
      <c r="A11" s="724" t="s">
        <v>837</v>
      </c>
      <c r="B11" s="711">
        <v>482428</v>
      </c>
      <c r="C11" s="710">
        <v>100</v>
      </c>
      <c r="D11" s="711">
        <v>23208</v>
      </c>
      <c r="E11" s="712">
        <v>5.053786855973172</v>
      </c>
      <c r="F11" s="713">
        <v>486772</v>
      </c>
      <c r="G11" s="714">
        <v>100</v>
      </c>
      <c r="H11" s="715">
        <v>4344</v>
      </c>
      <c r="I11" s="712">
        <v>0.90044524778827106</v>
      </c>
      <c r="J11" s="713">
        <v>470896</v>
      </c>
      <c r="K11" s="714">
        <v>100</v>
      </c>
      <c r="L11" s="715">
        <v>-15876</v>
      </c>
      <c r="M11" s="712">
        <v>-3.2614858701815219</v>
      </c>
    </row>
    <row r="12" spans="1:13" s="704" customFormat="1" ht="37.5" customHeight="1">
      <c r="A12" s="724" t="s">
        <v>844</v>
      </c>
      <c r="B12" s="711">
        <v>354192</v>
      </c>
      <c r="C12" s="710">
        <v>73.418624126294503</v>
      </c>
      <c r="D12" s="711">
        <v>15654</v>
      </c>
      <c r="E12" s="712">
        <v>4.6240008507169064</v>
      </c>
      <c r="F12" s="713">
        <v>361100</v>
      </c>
      <c r="G12" s="714">
        <v>74.182574182574186</v>
      </c>
      <c r="H12" s="715">
        <v>6908</v>
      </c>
      <c r="I12" s="712">
        <v>1.9503546099290781</v>
      </c>
      <c r="J12" s="713">
        <v>361436</v>
      </c>
      <c r="K12" s="714">
        <v>76.754952261221163</v>
      </c>
      <c r="L12" s="715">
        <v>336</v>
      </c>
      <c r="M12" s="712">
        <v>9.3049016892827477E-2</v>
      </c>
    </row>
    <row r="13" spans="1:13" s="704" customFormat="1" ht="37.5" customHeight="1">
      <c r="A13" s="725" t="s">
        <v>845</v>
      </c>
      <c r="B13" s="726">
        <v>128236</v>
      </c>
      <c r="C13" s="727">
        <v>26.581375873705504</v>
      </c>
      <c r="D13" s="726">
        <v>7554</v>
      </c>
      <c r="E13" s="728">
        <v>6.2594255978522071</v>
      </c>
      <c r="F13" s="729">
        <v>125672</v>
      </c>
      <c r="G13" s="727">
        <v>25.817425817425814</v>
      </c>
      <c r="H13" s="730">
        <v>-2564</v>
      </c>
      <c r="I13" s="728">
        <v>-1.9994385352007236</v>
      </c>
      <c r="J13" s="729">
        <v>109460</v>
      </c>
      <c r="K13" s="727">
        <v>23.245047738778837</v>
      </c>
      <c r="L13" s="730">
        <v>-16212</v>
      </c>
      <c r="M13" s="728">
        <v>-12.900248265325608</v>
      </c>
    </row>
    <row r="14" spans="1:13" s="704" customFormat="1">
      <c r="A14" s="731" t="s">
        <v>846</v>
      </c>
      <c r="B14" s="731"/>
      <c r="C14" s="731"/>
      <c r="D14" s="731"/>
      <c r="E14" s="731"/>
      <c r="F14" s="731"/>
      <c r="G14" s="731"/>
      <c r="H14" s="731"/>
      <c r="I14" s="731"/>
      <c r="J14" s="731"/>
      <c r="K14" s="731"/>
      <c r="L14" s="731"/>
      <c r="M14" s="731"/>
    </row>
  </sheetData>
  <mergeCells count="37">
    <mergeCell ref="M9:M10"/>
    <mergeCell ref="B9:B10"/>
    <mergeCell ref="C9:C10"/>
    <mergeCell ref="D9:D10"/>
    <mergeCell ref="E9:E10"/>
    <mergeCell ref="F9:F10"/>
    <mergeCell ref="G9:G10"/>
    <mergeCell ref="H9:H10"/>
    <mergeCell ref="I9:I10"/>
    <mergeCell ref="J9:J10"/>
    <mergeCell ref="K9:K10"/>
    <mergeCell ref="L9:L10"/>
    <mergeCell ref="B8:C8"/>
    <mergeCell ref="D8:E8"/>
    <mergeCell ref="F8:G8"/>
    <mergeCell ref="H8:I8"/>
    <mergeCell ref="J8:K8"/>
    <mergeCell ref="L8:M8"/>
    <mergeCell ref="H3:H4"/>
    <mergeCell ref="I3:I4"/>
    <mergeCell ref="J3:J4"/>
    <mergeCell ref="K3:K4"/>
    <mergeCell ref="L3:L4"/>
    <mergeCell ref="M3:M4"/>
    <mergeCell ref="G3:G4"/>
    <mergeCell ref="A1:M1"/>
    <mergeCell ref="B2:C2"/>
    <mergeCell ref="D2:E2"/>
    <mergeCell ref="F2:G2"/>
    <mergeCell ref="H2:I2"/>
    <mergeCell ref="J2:K2"/>
    <mergeCell ref="L2:M2"/>
    <mergeCell ref="B3:B4"/>
    <mergeCell ref="C3:C4"/>
    <mergeCell ref="D3:D4"/>
    <mergeCell ref="E3:E4"/>
    <mergeCell ref="F3:F4"/>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74" orientation="landscape" r:id="rId1"/>
  <headerFooter differentOddEven="1" scaleWithDoc="0">
    <oddHeader>&amp;L&amp;"Times New Roman,標準"&amp;8 107&amp;"標楷體,標準"年犯罪狀況及其分析</oddHeader>
    <evenHeader>&amp;R&amp;"標楷體,標準"&amp;8第二篇　犯罪之處理</even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N28"/>
  <sheetViews>
    <sheetView showGridLines="0" zoomScaleNormal="100" workbookViewId="0">
      <selection activeCell="B16" sqref="B16"/>
    </sheetView>
  </sheetViews>
  <sheetFormatPr defaultColWidth="9" defaultRowHeight="15.75"/>
  <cols>
    <col min="1" max="1" width="26" style="670" customWidth="1"/>
    <col min="2" max="11" width="8.75" style="670" customWidth="1"/>
    <col min="12" max="16384" width="9" style="670"/>
  </cols>
  <sheetData>
    <row r="1" spans="1:14" ht="27" customHeight="1">
      <c r="A1" s="2967" t="s">
        <v>847</v>
      </c>
      <c r="B1" s="2967"/>
      <c r="C1" s="2967"/>
      <c r="D1" s="2967"/>
      <c r="E1" s="2967"/>
      <c r="F1" s="2967"/>
      <c r="G1" s="2967"/>
      <c r="H1" s="2967"/>
      <c r="I1" s="2967"/>
      <c r="J1" s="2967"/>
      <c r="K1" s="2967"/>
    </row>
    <row r="2" spans="1:14" ht="21.75" customHeight="1">
      <c r="A2" s="2969"/>
      <c r="B2" s="3013" t="s">
        <v>848</v>
      </c>
      <c r="C2" s="3014"/>
      <c r="D2" s="3015" t="s">
        <v>769</v>
      </c>
      <c r="E2" s="3014"/>
      <c r="F2" s="3015" t="s">
        <v>849</v>
      </c>
      <c r="G2" s="3014"/>
      <c r="H2" s="3015" t="s">
        <v>850</v>
      </c>
      <c r="I2" s="3014"/>
      <c r="J2" s="3015" t="s">
        <v>364</v>
      </c>
      <c r="K2" s="3013"/>
    </row>
    <row r="3" spans="1:14" ht="21.75" customHeight="1">
      <c r="A3" s="2971"/>
      <c r="B3" s="673" t="s">
        <v>851</v>
      </c>
      <c r="C3" s="733" t="s">
        <v>0</v>
      </c>
      <c r="D3" s="734" t="s">
        <v>851</v>
      </c>
      <c r="E3" s="733" t="s">
        <v>0</v>
      </c>
      <c r="F3" s="734" t="s">
        <v>851</v>
      </c>
      <c r="G3" s="733" t="s">
        <v>0</v>
      </c>
      <c r="H3" s="734" t="s">
        <v>851</v>
      </c>
      <c r="I3" s="733" t="s">
        <v>0</v>
      </c>
      <c r="J3" s="734" t="s">
        <v>852</v>
      </c>
      <c r="K3" s="733" t="s">
        <v>0</v>
      </c>
    </row>
    <row r="4" spans="1:14" ht="20.100000000000001" customHeight="1">
      <c r="A4" s="724" t="s">
        <v>374</v>
      </c>
      <c r="B4" s="711">
        <v>326468</v>
      </c>
      <c r="C4" s="735">
        <v>100</v>
      </c>
      <c r="D4" s="711">
        <v>338538</v>
      </c>
      <c r="E4" s="735">
        <v>100</v>
      </c>
      <c r="F4" s="711">
        <v>354192</v>
      </c>
      <c r="G4" s="736">
        <v>100</v>
      </c>
      <c r="H4" s="711">
        <v>361100</v>
      </c>
      <c r="I4" s="736">
        <v>100</v>
      </c>
      <c r="J4" s="711">
        <v>361436</v>
      </c>
      <c r="K4" s="736">
        <v>100</v>
      </c>
      <c r="L4" s="737"/>
    </row>
    <row r="5" spans="1:14" ht="20.100000000000001" customHeight="1">
      <c r="A5" s="724" t="s">
        <v>853</v>
      </c>
      <c r="B5" s="711">
        <v>101922</v>
      </c>
      <c r="C5" s="736">
        <v>31.22</v>
      </c>
      <c r="D5" s="711">
        <v>95483</v>
      </c>
      <c r="E5" s="736">
        <v>28.2</v>
      </c>
      <c r="F5" s="711">
        <v>93048</v>
      </c>
      <c r="G5" s="736">
        <v>26.27</v>
      </c>
      <c r="H5" s="711">
        <v>88641</v>
      </c>
      <c r="I5" s="736">
        <v>24.55</v>
      </c>
      <c r="J5" s="711">
        <v>82616</v>
      </c>
      <c r="K5" s="736">
        <v>22.86</v>
      </c>
    </row>
    <row r="6" spans="1:14" ht="20.100000000000001" customHeight="1">
      <c r="A6" s="738" t="s">
        <v>854</v>
      </c>
      <c r="B6" s="711">
        <v>42486</v>
      </c>
      <c r="C6" s="736">
        <v>13.01</v>
      </c>
      <c r="D6" s="711">
        <v>53859</v>
      </c>
      <c r="E6" s="736">
        <v>15.91</v>
      </c>
      <c r="F6" s="711">
        <v>63185</v>
      </c>
      <c r="G6" s="736">
        <v>17.84</v>
      </c>
      <c r="H6" s="711">
        <v>71519</v>
      </c>
      <c r="I6" s="736">
        <v>19.809999999999999</v>
      </c>
      <c r="J6" s="711">
        <v>71071</v>
      </c>
      <c r="K6" s="736">
        <v>19.66</v>
      </c>
    </row>
    <row r="7" spans="1:14" ht="20.100000000000001" customHeight="1">
      <c r="A7" s="724" t="s">
        <v>855</v>
      </c>
      <c r="B7" s="711">
        <v>51905</v>
      </c>
      <c r="C7" s="736">
        <v>15.9</v>
      </c>
      <c r="D7" s="711">
        <v>54863</v>
      </c>
      <c r="E7" s="736">
        <v>16.21</v>
      </c>
      <c r="F7" s="711">
        <v>57976</v>
      </c>
      <c r="G7" s="736">
        <v>16.37</v>
      </c>
      <c r="H7" s="711">
        <v>59361</v>
      </c>
      <c r="I7" s="736">
        <v>16.440000000000001</v>
      </c>
      <c r="J7" s="711">
        <v>63713</v>
      </c>
      <c r="K7" s="736">
        <v>17.63</v>
      </c>
    </row>
    <row r="8" spans="1:14" ht="20.100000000000001" customHeight="1">
      <c r="A8" s="724" t="s">
        <v>856</v>
      </c>
      <c r="B8" s="711">
        <v>41004</v>
      </c>
      <c r="C8" s="736">
        <v>12.56</v>
      </c>
      <c r="D8" s="711">
        <v>42037</v>
      </c>
      <c r="E8" s="736">
        <v>12.42</v>
      </c>
      <c r="F8" s="711">
        <v>43682</v>
      </c>
      <c r="G8" s="736">
        <v>12.33</v>
      </c>
      <c r="H8" s="711">
        <v>44451</v>
      </c>
      <c r="I8" s="736">
        <v>12.31</v>
      </c>
      <c r="J8" s="711">
        <v>45840</v>
      </c>
      <c r="K8" s="736">
        <v>12.68</v>
      </c>
    </row>
    <row r="9" spans="1:14" ht="20.100000000000001" customHeight="1">
      <c r="A9" s="724" t="s">
        <v>857</v>
      </c>
      <c r="B9" s="711">
        <v>12735</v>
      </c>
      <c r="C9" s="736">
        <v>3.9</v>
      </c>
      <c r="D9" s="711">
        <v>13997</v>
      </c>
      <c r="E9" s="736">
        <v>4.13</v>
      </c>
      <c r="F9" s="711">
        <v>14845</v>
      </c>
      <c r="G9" s="736">
        <v>4.1900000000000004</v>
      </c>
      <c r="H9" s="711">
        <v>15426</v>
      </c>
      <c r="I9" s="736">
        <v>4.2699999999999996</v>
      </c>
      <c r="J9" s="711">
        <v>15549</v>
      </c>
      <c r="K9" s="736">
        <v>4.3</v>
      </c>
      <c r="N9" s="670" t="s">
        <v>858</v>
      </c>
    </row>
    <row r="10" spans="1:14" ht="20.100000000000001" customHeight="1">
      <c r="A10" s="724" t="s">
        <v>859</v>
      </c>
      <c r="B10" s="711">
        <v>7678</v>
      </c>
      <c r="C10" s="736">
        <v>2.35</v>
      </c>
      <c r="D10" s="711">
        <v>11688</v>
      </c>
      <c r="E10" s="736">
        <v>3.45</v>
      </c>
      <c r="F10" s="711">
        <v>13917</v>
      </c>
      <c r="G10" s="736">
        <v>3.93</v>
      </c>
      <c r="H10" s="711">
        <v>14623</v>
      </c>
      <c r="I10" s="736">
        <v>4.05</v>
      </c>
      <c r="J10" s="711">
        <v>15433</v>
      </c>
      <c r="K10" s="736">
        <v>4.2699999999999996</v>
      </c>
    </row>
    <row r="11" spans="1:14" ht="20.100000000000001" customHeight="1">
      <c r="A11" s="724" t="s">
        <v>860</v>
      </c>
      <c r="B11" s="711">
        <v>9127</v>
      </c>
      <c r="C11" s="736">
        <v>2.8</v>
      </c>
      <c r="D11" s="711">
        <v>9949</v>
      </c>
      <c r="E11" s="736">
        <v>2.94</v>
      </c>
      <c r="F11" s="711">
        <v>12048</v>
      </c>
      <c r="G11" s="736">
        <v>3.4</v>
      </c>
      <c r="H11" s="711">
        <v>13517</v>
      </c>
      <c r="I11" s="736">
        <v>3.74</v>
      </c>
      <c r="J11" s="711">
        <v>14123</v>
      </c>
      <c r="K11" s="736">
        <v>3.91</v>
      </c>
    </row>
    <row r="12" spans="1:14" ht="20.100000000000001" customHeight="1">
      <c r="A12" s="724" t="s">
        <v>861</v>
      </c>
      <c r="B12" s="711">
        <v>5850</v>
      </c>
      <c r="C12" s="736">
        <v>1.79</v>
      </c>
      <c r="D12" s="711">
        <v>6839</v>
      </c>
      <c r="E12" s="736">
        <v>2.02</v>
      </c>
      <c r="F12" s="711">
        <v>7375</v>
      </c>
      <c r="G12" s="736">
        <v>2.08</v>
      </c>
      <c r="H12" s="711">
        <v>7740</v>
      </c>
      <c r="I12" s="736">
        <v>2.14</v>
      </c>
      <c r="J12" s="711">
        <v>8352</v>
      </c>
      <c r="K12" s="736">
        <v>2.31</v>
      </c>
    </row>
    <row r="13" spans="1:14" ht="20.100000000000001" customHeight="1">
      <c r="A13" s="724" t="s">
        <v>862</v>
      </c>
      <c r="B13" s="711">
        <v>9063</v>
      </c>
      <c r="C13" s="736">
        <v>2.78</v>
      </c>
      <c r="D13" s="711">
        <v>8969</v>
      </c>
      <c r="E13" s="736">
        <v>2.65</v>
      </c>
      <c r="F13" s="711">
        <v>9225</v>
      </c>
      <c r="G13" s="736">
        <v>2.6</v>
      </c>
      <c r="H13" s="711">
        <v>8671</v>
      </c>
      <c r="I13" s="736">
        <v>2.4</v>
      </c>
      <c r="J13" s="711">
        <v>8270</v>
      </c>
      <c r="K13" s="736">
        <v>2.29</v>
      </c>
    </row>
    <row r="14" spans="1:14" ht="20.100000000000001" customHeight="1">
      <c r="A14" s="724" t="s">
        <v>863</v>
      </c>
      <c r="B14" s="711">
        <v>5874</v>
      </c>
      <c r="C14" s="736">
        <v>1.8</v>
      </c>
      <c r="D14" s="711">
        <v>6167</v>
      </c>
      <c r="E14" s="736">
        <v>1.82</v>
      </c>
      <c r="F14" s="711">
        <v>5880</v>
      </c>
      <c r="G14" s="736">
        <v>1.66</v>
      </c>
      <c r="H14" s="711">
        <v>5621</v>
      </c>
      <c r="I14" s="736">
        <v>1.56</v>
      </c>
      <c r="J14" s="711">
        <v>5700</v>
      </c>
      <c r="K14" s="736">
        <v>1.58</v>
      </c>
    </row>
    <row r="15" spans="1:14" ht="20.100000000000001" customHeight="1">
      <c r="A15" s="724" t="s">
        <v>864</v>
      </c>
      <c r="B15" s="711">
        <v>7307</v>
      </c>
      <c r="C15" s="736">
        <v>2.2400000000000002</v>
      </c>
      <c r="D15" s="711">
        <v>7720</v>
      </c>
      <c r="E15" s="736">
        <v>2.2799999999999998</v>
      </c>
      <c r="F15" s="711">
        <v>7449</v>
      </c>
      <c r="G15" s="736">
        <v>2.1</v>
      </c>
      <c r="H15" s="711">
        <v>5927</v>
      </c>
      <c r="I15" s="736">
        <v>1.64</v>
      </c>
      <c r="J15" s="711">
        <v>5178</v>
      </c>
      <c r="K15" s="736">
        <v>1.43</v>
      </c>
    </row>
    <row r="16" spans="1:14" ht="20.100000000000001" customHeight="1">
      <c r="A16" s="724" t="s">
        <v>865</v>
      </c>
      <c r="B16" s="711">
        <v>4566</v>
      </c>
      <c r="C16" s="736">
        <v>1.4</v>
      </c>
      <c r="D16" s="711">
        <v>4526</v>
      </c>
      <c r="E16" s="736">
        <v>1.34</v>
      </c>
      <c r="F16" s="711">
        <v>4265</v>
      </c>
      <c r="G16" s="736">
        <v>1.2</v>
      </c>
      <c r="H16" s="711">
        <v>4254</v>
      </c>
      <c r="I16" s="736">
        <v>1.18</v>
      </c>
      <c r="J16" s="711">
        <v>4472</v>
      </c>
      <c r="K16" s="736">
        <v>1.24</v>
      </c>
    </row>
    <row r="17" spans="1:11" ht="20.100000000000001" customHeight="1">
      <c r="A17" s="724" t="s">
        <v>866</v>
      </c>
      <c r="B17" s="711">
        <v>4583</v>
      </c>
      <c r="C17" s="736">
        <v>1.4</v>
      </c>
      <c r="D17" s="711">
        <v>4393</v>
      </c>
      <c r="E17" s="736">
        <v>1.3</v>
      </c>
      <c r="F17" s="711">
        <v>4329</v>
      </c>
      <c r="G17" s="736">
        <v>1.22</v>
      </c>
      <c r="H17" s="711">
        <v>4291</v>
      </c>
      <c r="I17" s="736">
        <v>1.19</v>
      </c>
      <c r="J17" s="711">
        <v>4182</v>
      </c>
      <c r="K17" s="736">
        <v>1.1599999999999999</v>
      </c>
    </row>
    <row r="18" spans="1:11" ht="20.100000000000001" customHeight="1">
      <c r="A18" s="738" t="s">
        <v>867</v>
      </c>
      <c r="B18" s="711">
        <v>4245</v>
      </c>
      <c r="C18" s="736">
        <v>1.3</v>
      </c>
      <c r="D18" s="711">
        <v>4114</v>
      </c>
      <c r="E18" s="736">
        <v>1.22</v>
      </c>
      <c r="F18" s="711">
        <v>3558</v>
      </c>
      <c r="G18" s="736">
        <v>1</v>
      </c>
      <c r="H18" s="711">
        <v>3306</v>
      </c>
      <c r="I18" s="736">
        <v>0.92</v>
      </c>
      <c r="J18" s="711">
        <v>3486</v>
      </c>
      <c r="K18" s="736">
        <v>0.96</v>
      </c>
    </row>
    <row r="19" spans="1:11" s="739" customFormat="1" ht="20.100000000000001" customHeight="1">
      <c r="A19" s="724" t="s">
        <v>868</v>
      </c>
      <c r="B19" s="711">
        <v>2126</v>
      </c>
      <c r="C19" s="736">
        <v>0.65</v>
      </c>
      <c r="D19" s="711">
        <v>2321</v>
      </c>
      <c r="E19" s="736">
        <v>0.69</v>
      </c>
      <c r="F19" s="711">
        <v>2493</v>
      </c>
      <c r="G19" s="736">
        <v>0.7</v>
      </c>
      <c r="H19" s="711">
        <v>2515</v>
      </c>
      <c r="I19" s="736">
        <v>0.7</v>
      </c>
      <c r="J19" s="711">
        <v>2458</v>
      </c>
      <c r="K19" s="736">
        <v>0.68</v>
      </c>
    </row>
    <row r="20" spans="1:11" s="739" customFormat="1" ht="20.100000000000001" customHeight="1">
      <c r="A20" s="724" t="s">
        <v>869</v>
      </c>
      <c r="B20" s="711">
        <v>2066</v>
      </c>
      <c r="C20" s="736">
        <v>0.63</v>
      </c>
      <c r="D20" s="711">
        <v>2028</v>
      </c>
      <c r="E20" s="736">
        <v>0.6</v>
      </c>
      <c r="F20" s="711">
        <v>2098</v>
      </c>
      <c r="G20" s="736">
        <v>0.59</v>
      </c>
      <c r="H20" s="711">
        <v>1979</v>
      </c>
      <c r="I20" s="736">
        <v>0.55000000000000004</v>
      </c>
      <c r="J20" s="711">
        <v>1993</v>
      </c>
      <c r="K20" s="736">
        <v>0.55000000000000004</v>
      </c>
    </row>
    <row r="21" spans="1:11" ht="20.100000000000001" customHeight="1">
      <c r="A21" s="724" t="s">
        <v>870</v>
      </c>
      <c r="B21" s="711">
        <v>2944</v>
      </c>
      <c r="C21" s="736">
        <v>0.9</v>
      </c>
      <c r="D21" s="711">
        <v>2367</v>
      </c>
      <c r="E21" s="736">
        <v>0.7</v>
      </c>
      <c r="F21" s="711">
        <v>2240</v>
      </c>
      <c r="G21" s="736">
        <v>0.63</v>
      </c>
      <c r="H21" s="711">
        <v>2177</v>
      </c>
      <c r="I21" s="736">
        <v>0.6</v>
      </c>
      <c r="J21" s="711">
        <v>1891</v>
      </c>
      <c r="K21" s="736">
        <v>0.52</v>
      </c>
    </row>
    <row r="22" spans="1:11" ht="20.100000000000001" customHeight="1">
      <c r="A22" s="724" t="s">
        <v>871</v>
      </c>
      <c r="B22" s="711">
        <v>4769</v>
      </c>
      <c r="C22" s="736">
        <v>1.46</v>
      </c>
      <c r="D22" s="711">
        <v>1866</v>
      </c>
      <c r="E22" s="736">
        <v>0.55000000000000004</v>
      </c>
      <c r="F22" s="711">
        <v>1425</v>
      </c>
      <c r="G22" s="736">
        <v>0.4</v>
      </c>
      <c r="H22" s="711">
        <v>1299</v>
      </c>
      <c r="I22" s="736">
        <v>0.36</v>
      </c>
      <c r="J22" s="711">
        <v>1411</v>
      </c>
      <c r="K22" s="736">
        <v>0.39</v>
      </c>
    </row>
    <row r="23" spans="1:11" ht="20.100000000000001" customHeight="1">
      <c r="A23" s="724" t="s">
        <v>872</v>
      </c>
      <c r="B23" s="711">
        <v>947</v>
      </c>
      <c r="C23" s="736">
        <v>0.28999999999999998</v>
      </c>
      <c r="D23" s="711">
        <v>871</v>
      </c>
      <c r="E23" s="736">
        <v>0.26</v>
      </c>
      <c r="F23" s="711">
        <v>930</v>
      </c>
      <c r="G23" s="736">
        <v>0.26</v>
      </c>
      <c r="H23" s="711">
        <v>1102</v>
      </c>
      <c r="I23" s="736">
        <v>0.31</v>
      </c>
      <c r="J23" s="711">
        <v>1342</v>
      </c>
      <c r="K23" s="736">
        <v>0.37</v>
      </c>
    </row>
    <row r="24" spans="1:11" ht="20.100000000000001" customHeight="1">
      <c r="A24" s="724" t="s">
        <v>873</v>
      </c>
      <c r="B24" s="711">
        <v>1142</v>
      </c>
      <c r="C24" s="736">
        <v>0.35</v>
      </c>
      <c r="D24" s="711">
        <v>1180</v>
      </c>
      <c r="E24" s="736">
        <v>0.35</v>
      </c>
      <c r="F24" s="711">
        <v>1074</v>
      </c>
      <c r="G24" s="736">
        <v>0.3</v>
      </c>
      <c r="H24" s="711">
        <v>858</v>
      </c>
      <c r="I24" s="736">
        <v>0.24</v>
      </c>
      <c r="J24" s="711">
        <v>796</v>
      </c>
      <c r="K24" s="736">
        <v>0.22</v>
      </c>
    </row>
    <row r="25" spans="1:11" ht="20.100000000000001" customHeight="1">
      <c r="A25" s="725" t="s">
        <v>829</v>
      </c>
      <c r="B25" s="726">
        <v>4129</v>
      </c>
      <c r="C25" s="740">
        <v>1.26</v>
      </c>
      <c r="D25" s="726">
        <v>3301</v>
      </c>
      <c r="E25" s="740">
        <v>0.98</v>
      </c>
      <c r="F25" s="726">
        <v>3150</v>
      </c>
      <c r="G25" s="740">
        <v>0.89</v>
      </c>
      <c r="H25" s="726">
        <v>3822</v>
      </c>
      <c r="I25" s="740">
        <v>1.06</v>
      </c>
      <c r="J25" s="726">
        <v>3560</v>
      </c>
      <c r="K25" s="740">
        <v>0.98</v>
      </c>
    </row>
    <row r="26" spans="1:11" s="731" customFormat="1" ht="14.25">
      <c r="A26" s="741" t="s">
        <v>784</v>
      </c>
    </row>
    <row r="28" spans="1:11">
      <c r="B28" s="742"/>
      <c r="C28" s="742"/>
      <c r="D28" s="742"/>
      <c r="E28" s="742"/>
      <c r="F28" s="742"/>
      <c r="G28" s="742"/>
      <c r="H28" s="742"/>
      <c r="I28" s="742"/>
      <c r="J28" s="742"/>
      <c r="K28" s="742"/>
    </row>
  </sheetData>
  <mergeCells count="7">
    <mergeCell ref="A1:K1"/>
    <mergeCell ref="A2:A3"/>
    <mergeCell ref="B2:C2"/>
    <mergeCell ref="D2:E2"/>
    <mergeCell ref="F2:G2"/>
    <mergeCell ref="H2:I2"/>
    <mergeCell ref="J2:K2"/>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2" orientation="landscape" r:id="rId1"/>
  <headerFooter differentOddEven="1" scaleWithDoc="0">
    <oddHeader>&amp;L&amp;"Times New Roman,標準"&amp;8 107&amp;"標楷體,標準"年犯罪狀況及其分析</oddHeader>
    <evenHeader>&amp;R&amp;"標楷體,標準"&amp;8第二篇　犯罪之處理</even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I18"/>
  <sheetViews>
    <sheetView showGridLines="0" workbookViewId="0">
      <selection activeCell="F28" sqref="F28"/>
    </sheetView>
  </sheetViews>
  <sheetFormatPr defaultColWidth="9" defaultRowHeight="15.75"/>
  <cols>
    <col min="1" max="1" width="7.5" style="168" customWidth="1"/>
    <col min="2" max="5" width="13.125" style="9" customWidth="1"/>
    <col min="6" max="9" width="11.625" style="9" customWidth="1"/>
    <col min="10" max="16384" width="9" style="9"/>
  </cols>
  <sheetData>
    <row r="1" spans="1:9" s="14" customFormat="1" ht="20.25">
      <c r="A1" s="2821" t="s">
        <v>166</v>
      </c>
      <c r="B1" s="2821"/>
      <c r="C1" s="2821"/>
      <c r="D1" s="2821"/>
      <c r="E1" s="2821"/>
      <c r="F1" s="2821"/>
      <c r="G1" s="2821"/>
      <c r="H1" s="2821"/>
      <c r="I1" s="2821"/>
    </row>
    <row r="2" spans="1:9" s="14" customFormat="1">
      <c r="A2" s="37"/>
      <c r="B2" s="2"/>
      <c r="C2" s="2"/>
      <c r="D2" s="2"/>
      <c r="E2" s="2"/>
      <c r="F2" s="2"/>
      <c r="G2" s="2834" t="s">
        <v>167</v>
      </c>
      <c r="H2" s="2834"/>
      <c r="I2" s="2834"/>
    </row>
    <row r="3" spans="1:9" s="14" customFormat="1" ht="16.5" customHeight="1">
      <c r="A3" s="2823"/>
      <c r="B3" s="384" t="s">
        <v>168</v>
      </c>
      <c r="C3" s="15"/>
      <c r="D3" s="15"/>
      <c r="E3" s="2826" t="s">
        <v>169</v>
      </c>
      <c r="F3" s="2827"/>
      <c r="G3" s="2827"/>
      <c r="H3" s="2827"/>
      <c r="I3" s="2827"/>
    </row>
    <row r="4" spans="1:9" s="14" customFormat="1">
      <c r="A4" s="2824"/>
      <c r="B4" s="2835" t="s">
        <v>21</v>
      </c>
      <c r="C4" s="2828" t="s">
        <v>170</v>
      </c>
      <c r="D4" s="2828" t="s">
        <v>171</v>
      </c>
      <c r="E4" s="2829" t="s">
        <v>172</v>
      </c>
      <c r="F4" s="2831" t="s">
        <v>173</v>
      </c>
      <c r="G4" s="2832"/>
      <c r="H4" s="2831" t="s">
        <v>171</v>
      </c>
      <c r="I4" s="2833"/>
    </row>
    <row r="5" spans="1:9" s="14" customFormat="1" ht="15" customHeight="1">
      <c r="A5" s="2825"/>
      <c r="B5" s="2836"/>
      <c r="C5" s="2828"/>
      <c r="D5" s="2828"/>
      <c r="E5" s="2830"/>
      <c r="F5" s="16" t="s">
        <v>174</v>
      </c>
      <c r="G5" s="16" t="s">
        <v>0</v>
      </c>
      <c r="H5" s="16" t="s">
        <v>174</v>
      </c>
      <c r="I5" s="253" t="s">
        <v>0</v>
      </c>
    </row>
    <row r="6" spans="1:9" s="14" customFormat="1" ht="2.25" hidden="1" customHeight="1">
      <c r="A6" s="110" t="s">
        <v>175</v>
      </c>
      <c r="B6" s="17">
        <v>22646836</v>
      </c>
      <c r="C6" s="17">
        <v>11528324</v>
      </c>
      <c r="D6" s="17">
        <v>11118512</v>
      </c>
      <c r="E6" s="18">
        <v>176975</v>
      </c>
      <c r="F6" s="18">
        <v>150376</v>
      </c>
      <c r="G6" s="19">
        <v>0.84970193530159632</v>
      </c>
      <c r="H6" s="18">
        <v>26599</v>
      </c>
      <c r="I6" s="19">
        <v>0.15029806469840373</v>
      </c>
    </row>
    <row r="7" spans="1:9" s="14" customFormat="1" hidden="1">
      <c r="A7" s="114" t="s">
        <v>176</v>
      </c>
      <c r="B7" s="20">
        <v>22823455</v>
      </c>
      <c r="C7" s="20">
        <v>11577074</v>
      </c>
      <c r="D7" s="20">
        <v>11246382</v>
      </c>
      <c r="E7" s="21">
        <v>229193</v>
      </c>
      <c r="F7" s="21">
        <v>189495</v>
      </c>
      <c r="G7" s="45">
        <f>F7/E7*100</f>
        <v>82.679226677952641</v>
      </c>
      <c r="H7" s="21">
        <v>39698</v>
      </c>
      <c r="I7" s="45">
        <f>H7/E7*100</f>
        <v>17.320773322047359</v>
      </c>
    </row>
    <row r="8" spans="1:9" s="14" customFormat="1" ht="18.75" customHeight="1">
      <c r="A8" s="118" t="s">
        <v>17</v>
      </c>
      <c r="B8" s="385">
        <v>23140948</v>
      </c>
      <c r="C8" s="385">
        <v>11635980</v>
      </c>
      <c r="D8" s="385">
        <v>11504968</v>
      </c>
      <c r="E8" s="385">
        <v>269340</v>
      </c>
      <c r="F8" s="385">
        <v>219709</v>
      </c>
      <c r="G8" s="62">
        <f t="shared" ref="G8:G17" si="0">F8/E8*100</f>
        <v>81.573104626123111</v>
      </c>
      <c r="H8" s="385">
        <v>49631</v>
      </c>
      <c r="I8" s="45">
        <f t="shared" ref="I8:I17" si="1">H8/E8*100</f>
        <v>18.426895373876885</v>
      </c>
    </row>
    <row r="9" spans="1:9" s="14" customFormat="1" ht="18.75" customHeight="1">
      <c r="A9" s="118" t="s">
        <v>18</v>
      </c>
      <c r="B9" s="385">
        <v>23193518</v>
      </c>
      <c r="C9" s="385">
        <v>11640450</v>
      </c>
      <c r="D9" s="385">
        <v>11553068</v>
      </c>
      <c r="E9" s="385">
        <v>260356</v>
      </c>
      <c r="F9" s="385">
        <v>212981</v>
      </c>
      <c r="G9" s="62">
        <f t="shared" si="0"/>
        <v>81.803761004163533</v>
      </c>
      <c r="H9" s="385">
        <v>47375</v>
      </c>
      <c r="I9" s="45">
        <f t="shared" si="1"/>
        <v>18.19623899583647</v>
      </c>
    </row>
    <row r="10" spans="1:9" s="14" customFormat="1" ht="18.75" customHeight="1">
      <c r="A10" s="118" t="s">
        <v>19</v>
      </c>
      <c r="B10" s="385">
        <v>23270367</v>
      </c>
      <c r="C10" s="385">
        <v>11659497</v>
      </c>
      <c r="D10" s="385">
        <v>11610871</v>
      </c>
      <c r="E10" s="385">
        <v>262058</v>
      </c>
      <c r="F10" s="385">
        <v>213949</v>
      </c>
      <c r="G10" s="62">
        <f t="shared" si="0"/>
        <v>81.641850277419508</v>
      </c>
      <c r="H10" s="385">
        <v>48109</v>
      </c>
      <c r="I10" s="45">
        <f t="shared" si="1"/>
        <v>18.358149722580496</v>
      </c>
    </row>
    <row r="11" spans="1:9" s="14" customFormat="1" ht="18.75" customHeight="1">
      <c r="A11" s="114" t="s">
        <v>177</v>
      </c>
      <c r="B11" s="81">
        <v>23344669.5</v>
      </c>
      <c r="C11" s="81">
        <v>11678996.5</v>
      </c>
      <c r="D11" s="81">
        <v>11665673</v>
      </c>
      <c r="E11" s="81">
        <v>255310</v>
      </c>
      <c r="F11" s="81">
        <v>209222</v>
      </c>
      <c r="G11" s="62">
        <f t="shared" si="0"/>
        <v>81.948219811209896</v>
      </c>
      <c r="H11" s="81">
        <v>46088</v>
      </c>
      <c r="I11" s="45">
        <f t="shared" si="1"/>
        <v>18.051780188790097</v>
      </c>
    </row>
    <row r="12" spans="1:9" s="14" customFormat="1" ht="18.75" customHeight="1">
      <c r="A12" s="114" t="s">
        <v>178</v>
      </c>
      <c r="B12" s="81">
        <v>23403635</v>
      </c>
      <c r="C12" s="81">
        <v>11691322.5</v>
      </c>
      <c r="D12" s="81">
        <v>11712312.5</v>
      </c>
      <c r="E12" s="81">
        <v>261603</v>
      </c>
      <c r="F12" s="81">
        <v>214701</v>
      </c>
      <c r="G12" s="62">
        <f t="shared" si="0"/>
        <v>82.071306521714206</v>
      </c>
      <c r="H12" s="81">
        <v>46902</v>
      </c>
      <c r="I12" s="45">
        <f t="shared" si="1"/>
        <v>17.928693478285798</v>
      </c>
    </row>
    <row r="13" spans="1:9" s="14" customFormat="1" ht="18.75" customHeight="1">
      <c r="A13" s="114" t="s">
        <v>179</v>
      </c>
      <c r="B13" s="385">
        <v>23462914</v>
      </c>
      <c r="C13" s="385">
        <v>11705009</v>
      </c>
      <c r="D13" s="385">
        <v>11757905</v>
      </c>
      <c r="E13" s="385">
        <v>269296</v>
      </c>
      <c r="F13" s="385">
        <v>221904</v>
      </c>
      <c r="G13" s="62">
        <f t="shared" si="0"/>
        <v>82.401521002911295</v>
      </c>
      <c r="H13" s="385">
        <v>47392</v>
      </c>
      <c r="I13" s="45">
        <f t="shared" si="1"/>
        <v>17.598478997088705</v>
      </c>
    </row>
    <row r="14" spans="1:9" s="14" customFormat="1" ht="18.75" customHeight="1">
      <c r="A14" s="114" t="s">
        <v>180</v>
      </c>
      <c r="B14" s="385">
        <v>23515945</v>
      </c>
      <c r="C14" s="385">
        <v>11715659</v>
      </c>
      <c r="D14" s="385">
        <v>11800287</v>
      </c>
      <c r="E14" s="385">
        <v>272817</v>
      </c>
      <c r="F14" s="385">
        <v>224383</v>
      </c>
      <c r="G14" s="62">
        <f t="shared" si="0"/>
        <v>82.246707499899202</v>
      </c>
      <c r="H14" s="385">
        <v>48434</v>
      </c>
      <c r="I14" s="45">
        <f t="shared" si="1"/>
        <v>17.753292500100802</v>
      </c>
    </row>
    <row r="15" spans="1:9" s="14" customFormat="1" ht="18.75" customHeight="1">
      <c r="A15" s="114" t="s">
        <v>181</v>
      </c>
      <c r="B15" s="385">
        <v>23555522</v>
      </c>
      <c r="C15" s="385">
        <v>11719425</v>
      </c>
      <c r="D15" s="385">
        <v>11836097</v>
      </c>
      <c r="E15" s="385">
        <v>287294</v>
      </c>
      <c r="F15" s="385">
        <v>235388</v>
      </c>
      <c r="G15" s="62">
        <f t="shared" si="0"/>
        <v>81.932793584272559</v>
      </c>
      <c r="H15" s="385">
        <v>51906</v>
      </c>
      <c r="I15" s="45">
        <f t="shared" si="1"/>
        <v>18.067206415727444</v>
      </c>
    </row>
    <row r="16" spans="1:9" s="14" customFormat="1" ht="18.75" customHeight="1">
      <c r="A16" s="114" t="s">
        <v>182</v>
      </c>
      <c r="B16" s="386">
        <v>23580079.5</v>
      </c>
      <c r="C16" s="386">
        <v>11716246.5</v>
      </c>
      <c r="D16" s="386">
        <v>11863833</v>
      </c>
      <c r="E16" s="385">
        <v>291621</v>
      </c>
      <c r="F16" s="386">
        <v>236308</v>
      </c>
      <c r="G16" s="62">
        <f t="shared" si="0"/>
        <v>81.032573100016805</v>
      </c>
      <c r="H16" s="386">
        <v>55313</v>
      </c>
      <c r="I16" s="45">
        <f t="shared" si="1"/>
        <v>18.967426899983199</v>
      </c>
    </row>
    <row r="17" spans="1:9" s="14" customFormat="1" ht="18.75" customHeight="1">
      <c r="A17" s="131" t="s">
        <v>183</v>
      </c>
      <c r="B17" s="387">
        <v>23596026.5</v>
      </c>
      <c r="C17" s="387">
        <v>11709049.5</v>
      </c>
      <c r="D17" s="387">
        <v>11886977</v>
      </c>
      <c r="E17" s="388">
        <v>277664</v>
      </c>
      <c r="F17" s="387">
        <v>224434</v>
      </c>
      <c r="G17" s="65">
        <f t="shared" si="0"/>
        <v>80.829347700818261</v>
      </c>
      <c r="H17" s="387">
        <v>53230</v>
      </c>
      <c r="I17" s="66">
        <f t="shared" si="1"/>
        <v>19.170652299181747</v>
      </c>
    </row>
    <row r="18" spans="1:9" s="14" customFormat="1">
      <c r="A18" s="167" t="s">
        <v>65</v>
      </c>
      <c r="B18" s="2"/>
      <c r="C18" s="2"/>
      <c r="D18" s="2"/>
      <c r="E18" s="2"/>
      <c r="F18" s="2"/>
      <c r="G18" s="2"/>
      <c r="H18" s="2"/>
      <c r="I18" s="2"/>
    </row>
  </sheetData>
  <sortState ref="A8:I17">
    <sortCondition descending="1" ref="A8"/>
  </sortState>
  <mergeCells count="10">
    <mergeCell ref="A1:I1"/>
    <mergeCell ref="A3:A5"/>
    <mergeCell ref="E3:I3"/>
    <mergeCell ref="C4:C5"/>
    <mergeCell ref="D4:D5"/>
    <mergeCell ref="E4:E5"/>
    <mergeCell ref="F4:G4"/>
    <mergeCell ref="H4:I4"/>
    <mergeCell ref="G2:I2"/>
    <mergeCell ref="B4:B5"/>
  </mergeCells>
  <phoneticPr fontId="6" type="noConversion"/>
  <printOptions horizontalCentered="1" verticalCentered="1"/>
  <pageMargins left="0.70866141732283472" right="0.70866141732283472" top="0.74803149606299213" bottom="0.74803149606299213" header="0.31496062992125984" footer="0.31496062992125984"/>
  <pageSetup paperSize="11" scale="81" orientation="landscape" r:id="rId1"/>
  <headerFooter differentOddEven="1" scaleWithDoc="0">
    <oddHeader>&amp;L&amp;"Times New Roman,標準"&amp;8 107&amp;"標楷體,標準"年犯罪狀況及其分析</oddHeader>
    <evenHeader>&amp;R&amp;"標楷體,標準"&amp;8第一篇　&amp;"Times New Roman,標準"107&amp;"標楷體,標準"年犯罪狀況及近&amp;"Times New Roman,標準"10&amp;"標楷體,標準"年犯罪趨勢分析</even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K27"/>
  <sheetViews>
    <sheetView showGridLines="0" zoomScale="90" zoomScaleNormal="90" workbookViewId="0">
      <selection activeCell="B16" sqref="B16"/>
    </sheetView>
  </sheetViews>
  <sheetFormatPr defaultColWidth="9" defaultRowHeight="15.75"/>
  <cols>
    <col min="1" max="1" width="34.25" style="687" customWidth="1"/>
    <col min="2" max="2" width="9" style="687"/>
    <col min="3" max="9" width="9" style="687" customWidth="1"/>
    <col min="10" max="10" width="9" style="687"/>
    <col min="11" max="11" width="9" style="687" customWidth="1"/>
    <col min="12" max="16384" width="9" style="687"/>
  </cols>
  <sheetData>
    <row r="1" spans="1:11" ht="24" customHeight="1">
      <c r="A1" s="2967" t="s">
        <v>874</v>
      </c>
      <c r="B1" s="2967"/>
      <c r="C1" s="2967"/>
      <c r="D1" s="2967"/>
      <c r="E1" s="2967"/>
      <c r="F1" s="2967"/>
      <c r="G1" s="2967"/>
      <c r="H1" s="2967"/>
      <c r="I1" s="2967"/>
      <c r="J1" s="2967"/>
      <c r="K1" s="2967"/>
    </row>
    <row r="2" spans="1:11" ht="24.95" customHeight="1">
      <c r="A2" s="2969"/>
      <c r="B2" s="3013" t="s">
        <v>875</v>
      </c>
      <c r="C2" s="3014"/>
      <c r="D2" s="3015" t="s">
        <v>876</v>
      </c>
      <c r="E2" s="3014"/>
      <c r="F2" s="3015" t="s">
        <v>877</v>
      </c>
      <c r="G2" s="3014"/>
      <c r="H2" s="3015" t="s">
        <v>878</v>
      </c>
      <c r="I2" s="3014"/>
      <c r="J2" s="3015" t="s">
        <v>879</v>
      </c>
      <c r="K2" s="3013"/>
    </row>
    <row r="3" spans="1:11" ht="24.95" customHeight="1">
      <c r="A3" s="2971"/>
      <c r="B3" s="676" t="s">
        <v>880</v>
      </c>
      <c r="C3" s="743" t="s">
        <v>0</v>
      </c>
      <c r="D3" s="678" t="s">
        <v>880</v>
      </c>
      <c r="E3" s="743" t="s">
        <v>0</v>
      </c>
      <c r="F3" s="678" t="s">
        <v>880</v>
      </c>
      <c r="G3" s="743" t="s">
        <v>0</v>
      </c>
      <c r="H3" s="678" t="s">
        <v>880</v>
      </c>
      <c r="I3" s="743" t="s">
        <v>0</v>
      </c>
      <c r="J3" s="678" t="s">
        <v>880</v>
      </c>
      <c r="K3" s="743" t="s">
        <v>0</v>
      </c>
    </row>
    <row r="4" spans="1:11" s="670" customFormat="1" ht="21.95" customHeight="1">
      <c r="A4" s="744" t="s">
        <v>881</v>
      </c>
      <c r="B4" s="745">
        <v>105693</v>
      </c>
      <c r="C4" s="746">
        <v>100</v>
      </c>
      <c r="D4" s="745">
        <v>120682</v>
      </c>
      <c r="E4" s="746">
        <v>100</v>
      </c>
      <c r="F4" s="745">
        <v>128236</v>
      </c>
      <c r="G4" s="746">
        <v>100</v>
      </c>
      <c r="H4" s="745">
        <v>125672</v>
      </c>
      <c r="I4" s="746">
        <v>100</v>
      </c>
      <c r="J4" s="745">
        <v>109460</v>
      </c>
      <c r="K4" s="736">
        <v>100</v>
      </c>
    </row>
    <row r="5" spans="1:11" s="670" customFormat="1" ht="21.95" customHeight="1">
      <c r="A5" s="744" t="s">
        <v>882</v>
      </c>
      <c r="B5" s="745">
        <v>75620</v>
      </c>
      <c r="C5" s="747">
        <v>71.546838485046322</v>
      </c>
      <c r="D5" s="745">
        <v>89038</v>
      </c>
      <c r="E5" s="747">
        <v>73.77902255514492</v>
      </c>
      <c r="F5" s="745">
        <v>95705</v>
      </c>
      <c r="G5" s="747">
        <v>74.631928631585509</v>
      </c>
      <c r="H5" s="745">
        <v>92943</v>
      </c>
      <c r="I5" s="747">
        <v>73.956808199121525</v>
      </c>
      <c r="J5" s="745">
        <v>78692</v>
      </c>
      <c r="K5" s="736">
        <v>71.891101772336924</v>
      </c>
    </row>
    <row r="6" spans="1:11" s="670" customFormat="1" ht="21.95" customHeight="1">
      <c r="A6" s="744" t="s">
        <v>883</v>
      </c>
      <c r="B6" s="745">
        <v>4605</v>
      </c>
      <c r="C6" s="747">
        <v>4.3569583605347564</v>
      </c>
      <c r="D6" s="745">
        <v>5549</v>
      </c>
      <c r="E6" s="747">
        <v>4.5980345039028192</v>
      </c>
      <c r="F6" s="745">
        <v>4437</v>
      </c>
      <c r="G6" s="747">
        <v>3.4600268255404099</v>
      </c>
      <c r="H6" s="745">
        <v>3933</v>
      </c>
      <c r="I6" s="747">
        <v>3.1295754026354317</v>
      </c>
      <c r="J6" s="745">
        <v>4066</v>
      </c>
      <c r="K6" s="736">
        <v>3.7145989402521473</v>
      </c>
    </row>
    <row r="7" spans="1:11" s="670" customFormat="1" ht="21.95" customHeight="1">
      <c r="A7" s="744" t="s">
        <v>884</v>
      </c>
      <c r="B7" s="745">
        <v>3840</v>
      </c>
      <c r="C7" s="747">
        <v>3.6331639749084612</v>
      </c>
      <c r="D7" s="745">
        <v>3829</v>
      </c>
      <c r="E7" s="747">
        <v>3.1728012462504762</v>
      </c>
      <c r="F7" s="745">
        <v>3718</v>
      </c>
      <c r="G7" s="747">
        <v>2.8993418384852929</v>
      </c>
      <c r="H7" s="745">
        <v>4364</v>
      </c>
      <c r="I7" s="747">
        <v>3.4725316697434589</v>
      </c>
      <c r="J7" s="745">
        <v>3661</v>
      </c>
      <c r="K7" s="736">
        <v>3.3446007674036182</v>
      </c>
    </row>
    <row r="8" spans="1:11" s="670" customFormat="1" ht="21.95" customHeight="1">
      <c r="A8" s="744" t="s">
        <v>885</v>
      </c>
      <c r="B8" s="745">
        <v>2379</v>
      </c>
      <c r="C8" s="747">
        <v>2.2508586188300077</v>
      </c>
      <c r="D8" s="745">
        <v>2660</v>
      </c>
      <c r="E8" s="747">
        <v>2.2041398054390879</v>
      </c>
      <c r="F8" s="745">
        <v>3031</v>
      </c>
      <c r="G8" s="747">
        <v>2.3636108425091238</v>
      </c>
      <c r="H8" s="745">
        <v>3004</v>
      </c>
      <c r="I8" s="747">
        <v>2.3903494811891273</v>
      </c>
      <c r="J8" s="745">
        <v>2476</v>
      </c>
      <c r="K8" s="736">
        <v>2.2620135209208843</v>
      </c>
    </row>
    <row r="9" spans="1:11" s="739" customFormat="1" ht="21.95" customHeight="1">
      <c r="A9" s="744" t="s">
        <v>886</v>
      </c>
      <c r="B9" s="745">
        <v>3935</v>
      </c>
      <c r="C9" s="747">
        <v>3.7230469378293738</v>
      </c>
      <c r="D9" s="745">
        <v>3448</v>
      </c>
      <c r="E9" s="747">
        <v>2.8570955072007425</v>
      </c>
      <c r="F9" s="745">
        <v>2835</v>
      </c>
      <c r="G9" s="747">
        <v>2.2107676471505662</v>
      </c>
      <c r="H9" s="745">
        <v>2443</v>
      </c>
      <c r="I9" s="747">
        <v>1.9439493284104652</v>
      </c>
      <c r="J9" s="745">
        <v>2465</v>
      </c>
      <c r="K9" s="736">
        <v>2.2519641878311711</v>
      </c>
    </row>
    <row r="10" spans="1:11" s="670" customFormat="1" ht="21.95" customHeight="1">
      <c r="A10" s="744" t="s">
        <v>887</v>
      </c>
      <c r="B10" s="745">
        <v>1480</v>
      </c>
      <c r="C10" s="747">
        <v>1.4002819486626361</v>
      </c>
      <c r="D10" s="745">
        <v>1785</v>
      </c>
      <c r="E10" s="747">
        <v>1.4790938168078089</v>
      </c>
      <c r="F10" s="745">
        <v>1734</v>
      </c>
      <c r="G10" s="747">
        <v>1.352194391590505</v>
      </c>
      <c r="H10" s="745">
        <v>1658</v>
      </c>
      <c r="I10" s="747">
        <v>1.3193074033993253</v>
      </c>
      <c r="J10" s="745">
        <v>1495</v>
      </c>
      <c r="K10" s="736">
        <v>1.3657957244655583</v>
      </c>
    </row>
    <row r="11" spans="1:11" s="670" customFormat="1" ht="21.95" customHeight="1">
      <c r="A11" s="744" t="s">
        <v>888</v>
      </c>
      <c r="B11" s="745">
        <v>105</v>
      </c>
      <c r="C11" s="747">
        <v>9.9344327438903243E-2</v>
      </c>
      <c r="D11" s="745">
        <v>83</v>
      </c>
      <c r="E11" s="747">
        <v>6.8775790921595595E-2</v>
      </c>
      <c r="F11" s="745">
        <v>102</v>
      </c>
      <c r="G11" s="747">
        <v>7.9540846564147352E-2</v>
      </c>
      <c r="H11" s="745">
        <v>472</v>
      </c>
      <c r="I11" s="747">
        <v>0.37558087720415045</v>
      </c>
      <c r="J11" s="745">
        <v>1164</v>
      </c>
      <c r="K11" s="736">
        <v>1.0634021560387357</v>
      </c>
    </row>
    <row r="12" spans="1:11" s="670" customFormat="1" ht="21.95" customHeight="1">
      <c r="A12" s="744" t="s">
        <v>889</v>
      </c>
      <c r="B12" s="745">
        <v>1037</v>
      </c>
      <c r="C12" s="747">
        <v>0.98114350051564436</v>
      </c>
      <c r="D12" s="745">
        <v>1343</v>
      </c>
      <c r="E12" s="747">
        <v>1.1128420145506372</v>
      </c>
      <c r="F12" s="745">
        <v>1569</v>
      </c>
      <c r="G12" s="747">
        <v>1.2235253750896784</v>
      </c>
      <c r="H12" s="745">
        <v>1350</v>
      </c>
      <c r="I12" s="747">
        <v>1.0742249665796677</v>
      </c>
      <c r="J12" s="745">
        <v>1108</v>
      </c>
      <c r="K12" s="736">
        <v>1.0122419148547415</v>
      </c>
    </row>
    <row r="13" spans="1:11" s="670" customFormat="1" ht="21.95" customHeight="1">
      <c r="A13" s="744" t="s">
        <v>890</v>
      </c>
      <c r="B13" s="745">
        <v>581</v>
      </c>
      <c r="C13" s="747">
        <v>0.54970527849526463</v>
      </c>
      <c r="D13" s="745">
        <v>640</v>
      </c>
      <c r="E13" s="747">
        <v>0.53031935168459254</v>
      </c>
      <c r="F13" s="745">
        <v>707</v>
      </c>
      <c r="G13" s="747">
        <v>0.55132724040051151</v>
      </c>
      <c r="H13" s="745">
        <v>755</v>
      </c>
      <c r="I13" s="747">
        <v>0.60077025908714754</v>
      </c>
      <c r="J13" s="745">
        <v>943</v>
      </c>
      <c r="K13" s="736">
        <v>0.86150191850904445</v>
      </c>
    </row>
    <row r="14" spans="1:11" s="670" customFormat="1" ht="21.95" customHeight="1">
      <c r="A14" s="744" t="s">
        <v>891</v>
      </c>
      <c r="B14" s="745">
        <v>925</v>
      </c>
      <c r="C14" s="747">
        <v>0.87517621791414757</v>
      </c>
      <c r="D14" s="745">
        <v>1366</v>
      </c>
      <c r="E14" s="747">
        <v>1.1319003662518023</v>
      </c>
      <c r="F14" s="745">
        <v>3479</v>
      </c>
      <c r="G14" s="747">
        <v>2.7129667176143983</v>
      </c>
      <c r="H14" s="745">
        <v>1023</v>
      </c>
      <c r="I14" s="747">
        <v>0.81402380800814822</v>
      </c>
      <c r="J14" s="745">
        <v>912</v>
      </c>
      <c r="K14" s="736">
        <v>0.83318107071076197</v>
      </c>
    </row>
    <row r="15" spans="1:11" s="670" customFormat="1" ht="21.95" customHeight="1">
      <c r="A15" s="744" t="s">
        <v>892</v>
      </c>
      <c r="B15" s="745">
        <v>917</v>
      </c>
      <c r="C15" s="747">
        <v>0.867607126299755</v>
      </c>
      <c r="D15" s="745">
        <v>657</v>
      </c>
      <c r="E15" s="747">
        <v>0.54440595946371451</v>
      </c>
      <c r="F15" s="745">
        <v>28</v>
      </c>
      <c r="G15" s="747">
        <v>2.1834742194079666E-2</v>
      </c>
      <c r="H15" s="745">
        <v>2515</v>
      </c>
      <c r="I15" s="747">
        <v>2.0012413266280475</v>
      </c>
      <c r="J15" s="745">
        <v>908</v>
      </c>
      <c r="K15" s="736">
        <v>0.82952676776904799</v>
      </c>
    </row>
    <row r="16" spans="1:11" s="670" customFormat="1" ht="21.95" customHeight="1">
      <c r="A16" s="744" t="s">
        <v>893</v>
      </c>
      <c r="B16" s="745">
        <v>332</v>
      </c>
      <c r="C16" s="747">
        <v>0.31411730199729404</v>
      </c>
      <c r="D16" s="745">
        <v>440</v>
      </c>
      <c r="E16" s="747">
        <v>0.3645945542831574</v>
      </c>
      <c r="F16" s="745">
        <v>536</v>
      </c>
      <c r="G16" s="747">
        <v>0.41797935057238217</v>
      </c>
      <c r="H16" s="745">
        <v>652</v>
      </c>
      <c r="I16" s="747">
        <v>0.51881087274810622</v>
      </c>
      <c r="J16" s="745">
        <v>860</v>
      </c>
      <c r="K16" s="736">
        <v>0.78567513246848164</v>
      </c>
    </row>
    <row r="17" spans="1:11" s="670" customFormat="1" ht="21.95" customHeight="1">
      <c r="A17" s="744" t="s">
        <v>894</v>
      </c>
      <c r="B17" s="745">
        <v>485</v>
      </c>
      <c r="C17" s="747">
        <v>0.45887617912255307</v>
      </c>
      <c r="D17" s="745">
        <v>498</v>
      </c>
      <c r="E17" s="747">
        <v>0.41265474552957354</v>
      </c>
      <c r="F17" s="745">
        <v>637</v>
      </c>
      <c r="G17" s="747">
        <v>0.49674038491531242</v>
      </c>
      <c r="H17" s="745">
        <v>709</v>
      </c>
      <c r="I17" s="747">
        <v>0.56416703800369217</v>
      </c>
      <c r="J17" s="745">
        <v>739</v>
      </c>
      <c r="K17" s="736">
        <v>0.6751324684816371</v>
      </c>
    </row>
    <row r="18" spans="1:11" s="670" customFormat="1" ht="21.95" customHeight="1">
      <c r="A18" s="744" t="s">
        <v>895</v>
      </c>
      <c r="B18" s="745">
        <v>666</v>
      </c>
      <c r="C18" s="747">
        <v>0.63012687689818625</v>
      </c>
      <c r="D18" s="745">
        <v>579</v>
      </c>
      <c r="E18" s="747">
        <v>0.47977328847715484</v>
      </c>
      <c r="F18" s="745">
        <v>544</v>
      </c>
      <c r="G18" s="747">
        <v>0.42421784834211923</v>
      </c>
      <c r="H18" s="745">
        <v>607</v>
      </c>
      <c r="I18" s="747">
        <v>0.48300337386211728</v>
      </c>
      <c r="J18" s="745">
        <v>606</v>
      </c>
      <c r="K18" s="736">
        <v>0.55362689566965095</v>
      </c>
    </row>
    <row r="19" spans="1:11" s="670" customFormat="1" ht="21.95" customHeight="1">
      <c r="A19" s="744" t="s">
        <v>896</v>
      </c>
      <c r="B19" s="745">
        <v>523</v>
      </c>
      <c r="C19" s="747">
        <v>0.49482936429091801</v>
      </c>
      <c r="D19" s="745">
        <v>438</v>
      </c>
      <c r="E19" s="747">
        <v>0.36293730630914306</v>
      </c>
      <c r="F19" s="745">
        <v>343</v>
      </c>
      <c r="G19" s="747">
        <v>0.26747559187747588</v>
      </c>
      <c r="H19" s="745">
        <v>462</v>
      </c>
      <c r="I19" s="747">
        <v>0.36762365522948631</v>
      </c>
      <c r="J19" s="745">
        <v>538</v>
      </c>
      <c r="K19" s="736">
        <v>0.49150374566051525</v>
      </c>
    </row>
    <row r="20" spans="1:11" s="670" customFormat="1" ht="21.95" customHeight="1">
      <c r="A20" s="744" t="s">
        <v>897</v>
      </c>
      <c r="B20" s="745">
        <v>579</v>
      </c>
      <c r="C20" s="747">
        <v>0.54781300559166635</v>
      </c>
      <c r="D20" s="745">
        <v>538</v>
      </c>
      <c r="E20" s="747">
        <v>0.4457997050098606</v>
      </c>
      <c r="F20" s="745">
        <v>466</v>
      </c>
      <c r="G20" s="747">
        <v>0.36339249508718302</v>
      </c>
      <c r="H20" s="745">
        <v>433</v>
      </c>
      <c r="I20" s="747">
        <v>0.3445477115029601</v>
      </c>
      <c r="J20" s="745">
        <v>474</v>
      </c>
      <c r="K20" s="736">
        <v>0.43303489859309335</v>
      </c>
    </row>
    <row r="21" spans="1:11" s="670" customFormat="1" ht="21.95" customHeight="1">
      <c r="A21" s="744" t="s">
        <v>898</v>
      </c>
      <c r="B21" s="745">
        <v>226</v>
      </c>
      <c r="C21" s="747">
        <v>0.2138268381065917</v>
      </c>
      <c r="D21" s="745">
        <v>214</v>
      </c>
      <c r="E21" s="747">
        <v>0.17732553321953565</v>
      </c>
      <c r="F21" s="745">
        <v>270</v>
      </c>
      <c r="G21" s="747">
        <v>0.21054929972862535</v>
      </c>
      <c r="H21" s="745">
        <v>286</v>
      </c>
      <c r="I21" s="747">
        <v>0.22757654847539627</v>
      </c>
      <c r="J21" s="745">
        <v>426</v>
      </c>
      <c r="K21" s="736">
        <v>0.38918326329252695</v>
      </c>
    </row>
    <row r="22" spans="1:11" s="670" customFormat="1" ht="21.95" customHeight="1">
      <c r="A22" s="744" t="s">
        <v>899</v>
      </c>
      <c r="B22" s="745">
        <v>187</v>
      </c>
      <c r="C22" s="747">
        <v>0.17692751648642768</v>
      </c>
      <c r="D22" s="745">
        <v>252</v>
      </c>
      <c r="E22" s="747">
        <v>0.20881324472580834</v>
      </c>
      <c r="F22" s="745">
        <v>270</v>
      </c>
      <c r="G22" s="747">
        <v>0.21054929972862535</v>
      </c>
      <c r="H22" s="745">
        <v>495</v>
      </c>
      <c r="I22" s="747">
        <v>0.39388248774587814</v>
      </c>
      <c r="J22" s="745">
        <v>373</v>
      </c>
      <c r="K22" s="736">
        <v>0.34076374931481818</v>
      </c>
    </row>
    <row r="23" spans="1:11" s="670" customFormat="1" ht="21.95" customHeight="1">
      <c r="A23" s="744" t="s">
        <v>900</v>
      </c>
      <c r="B23" s="745">
        <v>570</v>
      </c>
      <c r="C23" s="747">
        <v>0.5392977775254747</v>
      </c>
      <c r="D23" s="745">
        <v>599</v>
      </c>
      <c r="E23" s="747">
        <v>0.49634576821729831</v>
      </c>
      <c r="F23" s="745">
        <v>539</v>
      </c>
      <c r="G23" s="747">
        <v>0.42031878723603355</v>
      </c>
      <c r="H23" s="745">
        <v>429</v>
      </c>
      <c r="I23" s="747">
        <v>0.34136482271309437</v>
      </c>
      <c r="J23" s="745">
        <v>354</v>
      </c>
      <c r="K23" s="736">
        <v>0.32340581034167731</v>
      </c>
    </row>
    <row r="24" spans="1:11" ht="21.95" customHeight="1">
      <c r="A24" s="744" t="s">
        <v>901</v>
      </c>
      <c r="B24" s="745">
        <v>397</v>
      </c>
      <c r="C24" s="747">
        <v>0.37561617136423414</v>
      </c>
      <c r="D24" s="745">
        <v>337</v>
      </c>
      <c r="E24" s="747">
        <v>0.27924628362141829</v>
      </c>
      <c r="F24" s="745">
        <v>309</v>
      </c>
      <c r="G24" s="747">
        <v>0.24096197635609345</v>
      </c>
      <c r="H24" s="745">
        <v>301</v>
      </c>
      <c r="I24" s="747">
        <v>0.23951238143739259</v>
      </c>
      <c r="J24" s="745">
        <v>327</v>
      </c>
      <c r="K24" s="736">
        <v>0.29873926548510871</v>
      </c>
    </row>
    <row r="25" spans="1:11" s="685" customFormat="1" ht="21.95" customHeight="1">
      <c r="A25" s="744" t="s">
        <v>902</v>
      </c>
      <c r="B25" s="745">
        <v>666</v>
      </c>
      <c r="C25" s="747">
        <v>0.63012687689818625</v>
      </c>
      <c r="D25" s="745">
        <v>603</v>
      </c>
      <c r="E25" s="747">
        <v>0.49966026416532705</v>
      </c>
      <c r="F25" s="745">
        <v>537</v>
      </c>
      <c r="G25" s="747">
        <v>0.41875916279359932</v>
      </c>
      <c r="H25" s="745">
        <v>332</v>
      </c>
      <c r="I25" s="747">
        <v>0.26417976955885158</v>
      </c>
      <c r="J25" s="745">
        <v>236</v>
      </c>
      <c r="K25" s="736">
        <v>0.21560387356111821</v>
      </c>
    </row>
    <row r="26" spans="1:11" ht="21.95" customHeight="1">
      <c r="A26" s="748" t="s">
        <v>903</v>
      </c>
      <c r="B26" s="749">
        <v>5638</v>
      </c>
      <c r="C26" s="750">
        <v>5.3343173152432044</v>
      </c>
      <c r="D26" s="749">
        <v>5786</v>
      </c>
      <c r="E26" s="750">
        <v>4.7944183888235195</v>
      </c>
      <c r="F26" s="749">
        <v>6440</v>
      </c>
      <c r="G26" s="750">
        <v>5.0219907046383234</v>
      </c>
      <c r="H26" s="749">
        <v>6506</v>
      </c>
      <c r="I26" s="750">
        <v>5.1769686167165316</v>
      </c>
      <c r="J26" s="749">
        <v>6637</v>
      </c>
      <c r="K26" s="740">
        <v>6.0634021560387357</v>
      </c>
    </row>
    <row r="27" spans="1:11">
      <c r="A27" s="741" t="s">
        <v>904</v>
      </c>
    </row>
  </sheetData>
  <mergeCells count="7">
    <mergeCell ref="A1:K1"/>
    <mergeCell ref="A2:A3"/>
    <mergeCell ref="B2:C2"/>
    <mergeCell ref="D2:E2"/>
    <mergeCell ref="F2:G2"/>
    <mergeCell ref="H2:I2"/>
    <mergeCell ref="J2:K2"/>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55"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S37"/>
  <sheetViews>
    <sheetView showGridLines="0" workbookViewId="0">
      <selection activeCell="B16" sqref="B16"/>
    </sheetView>
  </sheetViews>
  <sheetFormatPr defaultColWidth="9" defaultRowHeight="15"/>
  <cols>
    <col min="1" max="1" width="11.125" style="668" customWidth="1"/>
    <col min="2" max="2" width="7.875" style="668" customWidth="1"/>
    <col min="3" max="3" width="7.5" style="668" customWidth="1"/>
    <col min="4" max="5" width="7.375" style="668" customWidth="1"/>
    <col min="6" max="6" width="7.25" style="668" customWidth="1"/>
    <col min="7" max="8" width="7.5" style="668" customWidth="1"/>
    <col min="9" max="11" width="7.25" style="668" customWidth="1"/>
    <col min="12" max="12" width="7.5" style="668" customWidth="1"/>
    <col min="13" max="14" width="7.375" style="668" customWidth="1"/>
    <col min="15" max="15" width="7.25" style="668" customWidth="1"/>
    <col min="16" max="16" width="7.375" style="668" customWidth="1"/>
    <col min="17" max="17" width="7.5" style="668" customWidth="1"/>
    <col min="18" max="19" width="7.25" style="668" customWidth="1"/>
    <col min="20" max="16384" width="9" style="668"/>
  </cols>
  <sheetData>
    <row r="1" spans="1:19" ht="22.5" customHeight="1">
      <c r="A1" s="2967" t="s">
        <v>905</v>
      </c>
      <c r="B1" s="2967"/>
      <c r="C1" s="2967"/>
      <c r="D1" s="2967"/>
      <c r="E1" s="2967"/>
      <c r="F1" s="2967"/>
      <c r="G1" s="2967"/>
      <c r="H1" s="2967"/>
      <c r="I1" s="2967"/>
      <c r="J1" s="2967"/>
      <c r="K1" s="2967"/>
      <c r="L1" s="2967"/>
      <c r="M1" s="2967"/>
      <c r="N1" s="2967"/>
      <c r="O1" s="2967"/>
      <c r="P1" s="2967"/>
      <c r="Q1" s="2967"/>
      <c r="R1" s="2967"/>
      <c r="S1" s="2967"/>
    </row>
    <row r="2" spans="1:19" ht="14.45" customHeight="1">
      <c r="O2" s="3017" t="s">
        <v>906</v>
      </c>
      <c r="P2" s="3017"/>
      <c r="Q2" s="3017"/>
      <c r="R2" s="3017"/>
      <c r="S2" s="3017"/>
    </row>
    <row r="3" spans="1:19" ht="15" customHeight="1">
      <c r="A3" s="751"/>
      <c r="B3" s="3013" t="s">
        <v>907</v>
      </c>
      <c r="C3" s="3013"/>
      <c r="D3" s="3013"/>
      <c r="E3" s="3013"/>
      <c r="F3" s="3013"/>
      <c r="G3" s="3014"/>
      <c r="H3" s="3015" t="s">
        <v>834</v>
      </c>
      <c r="I3" s="3013"/>
      <c r="J3" s="3013"/>
      <c r="K3" s="3013"/>
      <c r="L3" s="3013"/>
      <c r="M3" s="3014"/>
      <c r="N3" s="3015" t="s">
        <v>835</v>
      </c>
      <c r="O3" s="3013"/>
      <c r="P3" s="3013"/>
      <c r="Q3" s="3013"/>
      <c r="R3" s="3013"/>
      <c r="S3" s="3013"/>
    </row>
    <row r="4" spans="1:19" ht="15" customHeight="1">
      <c r="A4" s="752"/>
      <c r="B4" s="3018" t="s">
        <v>172</v>
      </c>
      <c r="C4" s="3019"/>
      <c r="D4" s="3020" t="s">
        <v>908</v>
      </c>
      <c r="E4" s="3019"/>
      <c r="F4" s="3020" t="s">
        <v>909</v>
      </c>
      <c r="G4" s="3018"/>
      <c r="H4" s="3020" t="s">
        <v>172</v>
      </c>
      <c r="I4" s="3019"/>
      <c r="J4" s="3020" t="s">
        <v>908</v>
      </c>
      <c r="K4" s="3019"/>
      <c r="L4" s="3020" t="s">
        <v>910</v>
      </c>
      <c r="M4" s="3018"/>
      <c r="N4" s="3020" t="s">
        <v>172</v>
      </c>
      <c r="O4" s="3019"/>
      <c r="P4" s="3020" t="s">
        <v>908</v>
      </c>
      <c r="Q4" s="3019"/>
      <c r="R4" s="3020" t="s">
        <v>910</v>
      </c>
      <c r="S4" s="3018"/>
    </row>
    <row r="5" spans="1:19" ht="15" customHeight="1">
      <c r="A5" s="753"/>
      <c r="B5" s="754" t="s">
        <v>911</v>
      </c>
      <c r="C5" s="755" t="s">
        <v>912</v>
      </c>
      <c r="D5" s="755" t="s">
        <v>913</v>
      </c>
      <c r="E5" s="755" t="s">
        <v>914</v>
      </c>
      <c r="F5" s="756" t="s">
        <v>913</v>
      </c>
      <c r="G5" s="756" t="s">
        <v>914</v>
      </c>
      <c r="H5" s="755" t="s">
        <v>913</v>
      </c>
      <c r="I5" s="755" t="s">
        <v>912</v>
      </c>
      <c r="J5" s="755" t="s">
        <v>911</v>
      </c>
      <c r="K5" s="755" t="s">
        <v>914</v>
      </c>
      <c r="L5" s="756" t="s">
        <v>911</v>
      </c>
      <c r="M5" s="756" t="s">
        <v>914</v>
      </c>
      <c r="N5" s="755" t="s">
        <v>911</v>
      </c>
      <c r="O5" s="755" t="s">
        <v>914</v>
      </c>
      <c r="P5" s="755" t="s">
        <v>911</v>
      </c>
      <c r="Q5" s="755" t="s">
        <v>912</v>
      </c>
      <c r="R5" s="756" t="s">
        <v>911</v>
      </c>
      <c r="S5" s="756" t="s">
        <v>914</v>
      </c>
    </row>
    <row r="6" spans="1:19" ht="15.95" customHeight="1">
      <c r="A6" s="3021" t="s">
        <v>915</v>
      </c>
      <c r="B6" s="757">
        <v>410133</v>
      </c>
      <c r="C6" s="757">
        <v>511049</v>
      </c>
      <c r="D6" s="757">
        <v>321478</v>
      </c>
      <c r="E6" s="757">
        <v>403028</v>
      </c>
      <c r="F6" s="757">
        <v>88655</v>
      </c>
      <c r="G6" s="757">
        <v>108021</v>
      </c>
      <c r="H6" s="757">
        <v>425454</v>
      </c>
      <c r="I6" s="757">
        <v>529775</v>
      </c>
      <c r="J6" s="757">
        <v>324762</v>
      </c>
      <c r="K6" s="757">
        <v>409622</v>
      </c>
      <c r="L6" s="757">
        <v>100692</v>
      </c>
      <c r="M6" s="757">
        <v>120153</v>
      </c>
      <c r="N6" s="757">
        <v>453422</v>
      </c>
      <c r="O6" s="757">
        <v>558404</v>
      </c>
      <c r="P6" s="757">
        <v>336300</v>
      </c>
      <c r="Q6" s="757">
        <v>421750</v>
      </c>
      <c r="R6" s="757">
        <v>117122</v>
      </c>
      <c r="S6" s="758">
        <v>136654</v>
      </c>
    </row>
    <row r="7" spans="1:19" ht="15.95" customHeight="1">
      <c r="A7" s="3021"/>
      <c r="B7" s="759">
        <v>100</v>
      </c>
      <c r="C7" s="759">
        <v>100</v>
      </c>
      <c r="D7" s="759">
        <v>100</v>
      </c>
      <c r="E7" s="759">
        <v>100</v>
      </c>
      <c r="F7" s="759">
        <v>100</v>
      </c>
      <c r="G7" s="760">
        <v>100</v>
      </c>
      <c r="H7" s="759">
        <v>100</v>
      </c>
      <c r="I7" s="759">
        <v>100</v>
      </c>
      <c r="J7" s="759">
        <v>100</v>
      </c>
      <c r="K7" s="759">
        <v>100</v>
      </c>
      <c r="L7" s="759">
        <v>100</v>
      </c>
      <c r="M7" s="760">
        <v>100</v>
      </c>
      <c r="N7" s="759">
        <v>100</v>
      </c>
      <c r="O7" s="759">
        <v>100</v>
      </c>
      <c r="P7" s="759">
        <v>100</v>
      </c>
      <c r="Q7" s="759">
        <v>100</v>
      </c>
      <c r="R7" s="759">
        <v>100</v>
      </c>
      <c r="S7" s="760">
        <v>100</v>
      </c>
    </row>
    <row r="8" spans="1:19" ht="15.95" customHeight="1">
      <c r="A8" s="3016" t="s">
        <v>916</v>
      </c>
      <c r="B8" s="757">
        <v>88557</v>
      </c>
      <c r="C8" s="757">
        <v>109491</v>
      </c>
      <c r="D8" s="757">
        <v>56831</v>
      </c>
      <c r="E8" s="757">
        <v>71326</v>
      </c>
      <c r="F8" s="757">
        <v>31726</v>
      </c>
      <c r="G8" s="757">
        <v>38165</v>
      </c>
      <c r="H8" s="757">
        <v>94772</v>
      </c>
      <c r="I8" s="757">
        <v>115645</v>
      </c>
      <c r="J8" s="757">
        <v>59963</v>
      </c>
      <c r="K8" s="757">
        <v>74867</v>
      </c>
      <c r="L8" s="757">
        <v>34809</v>
      </c>
      <c r="M8" s="757">
        <v>40778</v>
      </c>
      <c r="N8" s="757">
        <v>101757</v>
      </c>
      <c r="O8" s="757">
        <v>122890</v>
      </c>
      <c r="P8" s="757">
        <v>62929</v>
      </c>
      <c r="Q8" s="757">
        <v>77973</v>
      </c>
      <c r="R8" s="757">
        <v>38828</v>
      </c>
      <c r="S8" s="758">
        <v>44917</v>
      </c>
    </row>
    <row r="9" spans="1:19" ht="15.95" customHeight="1">
      <c r="A9" s="3016"/>
      <c r="B9" s="759">
        <v>21.592263972906352</v>
      </c>
      <c r="C9" s="759">
        <v>21.424755747491925</v>
      </c>
      <c r="D9" s="759">
        <v>17.678037066300025</v>
      </c>
      <c r="E9" s="759">
        <v>17.697529700169714</v>
      </c>
      <c r="F9" s="759">
        <v>35.785911680108285</v>
      </c>
      <c r="G9" s="760">
        <v>35.331093028207476</v>
      </c>
      <c r="H9" s="759">
        <v>22.275498643801679</v>
      </c>
      <c r="I9" s="759">
        <v>21.829078382332124</v>
      </c>
      <c r="J9" s="759">
        <v>18.463674937338727</v>
      </c>
      <c r="K9" s="759">
        <v>18.277094491995058</v>
      </c>
      <c r="L9" s="759">
        <v>34.569777142176136</v>
      </c>
      <c r="M9" s="760">
        <v>33.938395212770381</v>
      </c>
      <c r="N9" s="759">
        <v>22.442007666147649</v>
      </c>
      <c r="O9" s="759">
        <v>22.007363844098538</v>
      </c>
      <c r="P9" s="759">
        <v>18.712161760333036</v>
      </c>
      <c r="Q9" s="759">
        <v>18.487966804979251</v>
      </c>
      <c r="R9" s="759">
        <v>33.151756288314751</v>
      </c>
      <c r="S9" s="760">
        <v>32.869143969441069</v>
      </c>
    </row>
    <row r="10" spans="1:19" ht="15.95" customHeight="1">
      <c r="A10" s="3016" t="s">
        <v>917</v>
      </c>
      <c r="B10" s="757">
        <v>104358</v>
      </c>
      <c r="C10" s="757">
        <v>109630</v>
      </c>
      <c r="D10" s="757">
        <v>89650</v>
      </c>
      <c r="E10" s="757">
        <v>94604</v>
      </c>
      <c r="F10" s="757">
        <v>14708</v>
      </c>
      <c r="G10" s="757">
        <v>15026</v>
      </c>
      <c r="H10" s="757">
        <v>105191</v>
      </c>
      <c r="I10" s="757">
        <v>110633</v>
      </c>
      <c r="J10" s="757">
        <v>87965</v>
      </c>
      <c r="K10" s="757">
        <v>93083</v>
      </c>
      <c r="L10" s="757">
        <v>17226</v>
      </c>
      <c r="M10" s="757">
        <v>17550</v>
      </c>
      <c r="N10" s="757">
        <v>108156</v>
      </c>
      <c r="O10" s="757">
        <v>112659</v>
      </c>
      <c r="P10" s="757">
        <v>87386</v>
      </c>
      <c r="Q10" s="757">
        <v>91682</v>
      </c>
      <c r="R10" s="757">
        <v>20770</v>
      </c>
      <c r="S10" s="758">
        <v>20977</v>
      </c>
    </row>
    <row r="11" spans="1:19" ht="15.95" customHeight="1">
      <c r="A11" s="3016"/>
      <c r="B11" s="759">
        <v>25.444916648989473</v>
      </c>
      <c r="C11" s="759">
        <v>21.451954704930447</v>
      </c>
      <c r="D11" s="759">
        <v>27.886822737481261</v>
      </c>
      <c r="E11" s="759">
        <v>23.47330706551406</v>
      </c>
      <c r="F11" s="759">
        <v>16.590152839659353</v>
      </c>
      <c r="G11" s="760">
        <v>13.910258190537025</v>
      </c>
      <c r="H11" s="759">
        <v>24.724412039844495</v>
      </c>
      <c r="I11" s="759">
        <v>20.883016374876124</v>
      </c>
      <c r="J11" s="759">
        <v>27.085989124343364</v>
      </c>
      <c r="K11" s="759">
        <v>22.724121263018098</v>
      </c>
      <c r="L11" s="759">
        <v>17.107615302109402</v>
      </c>
      <c r="M11" s="760">
        <v>14.606376869491399</v>
      </c>
      <c r="N11" s="759">
        <v>23.85327575635942</v>
      </c>
      <c r="O11" s="759">
        <v>20.17517782823905</v>
      </c>
      <c r="P11" s="759">
        <v>25.9845376152245</v>
      </c>
      <c r="Q11" s="759">
        <v>21.738470657972734</v>
      </c>
      <c r="R11" s="759">
        <v>17.733645258789981</v>
      </c>
      <c r="S11" s="760">
        <v>15.350447114610621</v>
      </c>
    </row>
    <row r="12" spans="1:19" ht="15.95" customHeight="1">
      <c r="A12" s="3021" t="s">
        <v>918</v>
      </c>
      <c r="B12" s="757">
        <v>45080</v>
      </c>
      <c r="C12" s="757">
        <v>51427</v>
      </c>
      <c r="D12" s="757">
        <v>38341</v>
      </c>
      <c r="E12" s="757">
        <v>42956</v>
      </c>
      <c r="F12" s="757">
        <v>6739</v>
      </c>
      <c r="G12" s="757">
        <v>8471</v>
      </c>
      <c r="H12" s="757">
        <v>41060</v>
      </c>
      <c r="I12" s="757">
        <v>47743</v>
      </c>
      <c r="J12" s="757">
        <v>33884</v>
      </c>
      <c r="K12" s="757">
        <v>38528</v>
      </c>
      <c r="L12" s="757">
        <v>7176</v>
      </c>
      <c r="M12" s="757">
        <v>9215</v>
      </c>
      <c r="N12" s="757">
        <v>38601</v>
      </c>
      <c r="O12" s="757">
        <v>43482</v>
      </c>
      <c r="P12" s="757">
        <v>30979</v>
      </c>
      <c r="Q12" s="757">
        <v>33989</v>
      </c>
      <c r="R12" s="757">
        <v>7622</v>
      </c>
      <c r="S12" s="758">
        <v>9493</v>
      </c>
    </row>
    <row r="13" spans="1:19" ht="15.95" customHeight="1">
      <c r="A13" s="3021"/>
      <c r="B13" s="759">
        <v>10.99155639755884</v>
      </c>
      <c r="C13" s="759">
        <v>10.063027224395313</v>
      </c>
      <c r="D13" s="759">
        <v>11.92647708396842</v>
      </c>
      <c r="E13" s="759">
        <v>10.658316543763709</v>
      </c>
      <c r="F13" s="759">
        <v>7.6013761209181654</v>
      </c>
      <c r="G13" s="760">
        <v>7.8419936864128266</v>
      </c>
      <c r="H13" s="759">
        <v>9.6508670737612068</v>
      </c>
      <c r="I13" s="759">
        <v>9.0119390307205887</v>
      </c>
      <c r="J13" s="759">
        <v>10.433486676396869</v>
      </c>
      <c r="K13" s="759">
        <v>9.4057448086284428</v>
      </c>
      <c r="L13" s="759">
        <v>7.1266833512096301</v>
      </c>
      <c r="M13" s="760">
        <v>7.6693881967158539</v>
      </c>
      <c r="N13" s="759">
        <v>8.5132613768189458</v>
      </c>
      <c r="O13" s="759">
        <v>7.7868353378557469</v>
      </c>
      <c r="P13" s="759">
        <v>9.2117157300029735</v>
      </c>
      <c r="Q13" s="759">
        <v>8.0590397154712505</v>
      </c>
      <c r="R13" s="759">
        <v>6.5077440617475792</v>
      </c>
      <c r="S13" s="760">
        <v>6.9467414053009797</v>
      </c>
    </row>
    <row r="14" spans="1:19" ht="15.95" customHeight="1">
      <c r="A14" s="3021" t="s">
        <v>919</v>
      </c>
      <c r="B14" s="757">
        <v>122598</v>
      </c>
      <c r="C14" s="757">
        <v>175650</v>
      </c>
      <c r="D14" s="757">
        <v>100793</v>
      </c>
      <c r="E14" s="757">
        <v>145888</v>
      </c>
      <c r="F14" s="757">
        <v>21805</v>
      </c>
      <c r="G14" s="757">
        <v>29762</v>
      </c>
      <c r="H14" s="757">
        <v>130645</v>
      </c>
      <c r="I14" s="757">
        <v>186278</v>
      </c>
      <c r="J14" s="757">
        <v>104825</v>
      </c>
      <c r="K14" s="757">
        <v>151983</v>
      </c>
      <c r="L14" s="757">
        <v>25820</v>
      </c>
      <c r="M14" s="757">
        <v>34295</v>
      </c>
      <c r="N14" s="757">
        <v>137913</v>
      </c>
      <c r="O14" s="757">
        <v>191924</v>
      </c>
      <c r="P14" s="757">
        <v>109205</v>
      </c>
      <c r="Q14" s="757">
        <v>155163</v>
      </c>
      <c r="R14" s="757">
        <v>28708</v>
      </c>
      <c r="S14" s="758">
        <v>36761</v>
      </c>
    </row>
    <row r="15" spans="1:19" ht="15.95" customHeight="1">
      <c r="A15" s="3021"/>
      <c r="B15" s="759">
        <v>29.892254463795894</v>
      </c>
      <c r="C15" s="759">
        <v>34.370481108465142</v>
      </c>
      <c r="D15" s="759">
        <v>31.353000827428318</v>
      </c>
      <c r="E15" s="759">
        <v>36.197981281697551</v>
      </c>
      <c r="F15" s="759">
        <v>24.595341492301618</v>
      </c>
      <c r="G15" s="760">
        <v>27.55205006433934</v>
      </c>
      <c r="H15" s="759">
        <v>30.707197487860029</v>
      </c>
      <c r="I15" s="759">
        <v>35.161719597942522</v>
      </c>
      <c r="J15" s="759">
        <v>32.27748320308411</v>
      </c>
      <c r="K15" s="759">
        <v>37.103231760012889</v>
      </c>
      <c r="L15" s="759">
        <v>25.642553529575341</v>
      </c>
      <c r="M15" s="760">
        <v>28.542774629014673</v>
      </c>
      <c r="N15" s="759">
        <v>30.41603627525793</v>
      </c>
      <c r="O15" s="759">
        <v>34.370097635403759</v>
      </c>
      <c r="P15" s="759">
        <v>32.472494796312816</v>
      </c>
      <c r="Q15" s="759">
        <v>36.790278601066987</v>
      </c>
      <c r="R15" s="759">
        <v>24.511193456395894</v>
      </c>
      <c r="S15" s="760">
        <v>26.900785926500504</v>
      </c>
    </row>
    <row r="16" spans="1:19" ht="15.95" customHeight="1">
      <c r="A16" s="3022" t="s">
        <v>920</v>
      </c>
      <c r="B16" s="757">
        <v>49540</v>
      </c>
      <c r="C16" s="757">
        <v>64851</v>
      </c>
      <c r="D16" s="757">
        <v>35863</v>
      </c>
      <c r="E16" s="757">
        <v>48254</v>
      </c>
      <c r="F16" s="757">
        <v>13677</v>
      </c>
      <c r="G16" s="757">
        <v>16597</v>
      </c>
      <c r="H16" s="757">
        <v>53786</v>
      </c>
      <c r="I16" s="757">
        <v>69476</v>
      </c>
      <c r="J16" s="757">
        <v>38125</v>
      </c>
      <c r="K16" s="757">
        <v>51161</v>
      </c>
      <c r="L16" s="757">
        <v>15661</v>
      </c>
      <c r="M16" s="757">
        <v>18315</v>
      </c>
      <c r="N16" s="757">
        <v>66995</v>
      </c>
      <c r="O16" s="757">
        <v>87449</v>
      </c>
      <c r="P16" s="757">
        <v>45801</v>
      </c>
      <c r="Q16" s="757">
        <v>62943</v>
      </c>
      <c r="R16" s="757">
        <v>21194</v>
      </c>
      <c r="S16" s="758">
        <v>24506</v>
      </c>
    </row>
    <row r="17" spans="1:19" ht="15.95" customHeight="1" thickBot="1">
      <c r="A17" s="3022"/>
      <c r="B17" s="759">
        <v>12.079008516749443</v>
      </c>
      <c r="C17" s="759">
        <v>12.689781214717181</v>
      </c>
      <c r="D17" s="759">
        <v>11.155662284821979</v>
      </c>
      <c r="E17" s="759">
        <v>11.972865408854968</v>
      </c>
      <c r="F17" s="759">
        <v>15.427217867012576</v>
      </c>
      <c r="G17" s="760">
        <v>15.364605030503329</v>
      </c>
      <c r="H17" s="759">
        <v>12.642024754732592</v>
      </c>
      <c r="I17" s="759">
        <v>13.114246614128639</v>
      </c>
      <c r="J17" s="759">
        <v>11.739366058836932</v>
      </c>
      <c r="K17" s="759">
        <v>12.489807676345508</v>
      </c>
      <c r="L17" s="759">
        <v>15.553370674929488</v>
      </c>
      <c r="M17" s="760">
        <v>15.24306509200769</v>
      </c>
      <c r="N17" s="759">
        <v>14.775418925416059</v>
      </c>
      <c r="O17" s="759">
        <v>15.660525354402905</v>
      </c>
      <c r="P17" s="759">
        <v>13.619090098126673</v>
      </c>
      <c r="Q17" s="759">
        <v>14.924244220509781</v>
      </c>
      <c r="R17" s="759">
        <v>18.095660934751798</v>
      </c>
      <c r="S17" s="760">
        <v>17.932881584146823</v>
      </c>
    </row>
    <row r="18" spans="1:19" ht="17.25" thickTop="1">
      <c r="A18" s="761"/>
      <c r="B18" s="3023" t="s">
        <v>921</v>
      </c>
      <c r="C18" s="3023"/>
      <c r="D18" s="3023"/>
      <c r="E18" s="3023"/>
      <c r="F18" s="3023"/>
      <c r="G18" s="3024"/>
      <c r="H18" s="3025" t="s">
        <v>842</v>
      </c>
      <c r="I18" s="3023"/>
      <c r="J18" s="3023"/>
      <c r="K18" s="3023"/>
      <c r="L18" s="3023"/>
      <c r="M18" s="3024"/>
      <c r="N18" s="3025" t="s">
        <v>879</v>
      </c>
      <c r="O18" s="3023"/>
      <c r="P18" s="3023"/>
      <c r="Q18" s="3023"/>
      <c r="R18" s="3023"/>
      <c r="S18" s="3023"/>
    </row>
    <row r="19" spans="1:19" ht="15.75">
      <c r="A19" s="762"/>
      <c r="B19" s="3026" t="s">
        <v>172</v>
      </c>
      <c r="C19" s="3027"/>
      <c r="D19" s="3028" t="s">
        <v>908</v>
      </c>
      <c r="E19" s="3027"/>
      <c r="F19" s="3028" t="s">
        <v>910</v>
      </c>
      <c r="G19" s="3026"/>
      <c r="H19" s="3028" t="s">
        <v>172</v>
      </c>
      <c r="I19" s="3027"/>
      <c r="J19" s="3028" t="s">
        <v>908</v>
      </c>
      <c r="K19" s="3027"/>
      <c r="L19" s="3028" t="s">
        <v>909</v>
      </c>
      <c r="M19" s="3026"/>
      <c r="N19" s="3028" t="s">
        <v>172</v>
      </c>
      <c r="O19" s="3027"/>
      <c r="P19" s="3028" t="s">
        <v>922</v>
      </c>
      <c r="Q19" s="3027"/>
      <c r="R19" s="3028" t="s">
        <v>909</v>
      </c>
      <c r="S19" s="3026"/>
    </row>
    <row r="20" spans="1:19" ht="15.75">
      <c r="A20" s="763"/>
      <c r="B20" s="764" t="s">
        <v>911</v>
      </c>
      <c r="C20" s="765" t="s">
        <v>914</v>
      </c>
      <c r="D20" s="765" t="s">
        <v>911</v>
      </c>
      <c r="E20" s="765" t="s">
        <v>912</v>
      </c>
      <c r="F20" s="766" t="s">
        <v>923</v>
      </c>
      <c r="G20" s="766" t="s">
        <v>912</v>
      </c>
      <c r="H20" s="765" t="s">
        <v>923</v>
      </c>
      <c r="I20" s="765" t="s">
        <v>914</v>
      </c>
      <c r="J20" s="765" t="s">
        <v>913</v>
      </c>
      <c r="K20" s="765" t="s">
        <v>912</v>
      </c>
      <c r="L20" s="766" t="s">
        <v>913</v>
      </c>
      <c r="M20" s="766" t="s">
        <v>912</v>
      </c>
      <c r="N20" s="765" t="s">
        <v>913</v>
      </c>
      <c r="O20" s="765" t="s">
        <v>912</v>
      </c>
      <c r="P20" s="765" t="s">
        <v>923</v>
      </c>
      <c r="Q20" s="765" t="s">
        <v>912</v>
      </c>
      <c r="R20" s="766" t="s">
        <v>911</v>
      </c>
      <c r="S20" s="766" t="s">
        <v>914</v>
      </c>
    </row>
    <row r="21" spans="1:19" ht="15.95" customHeight="1">
      <c r="A21" s="3021" t="s">
        <v>924</v>
      </c>
      <c r="B21" s="767">
        <v>479087</v>
      </c>
      <c r="C21" s="767">
        <v>584350</v>
      </c>
      <c r="D21" s="767">
        <v>352685</v>
      </c>
      <c r="E21" s="767">
        <v>439422</v>
      </c>
      <c r="F21" s="767">
        <v>126402</v>
      </c>
      <c r="G21" s="767">
        <v>144928</v>
      </c>
      <c r="H21" s="767">
        <v>482034</v>
      </c>
      <c r="I21" s="767">
        <v>594320</v>
      </c>
      <c r="J21" s="767">
        <v>353470</v>
      </c>
      <c r="K21" s="767">
        <v>446190</v>
      </c>
      <c r="L21" s="767">
        <v>128564</v>
      </c>
      <c r="M21" s="767">
        <v>148130</v>
      </c>
      <c r="N21" s="767">
        <v>474108</v>
      </c>
      <c r="O21" s="767">
        <v>591304</v>
      </c>
      <c r="P21" s="767">
        <v>355178</v>
      </c>
      <c r="Q21" s="767">
        <v>450736</v>
      </c>
      <c r="R21" s="767">
        <v>118930</v>
      </c>
      <c r="S21" s="768">
        <v>140568</v>
      </c>
    </row>
    <row r="22" spans="1:19" ht="15.95" customHeight="1">
      <c r="A22" s="3021"/>
      <c r="B22" s="769">
        <v>100</v>
      </c>
      <c r="C22" s="769">
        <v>100</v>
      </c>
      <c r="D22" s="769">
        <v>100</v>
      </c>
      <c r="E22" s="769">
        <v>100</v>
      </c>
      <c r="F22" s="769">
        <v>100</v>
      </c>
      <c r="G22" s="770">
        <v>100</v>
      </c>
      <c r="H22" s="769">
        <v>100</v>
      </c>
      <c r="I22" s="769">
        <v>100</v>
      </c>
      <c r="J22" s="769">
        <v>100</v>
      </c>
      <c r="K22" s="769">
        <v>100</v>
      </c>
      <c r="L22" s="769">
        <v>100</v>
      </c>
      <c r="M22" s="770">
        <v>100</v>
      </c>
      <c r="N22" s="769">
        <v>100</v>
      </c>
      <c r="O22" s="769">
        <v>100</v>
      </c>
      <c r="P22" s="769">
        <v>100</v>
      </c>
      <c r="Q22" s="769">
        <v>100</v>
      </c>
      <c r="R22" s="769">
        <v>100</v>
      </c>
      <c r="S22" s="770">
        <v>100</v>
      </c>
    </row>
    <row r="23" spans="1:19" ht="15.95" customHeight="1">
      <c r="A23" s="3016" t="s">
        <v>916</v>
      </c>
      <c r="B23" s="767">
        <v>103764</v>
      </c>
      <c r="C23" s="767">
        <v>123514</v>
      </c>
      <c r="D23" s="767">
        <v>64960</v>
      </c>
      <c r="E23" s="767">
        <v>78745</v>
      </c>
      <c r="F23" s="767">
        <v>38804</v>
      </c>
      <c r="G23" s="767">
        <v>44769</v>
      </c>
      <c r="H23" s="767">
        <v>104543</v>
      </c>
      <c r="I23" s="767">
        <v>124857</v>
      </c>
      <c r="J23" s="767">
        <v>63032</v>
      </c>
      <c r="K23" s="767">
        <v>76011</v>
      </c>
      <c r="L23" s="767">
        <v>41511</v>
      </c>
      <c r="M23" s="767">
        <v>48846</v>
      </c>
      <c r="N23" s="767">
        <v>104433</v>
      </c>
      <c r="O23" s="767">
        <v>126222</v>
      </c>
      <c r="P23" s="767">
        <v>63349</v>
      </c>
      <c r="Q23" s="767">
        <v>76651</v>
      </c>
      <c r="R23" s="767">
        <v>41084</v>
      </c>
      <c r="S23" s="768">
        <v>49571</v>
      </c>
    </row>
    <row r="24" spans="1:19" ht="15.95" customHeight="1">
      <c r="A24" s="3016"/>
      <c r="B24" s="769">
        <v>21.658696645911913</v>
      </c>
      <c r="C24" s="769">
        <v>21.136989817746212</v>
      </c>
      <c r="D24" s="769">
        <v>18.418702241376867</v>
      </c>
      <c r="E24" s="769">
        <v>17.920131445398731</v>
      </c>
      <c r="F24" s="769">
        <v>30.698881346814133</v>
      </c>
      <c r="G24" s="769">
        <v>30.890511150364318</v>
      </c>
      <c r="H24" s="769">
        <v>21.687889236028994</v>
      </c>
      <c r="I24" s="769">
        <v>21.008379324269754</v>
      </c>
      <c r="J24" s="769">
        <v>17.83234786544827</v>
      </c>
      <c r="K24" s="769">
        <v>17.035567807436294</v>
      </c>
      <c r="L24" s="769">
        <v>32.288198873712702</v>
      </c>
      <c r="M24" s="769">
        <v>32.975089448457432</v>
      </c>
      <c r="N24" s="769">
        <v>22.027259611734035</v>
      </c>
      <c r="O24" s="769">
        <v>21.346380203753061</v>
      </c>
      <c r="P24" s="769">
        <v>17.835845688640624</v>
      </c>
      <c r="Q24" s="769">
        <v>17.005741720208725</v>
      </c>
      <c r="R24" s="769">
        <v>34.544690153872025</v>
      </c>
      <c r="S24" s="770">
        <v>35.264782880883274</v>
      </c>
    </row>
    <row r="25" spans="1:19" ht="15.95" customHeight="1">
      <c r="A25" s="3016" t="s">
        <v>917</v>
      </c>
      <c r="B25" s="767">
        <v>111740</v>
      </c>
      <c r="C25" s="767">
        <v>115969</v>
      </c>
      <c r="D25" s="767">
        <v>89439</v>
      </c>
      <c r="E25" s="767">
        <v>93384</v>
      </c>
      <c r="F25" s="767">
        <v>22301</v>
      </c>
      <c r="G25" s="767">
        <v>22585</v>
      </c>
      <c r="H25" s="767">
        <v>109312</v>
      </c>
      <c r="I25" s="767">
        <v>113711</v>
      </c>
      <c r="J25" s="767">
        <v>83477</v>
      </c>
      <c r="K25" s="767">
        <v>87593</v>
      </c>
      <c r="L25" s="767">
        <v>25835</v>
      </c>
      <c r="M25" s="767">
        <v>26118</v>
      </c>
      <c r="N25" s="767">
        <v>102055</v>
      </c>
      <c r="O25" s="767">
        <v>106342</v>
      </c>
      <c r="P25" s="767">
        <v>78711</v>
      </c>
      <c r="Q25" s="767">
        <v>82686</v>
      </c>
      <c r="R25" s="767">
        <v>23344</v>
      </c>
      <c r="S25" s="768">
        <v>23656</v>
      </c>
    </row>
    <row r="26" spans="1:19" ht="15.95" customHeight="1">
      <c r="A26" s="3016"/>
      <c r="B26" s="769">
        <v>23.323529964286234</v>
      </c>
      <c r="C26" s="769">
        <v>19.845811585522373</v>
      </c>
      <c r="D26" s="769">
        <v>25.359456739016402</v>
      </c>
      <c r="E26" s="769">
        <v>21.251553176672992</v>
      </c>
      <c r="F26" s="769">
        <v>17.64291704245186</v>
      </c>
      <c r="G26" s="769">
        <v>15.583600132479575</v>
      </c>
      <c r="H26" s="769">
        <v>22.677238535041099</v>
      </c>
      <c r="I26" s="769">
        <v>19.132958675461033</v>
      </c>
      <c r="J26" s="769">
        <v>23.616431380315163</v>
      </c>
      <c r="K26" s="769">
        <v>19.631322978999975</v>
      </c>
      <c r="L26" s="769">
        <v>20.095049936218537</v>
      </c>
      <c r="M26" s="769">
        <v>17.631809896712348</v>
      </c>
      <c r="N26" s="769">
        <v>21.52568613058628</v>
      </c>
      <c r="O26" s="769">
        <v>17.984319402540823</v>
      </c>
      <c r="P26" s="769">
        <v>22.161000962897475</v>
      </c>
      <c r="Q26" s="769">
        <v>18.344662951261938</v>
      </c>
      <c r="R26" s="769">
        <v>19.628352812578829</v>
      </c>
      <c r="S26" s="770">
        <v>16.828865744692962</v>
      </c>
    </row>
    <row r="27" spans="1:19" ht="15.95" customHeight="1">
      <c r="A27" s="3021" t="s">
        <v>918</v>
      </c>
      <c r="B27" s="767">
        <v>42820</v>
      </c>
      <c r="C27" s="767">
        <v>46818</v>
      </c>
      <c r="D27" s="767">
        <v>30444</v>
      </c>
      <c r="E27" s="767">
        <v>32594</v>
      </c>
      <c r="F27" s="767">
        <v>12376</v>
      </c>
      <c r="G27" s="767">
        <v>14224</v>
      </c>
      <c r="H27" s="767">
        <v>41268</v>
      </c>
      <c r="I27" s="767">
        <v>45971</v>
      </c>
      <c r="J27" s="767">
        <v>29147</v>
      </c>
      <c r="K27" s="767">
        <v>32393</v>
      </c>
      <c r="L27" s="767">
        <v>12121</v>
      </c>
      <c r="M27" s="767">
        <v>13578</v>
      </c>
      <c r="N27" s="767">
        <v>38192</v>
      </c>
      <c r="O27" s="767">
        <v>42788</v>
      </c>
      <c r="P27" s="767">
        <v>27624</v>
      </c>
      <c r="Q27" s="767">
        <v>30673</v>
      </c>
      <c r="R27" s="767">
        <v>10568</v>
      </c>
      <c r="S27" s="768">
        <v>12115</v>
      </c>
    </row>
    <row r="28" spans="1:19" ht="15.95" customHeight="1">
      <c r="A28" s="3021"/>
      <c r="B28" s="769">
        <v>8.9378338381129101</v>
      </c>
      <c r="C28" s="769">
        <v>8.0119791221014793</v>
      </c>
      <c r="D28" s="769">
        <v>8.63206544083247</v>
      </c>
      <c r="E28" s="769">
        <v>7.4174711325331915</v>
      </c>
      <c r="F28" s="769">
        <v>9.7909843198683575</v>
      </c>
      <c r="G28" s="769">
        <v>9.8145285935085003</v>
      </c>
      <c r="H28" s="769">
        <v>8.5612218225270418</v>
      </c>
      <c r="I28" s="769">
        <v>7.7350585543141737</v>
      </c>
      <c r="J28" s="769">
        <v>8.2459614677341779</v>
      </c>
      <c r="K28" s="769">
        <v>7.2599116968107751</v>
      </c>
      <c r="L28" s="769">
        <v>9.4279891727077576</v>
      </c>
      <c r="M28" s="769">
        <v>9.1662728684263826</v>
      </c>
      <c r="N28" s="769">
        <v>8.0555485248086942</v>
      </c>
      <c r="O28" s="769">
        <v>7.2362101389471416</v>
      </c>
      <c r="P28" s="769">
        <v>7.7775087420955122</v>
      </c>
      <c r="Q28" s="769">
        <v>6.805092116005822</v>
      </c>
      <c r="R28" s="769">
        <v>8.8858992684772549</v>
      </c>
      <c r="S28" s="770">
        <v>8.618604518809402</v>
      </c>
    </row>
    <row r="29" spans="1:19" ht="15.95" customHeight="1">
      <c r="A29" s="3021" t="s">
        <v>919</v>
      </c>
      <c r="B29" s="767">
        <v>151950</v>
      </c>
      <c r="C29" s="767">
        <v>207035</v>
      </c>
      <c r="D29" s="767">
        <v>120371</v>
      </c>
      <c r="E29" s="767">
        <v>167703</v>
      </c>
      <c r="F29" s="767">
        <v>31579</v>
      </c>
      <c r="G29" s="767">
        <v>39332</v>
      </c>
      <c r="H29" s="767">
        <v>156272</v>
      </c>
      <c r="I29" s="767">
        <v>215272</v>
      </c>
      <c r="J29" s="767">
        <v>126869</v>
      </c>
      <c r="K29" s="767">
        <v>178478</v>
      </c>
      <c r="L29" s="767">
        <v>29403</v>
      </c>
      <c r="M29" s="767">
        <v>36794</v>
      </c>
      <c r="N29" s="767">
        <v>163426</v>
      </c>
      <c r="O29" s="767">
        <v>225786</v>
      </c>
      <c r="P29" s="767">
        <v>135798</v>
      </c>
      <c r="Q29" s="767">
        <v>190380</v>
      </c>
      <c r="R29" s="767">
        <v>27628</v>
      </c>
      <c r="S29" s="768">
        <v>35406</v>
      </c>
    </row>
    <row r="30" spans="1:19" ht="15.95" customHeight="1">
      <c r="A30" s="3021"/>
      <c r="B30" s="769">
        <v>31.716577573593106</v>
      </c>
      <c r="C30" s="769">
        <v>35.429964918285272</v>
      </c>
      <c r="D30" s="769">
        <v>34.129889277967592</v>
      </c>
      <c r="E30" s="769">
        <v>38.164452394281575</v>
      </c>
      <c r="F30" s="769">
        <v>24.982990775462412</v>
      </c>
      <c r="G30" s="769">
        <v>27.138993155221904</v>
      </c>
      <c r="H30" s="769">
        <v>32.419289925606911</v>
      </c>
      <c r="I30" s="769">
        <v>36.221564140530354</v>
      </c>
      <c r="J30" s="769">
        <v>35.892437830650408</v>
      </c>
      <c r="K30" s="769">
        <v>40.00044823953921</v>
      </c>
      <c r="L30" s="769">
        <v>22.870321396347347</v>
      </c>
      <c r="M30" s="769">
        <v>24.838992776615136</v>
      </c>
      <c r="N30" s="769">
        <v>34.470205100947467</v>
      </c>
      <c r="O30" s="769">
        <v>38.184419520246777</v>
      </c>
      <c r="P30" s="769">
        <v>38.233787002573358</v>
      </c>
      <c r="Q30" s="769">
        <v>42.237584750275104</v>
      </c>
      <c r="R30" s="769">
        <v>23.23047170604557</v>
      </c>
      <c r="S30" s="770">
        <v>25.187809458767283</v>
      </c>
    </row>
    <row r="31" spans="1:19" ht="15.95" customHeight="1">
      <c r="A31" s="3022" t="s">
        <v>920</v>
      </c>
      <c r="B31" s="767">
        <v>68813</v>
      </c>
      <c r="C31" s="767">
        <v>91014</v>
      </c>
      <c r="D31" s="767">
        <v>47471</v>
      </c>
      <c r="E31" s="767">
        <v>66996</v>
      </c>
      <c r="F31" s="767">
        <v>21342</v>
      </c>
      <c r="G31" s="767">
        <v>24018</v>
      </c>
      <c r="H31" s="767">
        <v>70639</v>
      </c>
      <c r="I31" s="767">
        <v>94509</v>
      </c>
      <c r="J31" s="767">
        <v>50945</v>
      </c>
      <c r="K31" s="767">
        <v>71715</v>
      </c>
      <c r="L31" s="767">
        <v>19694</v>
      </c>
      <c r="M31" s="767">
        <v>22794</v>
      </c>
      <c r="N31" s="767">
        <v>66002</v>
      </c>
      <c r="O31" s="767">
        <v>90166</v>
      </c>
      <c r="P31" s="767">
        <v>49696</v>
      </c>
      <c r="Q31" s="767">
        <v>70346</v>
      </c>
      <c r="R31" s="767">
        <v>16306</v>
      </c>
      <c r="S31" s="768">
        <v>19820</v>
      </c>
    </row>
    <row r="32" spans="1:19" ht="15.95" customHeight="1">
      <c r="A32" s="3022"/>
      <c r="B32" s="769">
        <v>14.363361978095837</v>
      </c>
      <c r="C32" s="769">
        <v>15.575254556344657</v>
      </c>
      <c r="D32" s="769">
        <v>13.459886300806669</v>
      </c>
      <c r="E32" s="769">
        <v>15.246391851113508</v>
      </c>
      <c r="F32" s="769">
        <v>16.884226515403235</v>
      </c>
      <c r="G32" s="769">
        <v>16.572366968425701</v>
      </c>
      <c r="H32" s="769">
        <v>14.654360480795962</v>
      </c>
      <c r="I32" s="769">
        <v>15.902039305424687</v>
      </c>
      <c r="J32" s="769">
        <v>14.412821455851981</v>
      </c>
      <c r="K32" s="769">
        <v>16.072749277213745</v>
      </c>
      <c r="L32" s="769">
        <v>15.318440621013659</v>
      </c>
      <c r="M32" s="769">
        <v>15.3878350097887</v>
      </c>
      <c r="N32" s="769">
        <v>13.921300631923527</v>
      </c>
      <c r="O32" s="769">
        <v>15.248670734512196</v>
      </c>
      <c r="P32" s="769">
        <v>13.991857603793029</v>
      </c>
      <c r="Q32" s="769">
        <v>15.606918462248412</v>
      </c>
      <c r="R32" s="769">
        <v>13.710586059026317</v>
      </c>
      <c r="S32" s="770">
        <v>14.099937396847078</v>
      </c>
    </row>
    <row r="33" spans="1:19">
      <c r="A33" s="3029" t="s">
        <v>925</v>
      </c>
      <c r="B33" s="3030"/>
      <c r="C33" s="3030"/>
      <c r="D33" s="3030"/>
      <c r="E33" s="3030"/>
      <c r="F33" s="3030"/>
      <c r="G33" s="3030"/>
      <c r="H33" s="3030"/>
      <c r="I33" s="3030"/>
      <c r="J33" s="3030"/>
      <c r="K33" s="3030"/>
      <c r="L33" s="3030"/>
      <c r="M33" s="3030"/>
      <c r="N33" s="3030"/>
      <c r="O33" s="3030"/>
      <c r="P33" s="3030"/>
      <c r="Q33" s="3030"/>
      <c r="R33" s="3030"/>
      <c r="S33" s="3030"/>
    </row>
    <row r="34" spans="1:19">
      <c r="A34" s="3031" t="s">
        <v>926</v>
      </c>
      <c r="B34" s="3031"/>
      <c r="C34" s="3031"/>
      <c r="D34" s="3031"/>
      <c r="E34" s="3031"/>
      <c r="F34" s="3031"/>
      <c r="G34" s="3031"/>
      <c r="H34" s="3031"/>
      <c r="I34" s="3031"/>
      <c r="J34" s="3031"/>
      <c r="K34" s="3031"/>
      <c r="L34" s="3031"/>
      <c r="M34" s="3031"/>
      <c r="N34" s="3031"/>
      <c r="O34" s="3031"/>
      <c r="P34" s="3031"/>
      <c r="Q34" s="3031"/>
      <c r="R34" s="3031"/>
      <c r="S34" s="3031"/>
    </row>
    <row r="37" spans="1:19">
      <c r="C37" s="668" t="s">
        <v>927</v>
      </c>
      <c r="L37" s="668" t="s">
        <v>858</v>
      </c>
    </row>
  </sheetData>
  <mergeCells count="40">
    <mergeCell ref="A33:S33"/>
    <mergeCell ref="A34:S34"/>
    <mergeCell ref="A21:A22"/>
    <mergeCell ref="A23:A24"/>
    <mergeCell ref="A25:A26"/>
    <mergeCell ref="A27:A28"/>
    <mergeCell ref="A29:A30"/>
    <mergeCell ref="A31:A32"/>
    <mergeCell ref="N18:S18"/>
    <mergeCell ref="B19:C19"/>
    <mergeCell ref="D19:E19"/>
    <mergeCell ref="F19:G19"/>
    <mergeCell ref="H19:I19"/>
    <mergeCell ref="J19:K19"/>
    <mergeCell ref="L19:M19"/>
    <mergeCell ref="N19:O19"/>
    <mergeCell ref="P19:Q19"/>
    <mergeCell ref="R19:S19"/>
    <mergeCell ref="H18:M18"/>
    <mergeCell ref="A10:A11"/>
    <mergeCell ref="A12:A13"/>
    <mergeCell ref="A14:A15"/>
    <mergeCell ref="A16:A17"/>
    <mergeCell ref="B18:G18"/>
    <mergeCell ref="A8:A9"/>
    <mergeCell ref="A1:S1"/>
    <mergeCell ref="O2:S2"/>
    <mergeCell ref="B3:G3"/>
    <mergeCell ref="H3:M3"/>
    <mergeCell ref="N3:S3"/>
    <mergeCell ref="B4:C4"/>
    <mergeCell ref="D4:E4"/>
    <mergeCell ref="F4:G4"/>
    <mergeCell ref="H4:I4"/>
    <mergeCell ref="J4:K4"/>
    <mergeCell ref="L4:M4"/>
    <mergeCell ref="N4:O4"/>
    <mergeCell ref="P4:Q4"/>
    <mergeCell ref="R4:S4"/>
    <mergeCell ref="A6:A7"/>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0"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U18"/>
  <sheetViews>
    <sheetView showGridLines="0" workbookViewId="0">
      <selection activeCell="B16" sqref="B16"/>
    </sheetView>
  </sheetViews>
  <sheetFormatPr defaultColWidth="9" defaultRowHeight="15.75"/>
  <cols>
    <col min="1" max="1" width="15.375" style="687" customWidth="1"/>
    <col min="2" max="2" width="12" style="687" customWidth="1"/>
    <col min="3" max="3" width="10.625" style="687" customWidth="1"/>
    <col min="4" max="4" width="9.625" style="687" customWidth="1"/>
    <col min="5" max="5" width="12" style="687" customWidth="1"/>
    <col min="6" max="6" width="10.625" style="687" customWidth="1"/>
    <col min="7" max="7" width="9.625" style="687" customWidth="1"/>
    <col min="8" max="8" width="12.5" style="687" customWidth="1"/>
    <col min="9" max="10" width="9.75" style="687" customWidth="1"/>
    <col min="11" max="16384" width="9" style="687"/>
  </cols>
  <sheetData>
    <row r="1" spans="1:21" s="771" customFormat="1" ht="37.5" customHeight="1">
      <c r="A1" s="2967" t="s">
        <v>928</v>
      </c>
      <c r="B1" s="2967"/>
      <c r="C1" s="2967"/>
      <c r="D1" s="2967"/>
      <c r="E1" s="2967"/>
      <c r="F1" s="2967"/>
      <c r="G1" s="2967"/>
      <c r="H1" s="2967"/>
      <c r="I1" s="2967"/>
      <c r="J1" s="2967"/>
      <c r="K1" s="666"/>
      <c r="L1" s="666"/>
      <c r="M1" s="666"/>
      <c r="N1" s="666"/>
      <c r="O1" s="666"/>
      <c r="P1" s="666"/>
      <c r="Q1" s="666"/>
      <c r="R1" s="666"/>
      <c r="S1" s="666"/>
      <c r="T1" s="666"/>
      <c r="U1" s="666"/>
    </row>
    <row r="2" spans="1:21" ht="38.450000000000003" customHeight="1">
      <c r="A2" s="2969"/>
      <c r="B2" s="3032" t="s">
        <v>929</v>
      </c>
      <c r="C2" s="3032"/>
      <c r="D2" s="3033"/>
      <c r="E2" s="2974" t="s">
        <v>930</v>
      </c>
      <c r="F2" s="2969"/>
      <c r="G2" s="3034"/>
      <c r="H2" s="2974" t="s">
        <v>931</v>
      </c>
      <c r="I2" s="2969"/>
      <c r="J2" s="2969"/>
      <c r="K2" s="772"/>
    </row>
    <row r="3" spans="1:21" ht="21.6" customHeight="1">
      <c r="A3" s="2970"/>
      <c r="B3" s="773"/>
      <c r="C3" s="3035" t="s">
        <v>932</v>
      </c>
      <c r="D3" s="2973"/>
      <c r="E3" s="774"/>
      <c r="F3" s="3035" t="s">
        <v>932</v>
      </c>
      <c r="G3" s="2973"/>
      <c r="H3" s="774"/>
      <c r="I3" s="3035" t="s">
        <v>932</v>
      </c>
      <c r="J3" s="2972"/>
      <c r="K3" s="772"/>
    </row>
    <row r="4" spans="1:21" ht="24.6" customHeight="1">
      <c r="A4" s="2971"/>
      <c r="B4" s="775"/>
      <c r="C4" s="776" t="s">
        <v>933</v>
      </c>
      <c r="D4" s="776" t="s">
        <v>934</v>
      </c>
      <c r="E4" s="677"/>
      <c r="F4" s="776" t="s">
        <v>935</v>
      </c>
      <c r="G4" s="776" t="s">
        <v>936</v>
      </c>
      <c r="H4" s="677"/>
      <c r="I4" s="776" t="s">
        <v>935</v>
      </c>
      <c r="J4" s="777" t="s">
        <v>937</v>
      </c>
      <c r="K4" s="772"/>
    </row>
    <row r="5" spans="1:21" ht="29.25" customHeight="1">
      <c r="A5" s="778" t="s">
        <v>938</v>
      </c>
      <c r="B5" s="779">
        <f>SUM(E5,H5)</f>
        <v>523887</v>
      </c>
      <c r="C5" s="779">
        <v>218444</v>
      </c>
      <c r="D5" s="780">
        <f>C5/B5*100</f>
        <v>41.696778121999586</v>
      </c>
      <c r="E5" s="779">
        <v>398854</v>
      </c>
      <c r="F5" s="779">
        <v>156510</v>
      </c>
      <c r="G5" s="780">
        <v>39.24</v>
      </c>
      <c r="H5" s="779">
        <v>125033</v>
      </c>
      <c r="I5" s="779">
        <v>61934</v>
      </c>
      <c r="J5" s="781">
        <v>49.53</v>
      </c>
    </row>
    <row r="6" spans="1:21" ht="29.25" customHeight="1">
      <c r="A6" s="778" t="s">
        <v>939</v>
      </c>
      <c r="B6" s="779">
        <f t="shared" ref="B6:B14" si="0">SUM(E6,H6)</f>
        <v>508257</v>
      </c>
      <c r="C6" s="779">
        <v>211783</v>
      </c>
      <c r="D6" s="780">
        <f t="shared" ref="D6:D14" si="1">C6/B6*100</f>
        <v>41.668486612087982</v>
      </c>
      <c r="E6" s="779">
        <v>384663</v>
      </c>
      <c r="F6" s="779">
        <v>151772</v>
      </c>
      <c r="G6" s="780">
        <v>39.46</v>
      </c>
      <c r="H6" s="779">
        <v>123594</v>
      </c>
      <c r="I6" s="779">
        <v>60011</v>
      </c>
      <c r="J6" s="781">
        <v>48.55</v>
      </c>
    </row>
    <row r="7" spans="1:21" ht="29.25" customHeight="1">
      <c r="A7" s="778" t="s">
        <v>940</v>
      </c>
      <c r="B7" s="779">
        <f t="shared" si="0"/>
        <v>494883</v>
      </c>
      <c r="C7" s="779">
        <v>203760</v>
      </c>
      <c r="D7" s="780">
        <f t="shared" si="1"/>
        <v>41.173368250677434</v>
      </c>
      <c r="E7" s="779">
        <v>378842</v>
      </c>
      <c r="F7" s="779">
        <v>145965</v>
      </c>
      <c r="G7" s="780">
        <v>38.53</v>
      </c>
      <c r="H7" s="779">
        <v>116041</v>
      </c>
      <c r="I7" s="779">
        <v>57795</v>
      </c>
      <c r="J7" s="781">
        <v>49.81</v>
      </c>
    </row>
    <row r="8" spans="1:21" ht="29.25" customHeight="1">
      <c r="A8" s="778" t="s">
        <v>941</v>
      </c>
      <c r="B8" s="779">
        <f t="shared" si="0"/>
        <v>496964</v>
      </c>
      <c r="C8" s="779">
        <v>208262</v>
      </c>
      <c r="D8" s="780">
        <f t="shared" si="1"/>
        <v>41.906858444474857</v>
      </c>
      <c r="E8" s="779">
        <v>383219</v>
      </c>
      <c r="F8" s="779">
        <v>151908</v>
      </c>
      <c r="G8" s="780">
        <v>39.64</v>
      </c>
      <c r="H8" s="779">
        <v>113745</v>
      </c>
      <c r="I8" s="779">
        <v>56354</v>
      </c>
      <c r="J8" s="781">
        <v>49.54</v>
      </c>
    </row>
    <row r="9" spans="1:21" ht="29.25" customHeight="1">
      <c r="A9" s="778" t="s">
        <v>942</v>
      </c>
      <c r="B9" s="779">
        <f t="shared" si="0"/>
        <v>511049</v>
      </c>
      <c r="C9" s="779">
        <v>219121</v>
      </c>
      <c r="D9" s="780">
        <f t="shared" si="1"/>
        <v>42.876710452422373</v>
      </c>
      <c r="E9" s="779">
        <v>403028</v>
      </c>
      <c r="F9" s="779">
        <v>165930</v>
      </c>
      <c r="G9" s="780">
        <v>41.17</v>
      </c>
      <c r="H9" s="779">
        <v>108021</v>
      </c>
      <c r="I9" s="779">
        <v>53191</v>
      </c>
      <c r="J9" s="781">
        <v>49.24</v>
      </c>
    </row>
    <row r="10" spans="1:21" ht="29.25" customHeight="1">
      <c r="A10" s="778" t="s">
        <v>875</v>
      </c>
      <c r="B10" s="779">
        <f t="shared" si="0"/>
        <v>529775</v>
      </c>
      <c r="C10" s="779">
        <v>226278</v>
      </c>
      <c r="D10" s="780">
        <f t="shared" si="1"/>
        <v>42.712094757208249</v>
      </c>
      <c r="E10" s="779">
        <v>409622</v>
      </c>
      <c r="F10" s="779">
        <v>167950</v>
      </c>
      <c r="G10" s="780">
        <v>41</v>
      </c>
      <c r="H10" s="779">
        <v>120153</v>
      </c>
      <c r="I10" s="779">
        <v>58328</v>
      </c>
      <c r="J10" s="781">
        <v>48.54</v>
      </c>
    </row>
    <row r="11" spans="1:21" ht="29.25" customHeight="1">
      <c r="A11" s="778" t="s">
        <v>943</v>
      </c>
      <c r="B11" s="779">
        <f t="shared" si="0"/>
        <v>558404</v>
      </c>
      <c r="C11" s="779">
        <v>235549</v>
      </c>
      <c r="D11" s="780">
        <f t="shared" si="1"/>
        <v>42.182541672337592</v>
      </c>
      <c r="E11" s="779">
        <v>421750</v>
      </c>
      <c r="F11" s="779">
        <v>169655</v>
      </c>
      <c r="G11" s="780">
        <v>40.229999999999997</v>
      </c>
      <c r="H11" s="779">
        <v>136654</v>
      </c>
      <c r="I11" s="779">
        <v>65894</v>
      </c>
      <c r="J11" s="781">
        <v>48.22</v>
      </c>
    </row>
    <row r="12" spans="1:21" ht="29.25" customHeight="1">
      <c r="A12" s="778" t="s">
        <v>877</v>
      </c>
      <c r="B12" s="779">
        <f t="shared" si="0"/>
        <v>584350</v>
      </c>
      <c r="C12" s="779">
        <v>239483</v>
      </c>
      <c r="D12" s="780">
        <f t="shared" si="1"/>
        <v>40.982801403268589</v>
      </c>
      <c r="E12" s="779">
        <v>439422</v>
      </c>
      <c r="F12" s="779">
        <v>172129</v>
      </c>
      <c r="G12" s="780">
        <v>39.17</v>
      </c>
      <c r="H12" s="779">
        <v>144928</v>
      </c>
      <c r="I12" s="779">
        <v>67354</v>
      </c>
      <c r="J12" s="781">
        <v>46.47</v>
      </c>
    </row>
    <row r="13" spans="1:21" ht="29.25" customHeight="1">
      <c r="A13" s="778" t="s">
        <v>878</v>
      </c>
      <c r="B13" s="779">
        <f t="shared" si="0"/>
        <v>594320</v>
      </c>
      <c r="C13" s="779">
        <v>238568</v>
      </c>
      <c r="D13" s="780">
        <f t="shared" si="1"/>
        <v>40.141337999730787</v>
      </c>
      <c r="E13" s="779">
        <v>446190</v>
      </c>
      <c r="F13" s="779">
        <v>163604</v>
      </c>
      <c r="G13" s="780">
        <v>36.67</v>
      </c>
      <c r="H13" s="779">
        <v>148130</v>
      </c>
      <c r="I13" s="779">
        <v>74964</v>
      </c>
      <c r="J13" s="781">
        <v>50.61</v>
      </c>
    </row>
    <row r="14" spans="1:21" ht="29.25" customHeight="1">
      <c r="A14" s="782" t="s">
        <v>843</v>
      </c>
      <c r="B14" s="783">
        <f t="shared" si="0"/>
        <v>591304</v>
      </c>
      <c r="C14" s="783">
        <v>232564</v>
      </c>
      <c r="D14" s="784">
        <f t="shared" si="1"/>
        <v>39.330699606293884</v>
      </c>
      <c r="E14" s="783">
        <v>450736</v>
      </c>
      <c r="F14" s="783">
        <v>159337</v>
      </c>
      <c r="G14" s="784">
        <v>35.35</v>
      </c>
      <c r="H14" s="783">
        <v>140568</v>
      </c>
      <c r="I14" s="783">
        <v>73227</v>
      </c>
      <c r="J14" s="785">
        <v>52.09</v>
      </c>
    </row>
    <row r="15" spans="1:21" s="685" customFormat="1" ht="14.25">
      <c r="A15" s="685" t="s">
        <v>846</v>
      </c>
    </row>
    <row r="16" spans="1:21" s="685" customFormat="1" ht="14.25">
      <c r="A16" s="685" t="s">
        <v>944</v>
      </c>
    </row>
    <row r="17" spans="1:5" s="685" customFormat="1" ht="14.25">
      <c r="A17" s="685" t="s">
        <v>945</v>
      </c>
    </row>
    <row r="18" spans="1:5">
      <c r="A18" s="685"/>
      <c r="B18" s="685"/>
      <c r="C18" s="685"/>
      <c r="D18" s="685"/>
      <c r="E18" s="685"/>
    </row>
  </sheetData>
  <mergeCells count="8">
    <mergeCell ref="A1:J1"/>
    <mergeCell ref="A2:A4"/>
    <mergeCell ref="B2:D2"/>
    <mergeCell ref="E2:G2"/>
    <mergeCell ref="H2:J2"/>
    <mergeCell ref="C3:D3"/>
    <mergeCell ref="F3:G3"/>
    <mergeCell ref="I3:J3"/>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71"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AJ88"/>
  <sheetViews>
    <sheetView showGridLines="0" zoomScale="70" zoomScaleNormal="70" workbookViewId="0">
      <selection activeCell="B16" sqref="B16"/>
    </sheetView>
  </sheetViews>
  <sheetFormatPr defaultColWidth="9" defaultRowHeight="15.75"/>
  <cols>
    <col min="1" max="1" width="26.375" style="670" customWidth="1"/>
    <col min="2" max="3" width="8.375" style="670" customWidth="1"/>
    <col min="4" max="4" width="7" style="670" customWidth="1"/>
    <col min="5" max="6" width="8" style="670" customWidth="1"/>
    <col min="7" max="7" width="7.5" style="670" customWidth="1"/>
    <col min="8" max="8" width="6.625" style="670" customWidth="1"/>
    <col min="9" max="10" width="8.375" style="670" customWidth="1"/>
    <col min="11" max="11" width="7.25" style="670" customWidth="1"/>
    <col min="12" max="13" width="8" style="670" customWidth="1"/>
    <col min="14" max="14" width="7.5" style="670" customWidth="1"/>
    <col min="15" max="15" width="6.625" style="670" customWidth="1"/>
    <col min="16" max="16" width="9.25" style="670" customWidth="1"/>
    <col min="17" max="17" width="8.375" style="670" customWidth="1"/>
    <col min="18" max="18" width="8" style="670" bestFit="1" customWidth="1"/>
    <col min="19" max="20" width="8" style="670" customWidth="1"/>
    <col min="21" max="21" width="7.5" style="670" customWidth="1"/>
    <col min="22" max="22" width="6.625" style="670" customWidth="1"/>
    <col min="23" max="23" width="9" style="669"/>
    <col min="24" max="28" width="9" style="670"/>
    <col min="29" max="29" width="6.625" style="670" customWidth="1"/>
    <col min="30" max="35" width="9" style="670"/>
    <col min="36" max="36" width="6.625" style="670" customWidth="1"/>
    <col min="37" max="16384" width="9" style="670"/>
  </cols>
  <sheetData>
    <row r="1" spans="1:36" s="667" customFormat="1" ht="30.6" customHeight="1">
      <c r="A1" s="2967" t="s">
        <v>946</v>
      </c>
      <c r="B1" s="2967"/>
      <c r="C1" s="2967"/>
      <c r="D1" s="2967"/>
      <c r="E1" s="2967"/>
      <c r="F1" s="2967"/>
      <c r="G1" s="2967"/>
      <c r="H1" s="2967"/>
      <c r="I1" s="2967"/>
      <c r="J1" s="2967"/>
      <c r="K1" s="2967"/>
      <c r="L1" s="2967"/>
      <c r="M1" s="2967"/>
      <c r="N1" s="2967"/>
      <c r="O1" s="2967"/>
      <c r="P1" s="2967"/>
      <c r="Q1" s="2967"/>
      <c r="R1" s="2967"/>
      <c r="S1" s="2967"/>
      <c r="T1" s="2967"/>
      <c r="U1" s="2967"/>
      <c r="V1" s="2967"/>
      <c r="W1" s="2967"/>
      <c r="X1" s="2967"/>
      <c r="Y1" s="2967"/>
      <c r="Z1" s="2967"/>
      <c r="AA1" s="2967"/>
      <c r="AB1" s="2967"/>
      <c r="AC1" s="2967"/>
      <c r="AD1" s="2967"/>
      <c r="AE1" s="2967"/>
      <c r="AF1" s="2967"/>
      <c r="AG1" s="2967"/>
      <c r="AH1" s="2967"/>
      <c r="AI1" s="2967"/>
      <c r="AJ1" s="2967"/>
    </row>
    <row r="2" spans="1:36" s="668" customFormat="1">
      <c r="U2" s="3040"/>
      <c r="V2" s="3040"/>
      <c r="W2" s="786"/>
      <c r="AJ2" s="787" t="s">
        <v>947</v>
      </c>
    </row>
    <row r="3" spans="1:36" ht="21" customHeight="1">
      <c r="A3" s="3034" t="s">
        <v>948</v>
      </c>
      <c r="B3" s="788">
        <v>104</v>
      </c>
      <c r="C3" s="789" t="s">
        <v>949</v>
      </c>
      <c r="D3" s="789"/>
      <c r="E3" s="790"/>
      <c r="F3" s="790"/>
      <c r="G3" s="790"/>
      <c r="H3" s="791"/>
      <c r="I3" s="792">
        <v>105</v>
      </c>
      <c r="J3" s="789" t="s">
        <v>949</v>
      </c>
      <c r="K3" s="789"/>
      <c r="L3" s="790"/>
      <c r="M3" s="790"/>
      <c r="N3" s="790"/>
      <c r="O3" s="790"/>
      <c r="P3" s="788">
        <v>106</v>
      </c>
      <c r="Q3" s="789" t="s">
        <v>949</v>
      </c>
      <c r="R3" s="789"/>
      <c r="S3" s="790"/>
      <c r="T3" s="790"/>
      <c r="U3" s="790"/>
      <c r="V3" s="791"/>
      <c r="W3" s="788">
        <v>107</v>
      </c>
      <c r="X3" s="789" t="s">
        <v>950</v>
      </c>
      <c r="Y3" s="789"/>
      <c r="Z3" s="790"/>
      <c r="AA3" s="790"/>
      <c r="AB3" s="790"/>
      <c r="AC3" s="793"/>
      <c r="AD3" s="788">
        <v>108</v>
      </c>
      <c r="AE3" s="789" t="s">
        <v>950</v>
      </c>
      <c r="AF3" s="789"/>
      <c r="AG3" s="790"/>
      <c r="AH3" s="790"/>
      <c r="AI3" s="790"/>
      <c r="AJ3" s="793"/>
    </row>
    <row r="4" spans="1:36" ht="21" customHeight="1">
      <c r="A4" s="3041"/>
      <c r="B4" s="794"/>
      <c r="C4" s="795"/>
      <c r="D4" s="796"/>
      <c r="E4" s="3038" t="s">
        <v>951</v>
      </c>
      <c r="F4" s="797"/>
      <c r="G4" s="798"/>
      <c r="H4" s="3036" t="s">
        <v>952</v>
      </c>
      <c r="I4" s="795"/>
      <c r="J4" s="795"/>
      <c r="K4" s="796"/>
      <c r="L4" s="3038" t="s">
        <v>951</v>
      </c>
      <c r="M4" s="797"/>
      <c r="N4" s="798"/>
      <c r="O4" s="3038" t="s">
        <v>953</v>
      </c>
      <c r="P4" s="794"/>
      <c r="Q4" s="795"/>
      <c r="R4" s="796"/>
      <c r="S4" s="3038" t="s">
        <v>951</v>
      </c>
      <c r="T4" s="797"/>
      <c r="U4" s="798"/>
      <c r="V4" s="3036" t="s">
        <v>953</v>
      </c>
      <c r="W4" s="794"/>
      <c r="X4" s="795"/>
      <c r="Y4" s="796"/>
      <c r="Z4" s="3038" t="s">
        <v>954</v>
      </c>
      <c r="AA4" s="797"/>
      <c r="AB4" s="798"/>
      <c r="AC4" s="3036" t="s">
        <v>955</v>
      </c>
      <c r="AD4" s="795"/>
      <c r="AE4" s="795"/>
      <c r="AF4" s="796"/>
      <c r="AG4" s="3038" t="s">
        <v>951</v>
      </c>
      <c r="AH4" s="797"/>
      <c r="AI4" s="798"/>
      <c r="AJ4" s="3038" t="s">
        <v>956</v>
      </c>
    </row>
    <row r="5" spans="1:36" ht="50.45" customHeight="1">
      <c r="A5" s="3042"/>
      <c r="B5" s="799"/>
      <c r="C5" s="800" t="s">
        <v>957</v>
      </c>
      <c r="D5" s="800" t="s">
        <v>958</v>
      </c>
      <c r="E5" s="3037"/>
      <c r="F5" s="799" t="s">
        <v>957</v>
      </c>
      <c r="G5" s="799" t="s">
        <v>959</v>
      </c>
      <c r="H5" s="3037"/>
      <c r="I5" s="801"/>
      <c r="J5" s="800" t="s">
        <v>957</v>
      </c>
      <c r="K5" s="800" t="s">
        <v>959</v>
      </c>
      <c r="L5" s="3037"/>
      <c r="M5" s="799" t="s">
        <v>957</v>
      </c>
      <c r="N5" s="799" t="s">
        <v>960</v>
      </c>
      <c r="O5" s="3039"/>
      <c r="P5" s="799"/>
      <c r="Q5" s="800" t="s">
        <v>957</v>
      </c>
      <c r="R5" s="800" t="s">
        <v>959</v>
      </c>
      <c r="S5" s="3037"/>
      <c r="T5" s="799" t="s">
        <v>957</v>
      </c>
      <c r="U5" s="799" t="s">
        <v>960</v>
      </c>
      <c r="V5" s="3037"/>
      <c r="W5" s="799"/>
      <c r="X5" s="800" t="s">
        <v>957</v>
      </c>
      <c r="Y5" s="800" t="s">
        <v>959</v>
      </c>
      <c r="Z5" s="3037"/>
      <c r="AA5" s="799" t="s">
        <v>957</v>
      </c>
      <c r="AB5" s="799" t="s">
        <v>959</v>
      </c>
      <c r="AC5" s="3037"/>
      <c r="AD5" s="801"/>
      <c r="AE5" s="800" t="s">
        <v>957</v>
      </c>
      <c r="AF5" s="800" t="s">
        <v>959</v>
      </c>
      <c r="AG5" s="3037"/>
      <c r="AH5" s="799" t="s">
        <v>957</v>
      </c>
      <c r="AI5" s="799" t="s">
        <v>961</v>
      </c>
      <c r="AJ5" s="3039"/>
    </row>
    <row r="6" spans="1:36" ht="19.5" customHeight="1">
      <c r="A6" s="802" t="s">
        <v>349</v>
      </c>
      <c r="B6" s="803">
        <v>409622</v>
      </c>
      <c r="C6" s="803">
        <v>320768</v>
      </c>
      <c r="D6" s="803">
        <v>88713</v>
      </c>
      <c r="E6" s="803">
        <v>167950</v>
      </c>
      <c r="F6" s="803">
        <v>143282</v>
      </c>
      <c r="G6" s="803">
        <v>24667</v>
      </c>
      <c r="H6" s="804">
        <v>41.001215755013156</v>
      </c>
      <c r="I6" s="805">
        <v>421750</v>
      </c>
      <c r="J6" s="805">
        <v>328909</v>
      </c>
      <c r="K6" s="805">
        <v>92711</v>
      </c>
      <c r="L6" s="805">
        <v>169655</v>
      </c>
      <c r="M6" s="805">
        <v>143688</v>
      </c>
      <c r="N6" s="805">
        <v>25967</v>
      </c>
      <c r="O6" s="806">
        <v>40.226437462951985</v>
      </c>
      <c r="P6" s="803">
        <v>439422</v>
      </c>
      <c r="Q6" s="803">
        <v>341120</v>
      </c>
      <c r="R6" s="803">
        <v>98190</v>
      </c>
      <c r="S6" s="803">
        <v>172129</v>
      </c>
      <c r="T6" s="803">
        <v>145354</v>
      </c>
      <c r="U6" s="803">
        <v>26774</v>
      </c>
      <c r="V6" s="806">
        <v>39.171684622071723</v>
      </c>
      <c r="W6" s="803">
        <v>446190</v>
      </c>
      <c r="X6" s="803">
        <v>343692</v>
      </c>
      <c r="Y6" s="803">
        <v>102407</v>
      </c>
      <c r="Z6" s="803">
        <v>163604</v>
      </c>
      <c r="AA6" s="803">
        <v>138339</v>
      </c>
      <c r="AB6" s="803">
        <v>25265</v>
      </c>
      <c r="AC6" s="806">
        <v>36.666890786436277</v>
      </c>
      <c r="AD6" s="803">
        <v>450736</v>
      </c>
      <c r="AE6" s="803">
        <v>346386</v>
      </c>
      <c r="AF6" s="803">
        <v>104257</v>
      </c>
      <c r="AG6" s="803">
        <v>159337</v>
      </c>
      <c r="AH6" s="803">
        <v>134704</v>
      </c>
      <c r="AI6" s="803">
        <v>24632</v>
      </c>
      <c r="AJ6" s="806">
        <v>35.350404671470656</v>
      </c>
    </row>
    <row r="7" spans="1:36" ht="19.5" customHeight="1">
      <c r="A7" s="724" t="s">
        <v>868</v>
      </c>
      <c r="B7" s="711">
        <v>2262</v>
      </c>
      <c r="C7" s="711">
        <v>1999</v>
      </c>
      <c r="D7" s="711">
        <v>260</v>
      </c>
      <c r="E7" s="711">
        <v>1491</v>
      </c>
      <c r="F7" s="711">
        <v>1336</v>
      </c>
      <c r="G7" s="711">
        <v>155</v>
      </c>
      <c r="H7" s="807">
        <v>65.91511936339522</v>
      </c>
      <c r="I7" s="715">
        <v>2314</v>
      </c>
      <c r="J7" s="715">
        <v>2070</v>
      </c>
      <c r="K7" s="715">
        <v>244</v>
      </c>
      <c r="L7" s="715">
        <v>1613</v>
      </c>
      <c r="M7" s="715">
        <v>1463</v>
      </c>
      <c r="N7" s="715">
        <v>150</v>
      </c>
      <c r="O7" s="808">
        <v>69.70613656006914</v>
      </c>
      <c r="P7" s="711">
        <v>2648</v>
      </c>
      <c r="Q7" s="711">
        <v>2368</v>
      </c>
      <c r="R7" s="711">
        <v>280</v>
      </c>
      <c r="S7" s="711">
        <v>1909</v>
      </c>
      <c r="T7" s="711">
        <v>1726</v>
      </c>
      <c r="U7" s="711">
        <v>183</v>
      </c>
      <c r="V7" s="808">
        <v>72.092145015105729</v>
      </c>
      <c r="W7" s="711">
        <v>2566</v>
      </c>
      <c r="X7" s="711">
        <v>2291</v>
      </c>
      <c r="Y7" s="711">
        <v>275</v>
      </c>
      <c r="Z7" s="711">
        <v>1790</v>
      </c>
      <c r="AA7" s="711">
        <v>1622</v>
      </c>
      <c r="AB7" s="711">
        <v>168</v>
      </c>
      <c r="AC7" s="808">
        <v>69.758378799688231</v>
      </c>
      <c r="AD7" s="711">
        <v>2524</v>
      </c>
      <c r="AE7" s="711">
        <v>2192</v>
      </c>
      <c r="AF7" s="711">
        <v>332</v>
      </c>
      <c r="AG7" s="711">
        <v>1703</v>
      </c>
      <c r="AH7" s="711">
        <v>1511</v>
      </c>
      <c r="AI7" s="711">
        <v>192</v>
      </c>
      <c r="AJ7" s="808">
        <v>67.472266244057053</v>
      </c>
    </row>
    <row r="8" spans="1:36" ht="19.5" customHeight="1">
      <c r="A8" s="724" t="s">
        <v>962</v>
      </c>
      <c r="B8" s="711">
        <v>1798</v>
      </c>
      <c r="C8" s="711">
        <v>1657</v>
      </c>
      <c r="D8" s="711">
        <v>141</v>
      </c>
      <c r="E8" s="711">
        <v>1226</v>
      </c>
      <c r="F8" s="711">
        <v>1169</v>
      </c>
      <c r="G8" s="711">
        <v>57</v>
      </c>
      <c r="H8" s="807">
        <v>68.186874304783089</v>
      </c>
      <c r="I8" s="715">
        <v>1981</v>
      </c>
      <c r="J8" s="715">
        <v>1823</v>
      </c>
      <c r="K8" s="715">
        <v>158</v>
      </c>
      <c r="L8" s="715">
        <v>1306</v>
      </c>
      <c r="M8" s="715">
        <v>1257</v>
      </c>
      <c r="N8" s="715">
        <v>49</v>
      </c>
      <c r="O8" s="808">
        <v>65.926299848561328</v>
      </c>
      <c r="P8" s="711">
        <v>1723</v>
      </c>
      <c r="Q8" s="711">
        <v>1571</v>
      </c>
      <c r="R8" s="711">
        <v>152</v>
      </c>
      <c r="S8" s="711">
        <v>1124</v>
      </c>
      <c r="T8" s="711">
        <v>1072</v>
      </c>
      <c r="U8" s="711">
        <v>52</v>
      </c>
      <c r="V8" s="808">
        <v>65.235055136390017</v>
      </c>
      <c r="W8" s="711">
        <v>1382</v>
      </c>
      <c r="X8" s="711">
        <v>1245</v>
      </c>
      <c r="Y8" s="711">
        <v>137</v>
      </c>
      <c r="Z8" s="711">
        <v>776</v>
      </c>
      <c r="AA8" s="711">
        <v>734</v>
      </c>
      <c r="AB8" s="711">
        <v>42</v>
      </c>
      <c r="AC8" s="808">
        <v>56.150506512301014</v>
      </c>
      <c r="AD8" s="711">
        <v>1369</v>
      </c>
      <c r="AE8" s="711">
        <v>1244</v>
      </c>
      <c r="AF8" s="711">
        <v>125</v>
      </c>
      <c r="AG8" s="711">
        <v>878</v>
      </c>
      <c r="AH8" s="711">
        <v>828</v>
      </c>
      <c r="AI8" s="711">
        <v>50</v>
      </c>
      <c r="AJ8" s="808">
        <v>64.134404674945216</v>
      </c>
    </row>
    <row r="9" spans="1:36" ht="19.5" customHeight="1">
      <c r="A9" s="724" t="s">
        <v>853</v>
      </c>
      <c r="B9" s="711">
        <v>102568</v>
      </c>
      <c r="C9" s="711">
        <v>92681</v>
      </c>
      <c r="D9" s="711">
        <v>9887</v>
      </c>
      <c r="E9" s="711">
        <v>67330</v>
      </c>
      <c r="F9" s="711">
        <v>62118</v>
      </c>
      <c r="G9" s="711">
        <v>5212</v>
      </c>
      <c r="H9" s="807">
        <v>65.644255518290308</v>
      </c>
      <c r="I9" s="715">
        <v>96623</v>
      </c>
      <c r="J9" s="715">
        <v>86799</v>
      </c>
      <c r="K9" s="715">
        <v>9824</v>
      </c>
      <c r="L9" s="715">
        <v>63114</v>
      </c>
      <c r="M9" s="715">
        <v>57885</v>
      </c>
      <c r="N9" s="715">
        <v>5229</v>
      </c>
      <c r="O9" s="808">
        <v>65.319851381141135</v>
      </c>
      <c r="P9" s="711">
        <v>94424</v>
      </c>
      <c r="Q9" s="711">
        <v>84500</v>
      </c>
      <c r="R9" s="711">
        <v>9924</v>
      </c>
      <c r="S9" s="711">
        <v>61443</v>
      </c>
      <c r="T9" s="711">
        <v>56294</v>
      </c>
      <c r="U9" s="711">
        <v>5149</v>
      </c>
      <c r="V9" s="808">
        <v>65.071380157587058</v>
      </c>
      <c r="W9" s="711">
        <v>89078</v>
      </c>
      <c r="X9" s="711">
        <v>79446</v>
      </c>
      <c r="Y9" s="711">
        <v>9631</v>
      </c>
      <c r="Z9" s="711">
        <v>56959</v>
      </c>
      <c r="AA9" s="711">
        <v>52314</v>
      </c>
      <c r="AB9" s="711">
        <v>4645</v>
      </c>
      <c r="AC9" s="808">
        <v>63.942836615101371</v>
      </c>
      <c r="AD9" s="711">
        <v>83709</v>
      </c>
      <c r="AE9" s="711">
        <v>74344</v>
      </c>
      <c r="AF9" s="711">
        <v>9364</v>
      </c>
      <c r="AG9" s="711">
        <v>52384</v>
      </c>
      <c r="AH9" s="711">
        <v>48014</v>
      </c>
      <c r="AI9" s="711">
        <v>4370</v>
      </c>
      <c r="AJ9" s="808">
        <v>62.578695241849744</v>
      </c>
    </row>
    <row r="10" spans="1:36" ht="19.5" customHeight="1">
      <c r="A10" s="724" t="s">
        <v>963</v>
      </c>
      <c r="B10" s="711">
        <v>45347</v>
      </c>
      <c r="C10" s="711">
        <v>36779</v>
      </c>
      <c r="D10" s="711">
        <v>8561</v>
      </c>
      <c r="E10" s="711">
        <v>25217</v>
      </c>
      <c r="F10" s="711">
        <v>21659</v>
      </c>
      <c r="G10" s="711">
        <v>3558</v>
      </c>
      <c r="H10" s="807">
        <v>55.608970824971884</v>
      </c>
      <c r="I10" s="715">
        <v>45790</v>
      </c>
      <c r="J10" s="715">
        <v>36948</v>
      </c>
      <c r="K10" s="715">
        <v>8834</v>
      </c>
      <c r="L10" s="715">
        <v>25278</v>
      </c>
      <c r="M10" s="715">
        <v>21716</v>
      </c>
      <c r="N10" s="715">
        <v>3562</v>
      </c>
      <c r="O10" s="808">
        <v>55.20419305525224</v>
      </c>
      <c r="P10" s="711">
        <v>48312</v>
      </c>
      <c r="Q10" s="711">
        <v>38820</v>
      </c>
      <c r="R10" s="711">
        <v>9489</v>
      </c>
      <c r="S10" s="711">
        <v>26529</v>
      </c>
      <c r="T10" s="711">
        <v>22626</v>
      </c>
      <c r="U10" s="711">
        <v>3903</v>
      </c>
      <c r="V10" s="808">
        <v>54.911823149528075</v>
      </c>
      <c r="W10" s="711">
        <v>48168</v>
      </c>
      <c r="X10" s="711">
        <v>38397</v>
      </c>
      <c r="Y10" s="711">
        <v>9768</v>
      </c>
      <c r="Z10" s="711">
        <v>26140</v>
      </c>
      <c r="AA10" s="711">
        <v>22141</v>
      </c>
      <c r="AB10" s="711">
        <v>3999</v>
      </c>
      <c r="AC10" s="808">
        <v>54.268393954492609</v>
      </c>
      <c r="AD10" s="711">
        <v>49860</v>
      </c>
      <c r="AE10" s="711">
        <v>39784</v>
      </c>
      <c r="AF10" s="711">
        <v>10072</v>
      </c>
      <c r="AG10" s="711">
        <v>27015</v>
      </c>
      <c r="AH10" s="711">
        <v>22906</v>
      </c>
      <c r="AI10" s="711">
        <v>4109</v>
      </c>
      <c r="AJ10" s="808">
        <v>54.181708784596871</v>
      </c>
    </row>
    <row r="11" spans="1:36" ht="19.5" customHeight="1">
      <c r="A11" s="724" t="s">
        <v>864</v>
      </c>
      <c r="B11" s="711">
        <v>15307</v>
      </c>
      <c r="C11" s="711">
        <v>10766</v>
      </c>
      <c r="D11" s="711">
        <v>4541</v>
      </c>
      <c r="E11" s="711">
        <v>9451</v>
      </c>
      <c r="F11" s="711">
        <v>6570</v>
      </c>
      <c r="G11" s="711">
        <v>2881</v>
      </c>
      <c r="H11" s="807">
        <v>61.74299340171163</v>
      </c>
      <c r="I11" s="715">
        <v>14385</v>
      </c>
      <c r="J11" s="715">
        <v>9454</v>
      </c>
      <c r="K11" s="715">
        <v>4931</v>
      </c>
      <c r="L11" s="715">
        <v>8694</v>
      </c>
      <c r="M11" s="715">
        <v>5720</v>
      </c>
      <c r="N11" s="715">
        <v>2974</v>
      </c>
      <c r="O11" s="808">
        <v>60.43795620437956</v>
      </c>
      <c r="P11" s="711">
        <v>13120</v>
      </c>
      <c r="Q11" s="711">
        <v>8980</v>
      </c>
      <c r="R11" s="711">
        <v>4140</v>
      </c>
      <c r="S11" s="711">
        <v>7466</v>
      </c>
      <c r="T11" s="711">
        <v>5037</v>
      </c>
      <c r="U11" s="711">
        <v>2429</v>
      </c>
      <c r="V11" s="808">
        <v>56.905487804878049</v>
      </c>
      <c r="W11" s="711">
        <v>12346</v>
      </c>
      <c r="X11" s="711">
        <v>9093</v>
      </c>
      <c r="Y11" s="711">
        <v>3253</v>
      </c>
      <c r="Z11" s="711">
        <v>6164</v>
      </c>
      <c r="AA11" s="711">
        <v>4540</v>
      </c>
      <c r="AB11" s="711">
        <v>1624</v>
      </c>
      <c r="AC11" s="808">
        <v>49.927101895350724</v>
      </c>
      <c r="AD11" s="711">
        <v>11817</v>
      </c>
      <c r="AE11" s="711">
        <v>8678</v>
      </c>
      <c r="AF11" s="711">
        <v>3139</v>
      </c>
      <c r="AG11" s="711">
        <v>5523</v>
      </c>
      <c r="AH11" s="711">
        <v>3877</v>
      </c>
      <c r="AI11" s="711">
        <v>1646</v>
      </c>
      <c r="AJ11" s="808">
        <v>46.737750698146733</v>
      </c>
    </row>
    <row r="12" spans="1:36" ht="19.5" customHeight="1">
      <c r="A12" s="724" t="s">
        <v>964</v>
      </c>
      <c r="B12" s="711">
        <v>2098</v>
      </c>
      <c r="C12" s="711">
        <v>1746</v>
      </c>
      <c r="D12" s="711">
        <v>352</v>
      </c>
      <c r="E12" s="711">
        <v>922</v>
      </c>
      <c r="F12" s="711">
        <v>843</v>
      </c>
      <c r="G12" s="711">
        <v>79</v>
      </c>
      <c r="H12" s="807">
        <v>43.946615824594851</v>
      </c>
      <c r="I12" s="715">
        <v>1679</v>
      </c>
      <c r="J12" s="715">
        <v>1376</v>
      </c>
      <c r="K12" s="715">
        <v>303</v>
      </c>
      <c r="L12" s="715">
        <v>814</v>
      </c>
      <c r="M12" s="715">
        <v>705</v>
      </c>
      <c r="N12" s="715">
        <v>109</v>
      </c>
      <c r="O12" s="808">
        <v>48.481238832638475</v>
      </c>
      <c r="P12" s="711">
        <v>1290</v>
      </c>
      <c r="Q12" s="711">
        <v>1097</v>
      </c>
      <c r="R12" s="711">
        <v>193</v>
      </c>
      <c r="S12" s="711">
        <v>631</v>
      </c>
      <c r="T12" s="711">
        <v>568</v>
      </c>
      <c r="U12" s="711">
        <v>63</v>
      </c>
      <c r="V12" s="808">
        <v>48.914728682170541</v>
      </c>
      <c r="W12" s="711">
        <v>1053</v>
      </c>
      <c r="X12" s="711">
        <v>885</v>
      </c>
      <c r="Y12" s="711">
        <v>168</v>
      </c>
      <c r="Z12" s="711">
        <v>453</v>
      </c>
      <c r="AA12" s="711">
        <v>424</v>
      </c>
      <c r="AB12" s="711">
        <v>29</v>
      </c>
      <c r="AC12" s="808">
        <v>43.019943019943021</v>
      </c>
      <c r="AD12" s="711">
        <v>854</v>
      </c>
      <c r="AE12" s="711">
        <v>719</v>
      </c>
      <c r="AF12" s="711">
        <v>135</v>
      </c>
      <c r="AG12" s="711">
        <v>399</v>
      </c>
      <c r="AH12" s="711">
        <v>364</v>
      </c>
      <c r="AI12" s="711">
        <v>35</v>
      </c>
      <c r="AJ12" s="808">
        <v>46.721311475409841</v>
      </c>
    </row>
    <row r="13" spans="1:36" ht="19.5" customHeight="1">
      <c r="A13" s="724" t="s">
        <v>870</v>
      </c>
      <c r="B13" s="711">
        <v>3900</v>
      </c>
      <c r="C13" s="711">
        <v>2629</v>
      </c>
      <c r="D13" s="711">
        <v>1271</v>
      </c>
      <c r="E13" s="711">
        <v>2245</v>
      </c>
      <c r="F13" s="711">
        <v>1655</v>
      </c>
      <c r="G13" s="711">
        <v>590</v>
      </c>
      <c r="H13" s="807">
        <v>57.564102564102562</v>
      </c>
      <c r="I13" s="715">
        <v>3336</v>
      </c>
      <c r="J13" s="715">
        <v>2263</v>
      </c>
      <c r="K13" s="715">
        <v>1073</v>
      </c>
      <c r="L13" s="715">
        <v>1739</v>
      </c>
      <c r="M13" s="715">
        <v>1327</v>
      </c>
      <c r="N13" s="715">
        <v>412</v>
      </c>
      <c r="O13" s="808">
        <v>52.12829736211031</v>
      </c>
      <c r="P13" s="711">
        <v>3277</v>
      </c>
      <c r="Q13" s="711">
        <v>2223</v>
      </c>
      <c r="R13" s="711">
        <v>1054</v>
      </c>
      <c r="S13" s="711">
        <v>1672</v>
      </c>
      <c r="T13" s="711">
        <v>1283</v>
      </c>
      <c r="U13" s="711">
        <v>389</v>
      </c>
      <c r="V13" s="808">
        <v>51.022276472383275</v>
      </c>
      <c r="W13" s="711">
        <v>3122</v>
      </c>
      <c r="X13" s="711">
        <v>2148</v>
      </c>
      <c r="Y13" s="711">
        <v>974</v>
      </c>
      <c r="Z13" s="711">
        <v>1320</v>
      </c>
      <c r="AA13" s="711">
        <v>1049</v>
      </c>
      <c r="AB13" s="711">
        <v>271</v>
      </c>
      <c r="AC13" s="808">
        <v>42.280589365791158</v>
      </c>
      <c r="AD13" s="711">
        <v>2846</v>
      </c>
      <c r="AE13" s="711">
        <v>2000</v>
      </c>
      <c r="AF13" s="711">
        <v>846</v>
      </c>
      <c r="AG13" s="711">
        <v>1207</v>
      </c>
      <c r="AH13" s="711">
        <v>955</v>
      </c>
      <c r="AI13" s="711">
        <v>252</v>
      </c>
      <c r="AJ13" s="808">
        <v>42.41040056219255</v>
      </c>
    </row>
    <row r="14" spans="1:36" ht="19.5" customHeight="1">
      <c r="A14" s="724" t="s">
        <v>965</v>
      </c>
      <c r="B14" s="711">
        <v>4658</v>
      </c>
      <c r="C14" s="711">
        <v>4572</v>
      </c>
      <c r="D14" s="711">
        <v>86</v>
      </c>
      <c r="E14" s="711">
        <v>2047</v>
      </c>
      <c r="F14" s="711">
        <v>2024</v>
      </c>
      <c r="G14" s="711">
        <v>23</v>
      </c>
      <c r="H14" s="807">
        <v>43.945899527694287</v>
      </c>
      <c r="I14" s="715">
        <v>4650</v>
      </c>
      <c r="J14" s="715">
        <v>4580</v>
      </c>
      <c r="K14" s="715">
        <v>70</v>
      </c>
      <c r="L14" s="715">
        <v>1959</v>
      </c>
      <c r="M14" s="715">
        <v>1944</v>
      </c>
      <c r="N14" s="715">
        <v>15</v>
      </c>
      <c r="O14" s="808">
        <v>42.129032258064512</v>
      </c>
      <c r="P14" s="711">
        <v>4612</v>
      </c>
      <c r="Q14" s="711">
        <v>4538</v>
      </c>
      <c r="R14" s="711">
        <v>74</v>
      </c>
      <c r="S14" s="711">
        <v>1843</v>
      </c>
      <c r="T14" s="711">
        <v>1830</v>
      </c>
      <c r="U14" s="711">
        <v>13</v>
      </c>
      <c r="V14" s="808">
        <v>39.960971379011276</v>
      </c>
      <c r="W14" s="711">
        <v>4248</v>
      </c>
      <c r="X14" s="711">
        <v>4174</v>
      </c>
      <c r="Y14" s="711">
        <v>74</v>
      </c>
      <c r="Z14" s="711">
        <v>1706</v>
      </c>
      <c r="AA14" s="711">
        <v>1687</v>
      </c>
      <c r="AB14" s="711">
        <v>19</v>
      </c>
      <c r="AC14" s="808">
        <v>40.160075329566851</v>
      </c>
      <c r="AD14" s="711">
        <v>4522</v>
      </c>
      <c r="AE14" s="711">
        <v>4446</v>
      </c>
      <c r="AF14" s="711">
        <v>76</v>
      </c>
      <c r="AG14" s="711">
        <v>1797</v>
      </c>
      <c r="AH14" s="711">
        <v>1781</v>
      </c>
      <c r="AI14" s="711">
        <v>16</v>
      </c>
      <c r="AJ14" s="808">
        <v>39.739053516143294</v>
      </c>
    </row>
    <row r="15" spans="1:36" ht="19.5" customHeight="1">
      <c r="A15" s="724" t="s">
        <v>871</v>
      </c>
      <c r="B15" s="711">
        <v>3364</v>
      </c>
      <c r="C15" s="711">
        <v>2891</v>
      </c>
      <c r="D15" s="711">
        <v>473</v>
      </c>
      <c r="E15" s="711">
        <v>1217</v>
      </c>
      <c r="F15" s="711">
        <v>1135</v>
      </c>
      <c r="G15" s="711">
        <v>82</v>
      </c>
      <c r="H15" s="807">
        <v>36.177170035671821</v>
      </c>
      <c r="I15" s="715">
        <v>3035</v>
      </c>
      <c r="J15" s="715">
        <v>2618</v>
      </c>
      <c r="K15" s="715">
        <v>417</v>
      </c>
      <c r="L15" s="715">
        <v>1018</v>
      </c>
      <c r="M15" s="715">
        <v>935</v>
      </c>
      <c r="N15" s="715">
        <v>83</v>
      </c>
      <c r="O15" s="808">
        <v>33.542009884678748</v>
      </c>
      <c r="P15" s="711">
        <v>2681</v>
      </c>
      <c r="Q15" s="711">
        <v>2314</v>
      </c>
      <c r="R15" s="711">
        <v>367</v>
      </c>
      <c r="S15" s="711">
        <v>890</v>
      </c>
      <c r="T15" s="711">
        <v>796</v>
      </c>
      <c r="U15" s="711">
        <v>94</v>
      </c>
      <c r="V15" s="808">
        <v>33.196568444610222</v>
      </c>
      <c r="W15" s="711">
        <v>2636</v>
      </c>
      <c r="X15" s="711">
        <v>2290</v>
      </c>
      <c r="Y15" s="711">
        <v>346</v>
      </c>
      <c r="Z15" s="711">
        <v>830</v>
      </c>
      <c r="AA15" s="711">
        <v>764</v>
      </c>
      <c r="AB15" s="711">
        <v>66</v>
      </c>
      <c r="AC15" s="808">
        <v>31.487101669195749</v>
      </c>
      <c r="AD15" s="711">
        <v>2609</v>
      </c>
      <c r="AE15" s="711">
        <v>2255</v>
      </c>
      <c r="AF15" s="711">
        <v>354</v>
      </c>
      <c r="AG15" s="711">
        <v>866</v>
      </c>
      <c r="AH15" s="711">
        <v>794</v>
      </c>
      <c r="AI15" s="711">
        <v>72</v>
      </c>
      <c r="AJ15" s="808">
        <v>33.192794174013031</v>
      </c>
    </row>
    <row r="16" spans="1:36" ht="19.5" customHeight="1">
      <c r="A16" s="724" t="s">
        <v>966</v>
      </c>
      <c r="B16" s="711">
        <v>66937</v>
      </c>
      <c r="C16" s="711">
        <v>52318</v>
      </c>
      <c r="D16" s="711">
        <v>14602</v>
      </c>
      <c r="E16" s="711">
        <v>21936</v>
      </c>
      <c r="F16" s="711">
        <v>17752</v>
      </c>
      <c r="G16" s="711">
        <v>4184</v>
      </c>
      <c r="H16" s="807">
        <v>32.771113136232579</v>
      </c>
      <c r="I16" s="715">
        <v>72688</v>
      </c>
      <c r="J16" s="715">
        <v>56616</v>
      </c>
      <c r="K16" s="715">
        <v>16054</v>
      </c>
      <c r="L16" s="715">
        <v>23797</v>
      </c>
      <c r="M16" s="715">
        <v>19069</v>
      </c>
      <c r="N16" s="715">
        <v>4728</v>
      </c>
      <c r="O16" s="808">
        <v>32.738553819062297</v>
      </c>
      <c r="P16" s="711">
        <v>75841</v>
      </c>
      <c r="Q16" s="711">
        <v>59191</v>
      </c>
      <c r="R16" s="711">
        <v>16634</v>
      </c>
      <c r="S16" s="711">
        <v>24615</v>
      </c>
      <c r="T16" s="711">
        <v>19788</v>
      </c>
      <c r="U16" s="711">
        <v>4827</v>
      </c>
      <c r="V16" s="808">
        <v>32.45605938740259</v>
      </c>
      <c r="W16" s="711">
        <v>78090</v>
      </c>
      <c r="X16" s="711">
        <v>60702</v>
      </c>
      <c r="Y16" s="711">
        <v>17378</v>
      </c>
      <c r="Z16" s="711">
        <v>25276</v>
      </c>
      <c r="AA16" s="711">
        <v>20365</v>
      </c>
      <c r="AB16" s="711">
        <v>4911</v>
      </c>
      <c r="AC16" s="808">
        <v>32.367780765783074</v>
      </c>
      <c r="AD16" s="711">
        <v>84985</v>
      </c>
      <c r="AE16" s="711">
        <v>66100</v>
      </c>
      <c r="AF16" s="711">
        <v>18871</v>
      </c>
      <c r="AG16" s="711">
        <v>27485</v>
      </c>
      <c r="AH16" s="711">
        <v>22158</v>
      </c>
      <c r="AI16" s="711">
        <v>5327</v>
      </c>
      <c r="AJ16" s="808">
        <v>32.341001353179969</v>
      </c>
    </row>
    <row r="17" spans="1:36" ht="19.5" customHeight="1">
      <c r="A17" s="724" t="s">
        <v>862</v>
      </c>
      <c r="B17" s="711">
        <v>19852</v>
      </c>
      <c r="C17" s="711">
        <v>12949</v>
      </c>
      <c r="D17" s="711">
        <v>6886</v>
      </c>
      <c r="E17" s="711">
        <v>5790</v>
      </c>
      <c r="F17" s="711">
        <v>4187</v>
      </c>
      <c r="G17" s="711">
        <v>1603</v>
      </c>
      <c r="H17" s="807">
        <v>29.165827120693127</v>
      </c>
      <c r="I17" s="715">
        <v>18696</v>
      </c>
      <c r="J17" s="715">
        <v>12017</v>
      </c>
      <c r="K17" s="715">
        <v>6669</v>
      </c>
      <c r="L17" s="715">
        <v>5118</v>
      </c>
      <c r="M17" s="715">
        <v>3711</v>
      </c>
      <c r="N17" s="715">
        <v>1407</v>
      </c>
      <c r="O17" s="808">
        <v>27.374839537869061</v>
      </c>
      <c r="P17" s="711">
        <v>17522</v>
      </c>
      <c r="Q17" s="711">
        <v>11355</v>
      </c>
      <c r="R17" s="711">
        <v>6155</v>
      </c>
      <c r="S17" s="711">
        <v>5002</v>
      </c>
      <c r="T17" s="711">
        <v>3599</v>
      </c>
      <c r="U17" s="711">
        <v>1403</v>
      </c>
      <c r="V17" s="808">
        <v>28.546969524026938</v>
      </c>
      <c r="W17" s="711">
        <v>16162</v>
      </c>
      <c r="X17" s="711">
        <v>10602</v>
      </c>
      <c r="Y17" s="711">
        <v>5551</v>
      </c>
      <c r="Z17" s="711">
        <v>4864</v>
      </c>
      <c r="AA17" s="711">
        <v>3463</v>
      </c>
      <c r="AB17" s="711">
        <v>1401</v>
      </c>
      <c r="AC17" s="808">
        <v>30.09528523697562</v>
      </c>
      <c r="AD17" s="711">
        <v>15485</v>
      </c>
      <c r="AE17" s="711">
        <v>10151</v>
      </c>
      <c r="AF17" s="711">
        <v>5321</v>
      </c>
      <c r="AG17" s="711">
        <v>4679</v>
      </c>
      <c r="AH17" s="711">
        <v>3393</v>
      </c>
      <c r="AI17" s="711">
        <v>1286</v>
      </c>
      <c r="AJ17" s="808">
        <v>30.216338391992249</v>
      </c>
    </row>
    <row r="18" spans="1:36" ht="19.5" customHeight="1">
      <c r="A18" s="724" t="s">
        <v>863</v>
      </c>
      <c r="B18" s="711">
        <v>7212</v>
      </c>
      <c r="C18" s="711">
        <v>6023</v>
      </c>
      <c r="D18" s="711">
        <v>1174</v>
      </c>
      <c r="E18" s="711">
        <v>2389</v>
      </c>
      <c r="F18" s="711">
        <v>2115</v>
      </c>
      <c r="G18" s="711">
        <v>273</v>
      </c>
      <c r="H18" s="807">
        <v>33.125346644481418</v>
      </c>
      <c r="I18" s="715">
        <v>7849</v>
      </c>
      <c r="J18" s="715">
        <v>6657</v>
      </c>
      <c r="K18" s="715">
        <v>1177</v>
      </c>
      <c r="L18" s="715">
        <v>2454</v>
      </c>
      <c r="M18" s="715">
        <v>2183</v>
      </c>
      <c r="N18" s="715">
        <v>271</v>
      </c>
      <c r="O18" s="808">
        <v>31.265129315836411</v>
      </c>
      <c r="P18" s="711">
        <v>7569</v>
      </c>
      <c r="Q18" s="711">
        <v>6372</v>
      </c>
      <c r="R18" s="711">
        <v>1184</v>
      </c>
      <c r="S18" s="711">
        <v>2347</v>
      </c>
      <c r="T18" s="711">
        <v>2057</v>
      </c>
      <c r="U18" s="711">
        <v>289</v>
      </c>
      <c r="V18" s="808">
        <v>31.008059188796405</v>
      </c>
      <c r="W18" s="711">
        <v>6971</v>
      </c>
      <c r="X18" s="711">
        <v>5866</v>
      </c>
      <c r="Y18" s="711">
        <v>1089</v>
      </c>
      <c r="Z18" s="711">
        <v>2129</v>
      </c>
      <c r="AA18" s="711">
        <v>1860</v>
      </c>
      <c r="AB18" s="711">
        <v>269</v>
      </c>
      <c r="AC18" s="808">
        <v>30.540811935159951</v>
      </c>
      <c r="AD18" s="711">
        <v>6930</v>
      </c>
      <c r="AE18" s="711">
        <v>5752</v>
      </c>
      <c r="AF18" s="711">
        <v>1168</v>
      </c>
      <c r="AG18" s="711">
        <v>2017</v>
      </c>
      <c r="AH18" s="711">
        <v>1717</v>
      </c>
      <c r="AI18" s="711">
        <v>299</v>
      </c>
      <c r="AJ18" s="808">
        <v>29.105339105339105</v>
      </c>
    </row>
    <row r="19" spans="1:36" ht="19.5" customHeight="1">
      <c r="A19" s="724" t="s">
        <v>861</v>
      </c>
      <c r="B19" s="711">
        <v>8086</v>
      </c>
      <c r="C19" s="711">
        <v>6342</v>
      </c>
      <c r="D19" s="711">
        <v>1736</v>
      </c>
      <c r="E19" s="711">
        <v>1856</v>
      </c>
      <c r="F19" s="711">
        <v>1587</v>
      </c>
      <c r="G19" s="711">
        <v>269</v>
      </c>
      <c r="H19" s="807">
        <v>22.953252535246104</v>
      </c>
      <c r="I19" s="715">
        <v>8980</v>
      </c>
      <c r="J19" s="715">
        <v>7101</v>
      </c>
      <c r="K19" s="715">
        <v>1873</v>
      </c>
      <c r="L19" s="715">
        <v>2200</v>
      </c>
      <c r="M19" s="715">
        <v>1866</v>
      </c>
      <c r="N19" s="715">
        <v>334</v>
      </c>
      <c r="O19" s="808">
        <v>24.498886414253899</v>
      </c>
      <c r="P19" s="711">
        <v>10119</v>
      </c>
      <c r="Q19" s="711">
        <v>8157</v>
      </c>
      <c r="R19" s="711">
        <v>1952</v>
      </c>
      <c r="S19" s="711">
        <v>2508</v>
      </c>
      <c r="T19" s="711">
        <v>2197</v>
      </c>
      <c r="U19" s="711">
        <v>311</v>
      </c>
      <c r="V19" s="808">
        <v>24.785057812036762</v>
      </c>
      <c r="W19" s="711">
        <v>10788</v>
      </c>
      <c r="X19" s="711">
        <v>8781</v>
      </c>
      <c r="Y19" s="711">
        <v>2001</v>
      </c>
      <c r="Z19" s="711">
        <v>2724</v>
      </c>
      <c r="AA19" s="711">
        <v>2406</v>
      </c>
      <c r="AB19" s="711">
        <v>318</v>
      </c>
      <c r="AC19" s="808">
        <v>25.250278086763071</v>
      </c>
      <c r="AD19" s="711">
        <v>11781</v>
      </c>
      <c r="AE19" s="711">
        <v>9460</v>
      </c>
      <c r="AF19" s="711">
        <v>2316</v>
      </c>
      <c r="AG19" s="711">
        <v>3138</v>
      </c>
      <c r="AH19" s="711">
        <v>2761</v>
      </c>
      <c r="AI19" s="711">
        <v>377</v>
      </c>
      <c r="AJ19" s="808">
        <v>26.636108989050168</v>
      </c>
    </row>
    <row r="20" spans="1:36" ht="19.5" customHeight="1">
      <c r="A20" s="724" t="s">
        <v>859</v>
      </c>
      <c r="B20" s="711">
        <v>15247</v>
      </c>
      <c r="C20" s="711">
        <v>12374</v>
      </c>
      <c r="D20" s="711">
        <v>2872</v>
      </c>
      <c r="E20" s="711">
        <v>4071</v>
      </c>
      <c r="F20" s="711">
        <v>3633</v>
      </c>
      <c r="G20" s="711">
        <v>438</v>
      </c>
      <c r="H20" s="807">
        <v>26.700334492031217</v>
      </c>
      <c r="I20" s="715">
        <v>17310</v>
      </c>
      <c r="J20" s="715">
        <v>14141</v>
      </c>
      <c r="K20" s="715">
        <v>3169</v>
      </c>
      <c r="L20" s="715">
        <v>4249</v>
      </c>
      <c r="M20" s="715">
        <v>3825</v>
      </c>
      <c r="N20" s="715">
        <v>424</v>
      </c>
      <c r="O20" s="808">
        <v>24.546504910456385</v>
      </c>
      <c r="P20" s="711">
        <v>18804</v>
      </c>
      <c r="Q20" s="711">
        <v>15348</v>
      </c>
      <c r="R20" s="711">
        <v>3455</v>
      </c>
      <c r="S20" s="711">
        <v>4385</v>
      </c>
      <c r="T20" s="711">
        <v>3968</v>
      </c>
      <c r="U20" s="711">
        <v>417</v>
      </c>
      <c r="V20" s="808">
        <v>23.319506487981283</v>
      </c>
      <c r="W20" s="711">
        <v>19605</v>
      </c>
      <c r="X20" s="711">
        <v>15914</v>
      </c>
      <c r="Y20" s="711">
        <v>3691</v>
      </c>
      <c r="Z20" s="711">
        <v>4244</v>
      </c>
      <c r="AA20" s="711">
        <v>3823</v>
      </c>
      <c r="AB20" s="711">
        <v>421</v>
      </c>
      <c r="AC20" s="808">
        <v>21.647538893139505</v>
      </c>
      <c r="AD20" s="711">
        <v>21263</v>
      </c>
      <c r="AE20" s="711">
        <v>17364</v>
      </c>
      <c r="AF20" s="711">
        <v>3899</v>
      </c>
      <c r="AG20" s="711">
        <v>4183</v>
      </c>
      <c r="AH20" s="711">
        <v>3780</v>
      </c>
      <c r="AI20" s="711">
        <v>403</v>
      </c>
      <c r="AJ20" s="808">
        <v>19.672670836664629</v>
      </c>
    </row>
    <row r="21" spans="1:36" ht="19.5" customHeight="1">
      <c r="A21" s="738" t="s">
        <v>854</v>
      </c>
      <c r="B21" s="711">
        <v>56299</v>
      </c>
      <c r="C21" s="711">
        <v>39448</v>
      </c>
      <c r="D21" s="711">
        <v>16814</v>
      </c>
      <c r="E21" s="711">
        <v>11563</v>
      </c>
      <c r="F21" s="711">
        <v>8824</v>
      </c>
      <c r="G21" s="711">
        <v>2739</v>
      </c>
      <c r="H21" s="807">
        <v>20.538553082648004</v>
      </c>
      <c r="I21" s="715">
        <v>70468</v>
      </c>
      <c r="J21" s="715">
        <v>49844</v>
      </c>
      <c r="K21" s="715">
        <v>20577</v>
      </c>
      <c r="L21" s="715">
        <v>17095</v>
      </c>
      <c r="M21" s="715">
        <v>13365</v>
      </c>
      <c r="N21" s="715">
        <v>3730</v>
      </c>
      <c r="O21" s="808">
        <v>24.259238235794971</v>
      </c>
      <c r="P21" s="711">
        <v>83789</v>
      </c>
      <c r="Q21" s="711">
        <v>58401</v>
      </c>
      <c r="R21" s="711">
        <v>25344</v>
      </c>
      <c r="S21" s="711">
        <v>20939</v>
      </c>
      <c r="T21" s="711">
        <v>16127</v>
      </c>
      <c r="U21" s="711">
        <v>4812</v>
      </c>
      <c r="V21" s="808">
        <v>24.990153838809391</v>
      </c>
      <c r="W21" s="711">
        <v>91106</v>
      </c>
      <c r="X21" s="711">
        <v>63243</v>
      </c>
      <c r="Y21" s="711">
        <v>27839</v>
      </c>
      <c r="Z21" s="711">
        <v>19316</v>
      </c>
      <c r="AA21" s="711">
        <v>14807</v>
      </c>
      <c r="AB21" s="711">
        <v>4509</v>
      </c>
      <c r="AC21" s="808">
        <v>21.201677167255724</v>
      </c>
      <c r="AD21" s="711">
        <v>87643</v>
      </c>
      <c r="AE21" s="711">
        <v>61069</v>
      </c>
      <c r="AF21" s="711">
        <v>26547</v>
      </c>
      <c r="AG21" s="711">
        <v>16784</v>
      </c>
      <c r="AH21" s="711">
        <v>13326</v>
      </c>
      <c r="AI21" s="711">
        <v>3458</v>
      </c>
      <c r="AJ21" s="808">
        <v>19.150417032735074</v>
      </c>
    </row>
    <row r="22" spans="1:36" ht="19.5" customHeight="1">
      <c r="A22" s="724" t="s">
        <v>967</v>
      </c>
      <c r="B22" s="711">
        <v>562</v>
      </c>
      <c r="C22" s="711">
        <v>471</v>
      </c>
      <c r="D22" s="711">
        <v>91</v>
      </c>
      <c r="E22" s="711">
        <v>41</v>
      </c>
      <c r="F22" s="711">
        <v>38</v>
      </c>
      <c r="G22" s="711">
        <v>3</v>
      </c>
      <c r="H22" s="807">
        <v>7.2953736654804269</v>
      </c>
      <c r="I22" s="715">
        <v>397</v>
      </c>
      <c r="J22" s="715">
        <v>335</v>
      </c>
      <c r="K22" s="715">
        <v>62</v>
      </c>
      <c r="L22" s="715">
        <v>58</v>
      </c>
      <c r="M22" s="715">
        <v>49</v>
      </c>
      <c r="N22" s="715">
        <v>9</v>
      </c>
      <c r="O22" s="808">
        <v>14.609571788413097</v>
      </c>
      <c r="P22" s="711">
        <v>385</v>
      </c>
      <c r="Q22" s="711">
        <v>327</v>
      </c>
      <c r="R22" s="711">
        <v>57</v>
      </c>
      <c r="S22" s="711">
        <v>33</v>
      </c>
      <c r="T22" s="711">
        <v>28</v>
      </c>
      <c r="U22" s="711">
        <v>5</v>
      </c>
      <c r="V22" s="808">
        <v>8.5714285714285712</v>
      </c>
      <c r="W22" s="711">
        <v>312</v>
      </c>
      <c r="X22" s="711">
        <v>242</v>
      </c>
      <c r="Y22" s="711">
        <v>70</v>
      </c>
      <c r="Z22" s="711">
        <v>31</v>
      </c>
      <c r="AA22" s="711">
        <v>30</v>
      </c>
      <c r="AB22" s="711">
        <v>1</v>
      </c>
      <c r="AC22" s="808">
        <v>9.9358974358974361</v>
      </c>
      <c r="AD22" s="711">
        <v>340</v>
      </c>
      <c r="AE22" s="711">
        <v>256</v>
      </c>
      <c r="AF22" s="711">
        <v>84</v>
      </c>
      <c r="AG22" s="711">
        <v>65</v>
      </c>
      <c r="AH22" s="711">
        <v>43</v>
      </c>
      <c r="AI22" s="711">
        <v>22</v>
      </c>
      <c r="AJ22" s="808">
        <v>19.117647058823529</v>
      </c>
    </row>
    <row r="23" spans="1:36" s="739" customFormat="1" ht="19.5" customHeight="1">
      <c r="A23" s="724" t="s">
        <v>869</v>
      </c>
      <c r="B23" s="711">
        <v>3255</v>
      </c>
      <c r="C23" s="711">
        <v>1693</v>
      </c>
      <c r="D23" s="711">
        <v>1562</v>
      </c>
      <c r="E23" s="711">
        <v>618</v>
      </c>
      <c r="F23" s="711">
        <v>300</v>
      </c>
      <c r="G23" s="711">
        <v>318</v>
      </c>
      <c r="H23" s="807">
        <v>18.986175115207374</v>
      </c>
      <c r="I23" s="715">
        <v>3218</v>
      </c>
      <c r="J23" s="715">
        <v>1642</v>
      </c>
      <c r="K23" s="715">
        <v>1576</v>
      </c>
      <c r="L23" s="715">
        <v>635</v>
      </c>
      <c r="M23" s="715">
        <v>308</v>
      </c>
      <c r="N23" s="715">
        <v>327</v>
      </c>
      <c r="O23" s="808">
        <v>19.732753262896207</v>
      </c>
      <c r="P23" s="711">
        <v>3381</v>
      </c>
      <c r="Q23" s="711">
        <v>1715</v>
      </c>
      <c r="R23" s="711">
        <v>1666</v>
      </c>
      <c r="S23" s="711">
        <v>612</v>
      </c>
      <c r="T23" s="711">
        <v>295</v>
      </c>
      <c r="U23" s="711">
        <v>317</v>
      </c>
      <c r="V23" s="808">
        <v>18.101153504880212</v>
      </c>
      <c r="W23" s="711">
        <v>3147</v>
      </c>
      <c r="X23" s="711">
        <v>1575</v>
      </c>
      <c r="Y23" s="711">
        <v>1572</v>
      </c>
      <c r="Z23" s="711">
        <v>582</v>
      </c>
      <c r="AA23" s="711">
        <v>278</v>
      </c>
      <c r="AB23" s="711">
        <v>304</v>
      </c>
      <c r="AC23" s="808">
        <v>18.493803622497616</v>
      </c>
      <c r="AD23" s="711">
        <v>3219</v>
      </c>
      <c r="AE23" s="711">
        <v>1627</v>
      </c>
      <c r="AF23" s="711">
        <v>1592</v>
      </c>
      <c r="AG23" s="711">
        <v>548</v>
      </c>
      <c r="AH23" s="711">
        <v>280</v>
      </c>
      <c r="AI23" s="711">
        <v>268</v>
      </c>
      <c r="AJ23" s="808">
        <v>17.023920472196334</v>
      </c>
    </row>
    <row r="24" spans="1:36" ht="19.5" customHeight="1">
      <c r="A24" s="724" t="s">
        <v>968</v>
      </c>
      <c r="B24" s="711">
        <v>15176</v>
      </c>
      <c r="C24" s="711">
        <v>10440</v>
      </c>
      <c r="D24" s="711">
        <v>4730</v>
      </c>
      <c r="E24" s="711">
        <v>2299</v>
      </c>
      <c r="F24" s="711">
        <v>1811</v>
      </c>
      <c r="G24" s="711">
        <v>488</v>
      </c>
      <c r="H24" s="807">
        <v>15.148919346336321</v>
      </c>
      <c r="I24" s="715">
        <v>15820</v>
      </c>
      <c r="J24" s="715">
        <v>11224</v>
      </c>
      <c r="K24" s="715">
        <v>4585</v>
      </c>
      <c r="L24" s="715">
        <v>2519</v>
      </c>
      <c r="M24" s="715">
        <v>2027</v>
      </c>
      <c r="N24" s="715">
        <v>492</v>
      </c>
      <c r="O24" s="808">
        <v>15.922882427307206</v>
      </c>
      <c r="P24" s="711">
        <v>16926</v>
      </c>
      <c r="Q24" s="711">
        <v>11845</v>
      </c>
      <c r="R24" s="711">
        <v>5075</v>
      </c>
      <c r="S24" s="711">
        <v>2745</v>
      </c>
      <c r="T24" s="711">
        <v>2136</v>
      </c>
      <c r="U24" s="711">
        <v>609</v>
      </c>
      <c r="V24" s="808">
        <v>16.217653314427508</v>
      </c>
      <c r="W24" s="711">
        <v>17329</v>
      </c>
      <c r="X24" s="711">
        <v>12038</v>
      </c>
      <c r="Y24" s="711">
        <v>5285</v>
      </c>
      <c r="Z24" s="711">
        <v>2634</v>
      </c>
      <c r="AA24" s="711">
        <v>2043</v>
      </c>
      <c r="AB24" s="711">
        <v>591</v>
      </c>
      <c r="AC24" s="808">
        <v>15.199953834612497</v>
      </c>
      <c r="AD24" s="711">
        <v>17666</v>
      </c>
      <c r="AE24" s="711">
        <v>12251</v>
      </c>
      <c r="AF24" s="711">
        <v>5412</v>
      </c>
      <c r="AG24" s="711">
        <v>2591</v>
      </c>
      <c r="AH24" s="711">
        <v>1979</v>
      </c>
      <c r="AI24" s="711">
        <v>612</v>
      </c>
      <c r="AJ24" s="808">
        <v>14.666591192120457</v>
      </c>
    </row>
    <row r="25" spans="1:36" ht="19.5" customHeight="1">
      <c r="A25" s="724" t="s">
        <v>860</v>
      </c>
      <c r="B25" s="711">
        <v>12158</v>
      </c>
      <c r="C25" s="711">
        <v>7537</v>
      </c>
      <c r="D25" s="711">
        <v>4600</v>
      </c>
      <c r="E25" s="711">
        <v>1782</v>
      </c>
      <c r="F25" s="711">
        <v>1146</v>
      </c>
      <c r="G25" s="711">
        <v>636</v>
      </c>
      <c r="H25" s="807">
        <v>14.657015956571803</v>
      </c>
      <c r="I25" s="715">
        <v>12948</v>
      </c>
      <c r="J25" s="715">
        <v>8066</v>
      </c>
      <c r="K25" s="715">
        <v>4876</v>
      </c>
      <c r="L25" s="715">
        <v>2082</v>
      </c>
      <c r="M25" s="715">
        <v>1371</v>
      </c>
      <c r="N25" s="715">
        <v>711</v>
      </c>
      <c r="O25" s="808">
        <v>16.07970342910102</v>
      </c>
      <c r="P25" s="711">
        <v>15351</v>
      </c>
      <c r="Q25" s="711">
        <v>9639</v>
      </c>
      <c r="R25" s="711">
        <v>5712</v>
      </c>
      <c r="S25" s="711">
        <v>2393</v>
      </c>
      <c r="T25" s="711">
        <v>1532</v>
      </c>
      <c r="U25" s="711">
        <v>861</v>
      </c>
      <c r="V25" s="808">
        <v>15.588561005797668</v>
      </c>
      <c r="W25" s="711">
        <v>17442</v>
      </c>
      <c r="X25" s="711">
        <v>10999</v>
      </c>
      <c r="Y25" s="711">
        <v>6438</v>
      </c>
      <c r="Z25" s="711">
        <v>2562</v>
      </c>
      <c r="AA25" s="711">
        <v>1672</v>
      </c>
      <c r="AB25" s="711">
        <v>890</v>
      </c>
      <c r="AC25" s="808">
        <v>14.688682490540076</v>
      </c>
      <c r="AD25" s="711">
        <v>18533</v>
      </c>
      <c r="AE25" s="711">
        <v>11675</v>
      </c>
      <c r="AF25" s="711">
        <v>6853</v>
      </c>
      <c r="AG25" s="711">
        <v>2694</v>
      </c>
      <c r="AH25" s="711">
        <v>1802</v>
      </c>
      <c r="AI25" s="711">
        <v>892</v>
      </c>
      <c r="AJ25" s="808">
        <v>14.536232666055145</v>
      </c>
    </row>
    <row r="26" spans="1:36" ht="19.5" customHeight="1">
      <c r="A26" s="724" t="s">
        <v>969</v>
      </c>
      <c r="B26" s="711">
        <v>6331</v>
      </c>
      <c r="C26" s="711">
        <v>3949</v>
      </c>
      <c r="D26" s="711">
        <v>2380</v>
      </c>
      <c r="E26" s="711">
        <v>847</v>
      </c>
      <c r="F26" s="711">
        <v>600</v>
      </c>
      <c r="G26" s="711">
        <v>247</v>
      </c>
      <c r="H26" s="807">
        <v>13.378613173274365</v>
      </c>
      <c r="I26" s="715">
        <v>5973</v>
      </c>
      <c r="J26" s="715">
        <v>3821</v>
      </c>
      <c r="K26" s="715">
        <v>2149</v>
      </c>
      <c r="L26" s="715">
        <v>782</v>
      </c>
      <c r="M26" s="715">
        <v>594</v>
      </c>
      <c r="N26" s="715">
        <v>188</v>
      </c>
      <c r="O26" s="808">
        <v>13.092248451364474</v>
      </c>
      <c r="P26" s="711">
        <v>6100</v>
      </c>
      <c r="Q26" s="711">
        <v>3792</v>
      </c>
      <c r="R26" s="711">
        <v>2307</v>
      </c>
      <c r="S26" s="711">
        <v>801</v>
      </c>
      <c r="T26" s="711">
        <v>575</v>
      </c>
      <c r="U26" s="711">
        <v>226</v>
      </c>
      <c r="V26" s="808">
        <v>13.131147540983607</v>
      </c>
      <c r="W26" s="711">
        <v>5699</v>
      </c>
      <c r="X26" s="711">
        <v>3531</v>
      </c>
      <c r="Y26" s="711">
        <v>2166</v>
      </c>
      <c r="Z26" s="711">
        <v>750</v>
      </c>
      <c r="AA26" s="711">
        <v>545</v>
      </c>
      <c r="AB26" s="711">
        <v>205</v>
      </c>
      <c r="AC26" s="808">
        <v>13.160203544481488</v>
      </c>
      <c r="AD26" s="711">
        <v>5933</v>
      </c>
      <c r="AE26" s="711">
        <v>3655</v>
      </c>
      <c r="AF26" s="711">
        <v>2276</v>
      </c>
      <c r="AG26" s="711">
        <v>734</v>
      </c>
      <c r="AH26" s="711">
        <v>537</v>
      </c>
      <c r="AI26" s="711">
        <v>197</v>
      </c>
      <c r="AJ26" s="808">
        <v>12.371481543906961</v>
      </c>
    </row>
    <row r="27" spans="1:36" ht="19.5" customHeight="1">
      <c r="A27" s="738" t="s">
        <v>970</v>
      </c>
      <c r="B27" s="711">
        <v>6611</v>
      </c>
      <c r="C27" s="711">
        <v>4954</v>
      </c>
      <c r="D27" s="711">
        <v>1656</v>
      </c>
      <c r="E27" s="711">
        <v>1251</v>
      </c>
      <c r="F27" s="711">
        <v>1113</v>
      </c>
      <c r="G27" s="711">
        <v>138</v>
      </c>
      <c r="H27" s="807">
        <v>18.923007109363184</v>
      </c>
      <c r="I27" s="715">
        <v>6311</v>
      </c>
      <c r="J27" s="715">
        <v>4668</v>
      </c>
      <c r="K27" s="715">
        <v>1640</v>
      </c>
      <c r="L27" s="715">
        <v>950</v>
      </c>
      <c r="M27" s="715">
        <v>815</v>
      </c>
      <c r="N27" s="715">
        <v>135</v>
      </c>
      <c r="O27" s="808">
        <v>15.053081920456346</v>
      </c>
      <c r="P27" s="711">
        <v>5569</v>
      </c>
      <c r="Q27" s="711">
        <v>4235</v>
      </c>
      <c r="R27" s="711">
        <v>1330</v>
      </c>
      <c r="S27" s="711">
        <v>781</v>
      </c>
      <c r="T27" s="711">
        <v>687</v>
      </c>
      <c r="U27" s="711">
        <v>94</v>
      </c>
      <c r="V27" s="808">
        <v>14.024061770515353</v>
      </c>
      <c r="W27" s="711">
        <v>4996</v>
      </c>
      <c r="X27" s="711">
        <v>3619</v>
      </c>
      <c r="Y27" s="711">
        <v>1375</v>
      </c>
      <c r="Z27" s="711">
        <v>557</v>
      </c>
      <c r="AA27" s="711">
        <v>468</v>
      </c>
      <c r="AB27" s="711">
        <v>89</v>
      </c>
      <c r="AC27" s="808">
        <v>11.148919135308248</v>
      </c>
      <c r="AD27" s="711">
        <v>5104</v>
      </c>
      <c r="AE27" s="711">
        <v>3784</v>
      </c>
      <c r="AF27" s="711">
        <v>1315</v>
      </c>
      <c r="AG27" s="711">
        <v>475</v>
      </c>
      <c r="AH27" s="711">
        <v>403</v>
      </c>
      <c r="AI27" s="711">
        <v>72</v>
      </c>
      <c r="AJ27" s="808">
        <v>9.3064263322884013</v>
      </c>
    </row>
    <row r="28" spans="1:36" ht="19.5" customHeight="1">
      <c r="A28" s="725" t="s">
        <v>829</v>
      </c>
      <c r="B28" s="726">
        <v>10594</v>
      </c>
      <c r="C28" s="726">
        <v>6550</v>
      </c>
      <c r="D28" s="726">
        <v>4038</v>
      </c>
      <c r="E28" s="726">
        <v>2361</v>
      </c>
      <c r="F28" s="726">
        <v>1667</v>
      </c>
      <c r="G28" s="726">
        <v>694</v>
      </c>
      <c r="H28" s="809">
        <v>22.286199735699451</v>
      </c>
      <c r="I28" s="730">
        <v>7299</v>
      </c>
      <c r="J28" s="730">
        <v>4846</v>
      </c>
      <c r="K28" s="730">
        <v>2450</v>
      </c>
      <c r="L28" s="730">
        <v>2181</v>
      </c>
      <c r="M28" s="730">
        <v>1553</v>
      </c>
      <c r="N28" s="730">
        <v>628</v>
      </c>
      <c r="O28" s="810">
        <v>29.880805589806826</v>
      </c>
      <c r="P28" s="726">
        <v>5979</v>
      </c>
      <c r="Q28" s="726">
        <v>4332</v>
      </c>
      <c r="R28" s="726">
        <v>1646</v>
      </c>
      <c r="S28" s="726">
        <v>1461</v>
      </c>
      <c r="T28" s="726">
        <v>1133</v>
      </c>
      <c r="U28" s="726">
        <v>328</v>
      </c>
      <c r="V28" s="810">
        <v>24.435524335173106</v>
      </c>
      <c r="W28" s="726">
        <v>9944</v>
      </c>
      <c r="X28" s="726">
        <v>6611</v>
      </c>
      <c r="Y28" s="726">
        <v>3326</v>
      </c>
      <c r="Z28" s="726">
        <v>1797</v>
      </c>
      <c r="AA28" s="726">
        <v>1304</v>
      </c>
      <c r="AB28" s="726">
        <v>493</v>
      </c>
      <c r="AC28" s="810">
        <v>18.071198712791634</v>
      </c>
      <c r="AD28" s="726">
        <v>11744</v>
      </c>
      <c r="AE28" s="726">
        <v>7580</v>
      </c>
      <c r="AF28" s="726">
        <v>4160</v>
      </c>
      <c r="AG28" s="726">
        <v>2172</v>
      </c>
      <c r="AH28" s="726">
        <v>1495</v>
      </c>
      <c r="AI28" s="726">
        <v>677</v>
      </c>
      <c r="AJ28" s="810">
        <v>18.494550408719345</v>
      </c>
    </row>
    <row r="29" spans="1:36" s="731" customFormat="1" ht="20.45" customHeight="1">
      <c r="A29" s="741" t="s">
        <v>784</v>
      </c>
      <c r="B29" s="811"/>
      <c r="C29" s="811"/>
      <c r="D29" s="811"/>
      <c r="P29" s="811"/>
      <c r="Q29" s="811"/>
      <c r="R29" s="811"/>
      <c r="W29" s="812"/>
    </row>
    <row r="30" spans="1:36" s="731" customFormat="1" ht="14.25">
      <c r="A30" s="685" t="s">
        <v>971</v>
      </c>
      <c r="B30" s="811"/>
      <c r="C30" s="811"/>
      <c r="D30" s="811"/>
      <c r="P30" s="811"/>
      <c r="Q30" s="811"/>
      <c r="R30" s="811"/>
      <c r="W30" s="811"/>
    </row>
    <row r="31" spans="1:36" s="731" customFormat="1" ht="14.25">
      <c r="A31" s="685" t="s">
        <v>972</v>
      </c>
      <c r="B31" s="811"/>
      <c r="C31" s="811"/>
      <c r="D31" s="811"/>
      <c r="P31" s="811"/>
      <c r="Q31" s="811"/>
      <c r="R31" s="811"/>
      <c r="W31" s="811"/>
    </row>
    <row r="32" spans="1:36">
      <c r="B32" s="669"/>
      <c r="C32" s="669"/>
      <c r="D32" s="669"/>
      <c r="P32" s="669"/>
      <c r="Q32" s="669"/>
      <c r="R32" s="669"/>
    </row>
    <row r="33" spans="2:18">
      <c r="B33" s="669"/>
      <c r="C33" s="669"/>
      <c r="D33" s="669"/>
      <c r="P33" s="669"/>
      <c r="Q33" s="669"/>
      <c r="R33" s="669"/>
    </row>
    <row r="34" spans="2:18">
      <c r="B34" s="669"/>
      <c r="C34" s="669"/>
      <c r="D34" s="669"/>
      <c r="G34" s="670" t="s">
        <v>858</v>
      </c>
      <c r="N34" s="670" t="s">
        <v>858</v>
      </c>
      <c r="P34" s="669"/>
      <c r="Q34" s="669"/>
      <c r="R34" s="669"/>
    </row>
    <row r="35" spans="2:18">
      <c r="B35" s="669"/>
      <c r="C35" s="669"/>
      <c r="D35" s="669"/>
      <c r="G35" s="670" t="s">
        <v>858</v>
      </c>
      <c r="P35" s="669"/>
      <c r="Q35" s="669"/>
      <c r="R35" s="669"/>
    </row>
    <row r="36" spans="2:18">
      <c r="B36" s="669"/>
      <c r="C36" s="669"/>
      <c r="D36" s="669"/>
      <c r="P36" s="669"/>
      <c r="Q36" s="669"/>
      <c r="R36" s="669"/>
    </row>
    <row r="37" spans="2:18">
      <c r="B37" s="669"/>
      <c r="C37" s="669"/>
      <c r="D37" s="669"/>
      <c r="P37" s="669"/>
      <c r="Q37" s="669"/>
      <c r="R37" s="669"/>
    </row>
    <row r="38" spans="2:18">
      <c r="B38" s="669"/>
      <c r="C38" s="669"/>
      <c r="D38" s="669"/>
      <c r="P38" s="669"/>
      <c r="Q38" s="669"/>
      <c r="R38" s="669"/>
    </row>
    <row r="39" spans="2:18">
      <c r="B39" s="669"/>
      <c r="C39" s="669"/>
      <c r="D39" s="669"/>
      <c r="P39" s="669"/>
      <c r="Q39" s="669"/>
      <c r="R39" s="669"/>
    </row>
    <row r="40" spans="2:18">
      <c r="B40" s="669"/>
      <c r="C40" s="669"/>
      <c r="D40" s="669"/>
      <c r="P40" s="669"/>
      <c r="Q40" s="669"/>
      <c r="R40" s="669"/>
    </row>
    <row r="41" spans="2:18">
      <c r="B41" s="669"/>
      <c r="C41" s="669"/>
      <c r="D41" s="669"/>
      <c r="P41" s="669"/>
      <c r="Q41" s="669"/>
      <c r="R41" s="669"/>
    </row>
    <row r="42" spans="2:18">
      <c r="B42" s="669"/>
      <c r="C42" s="669"/>
      <c r="D42" s="669"/>
      <c r="P42" s="669"/>
      <c r="Q42" s="669"/>
      <c r="R42" s="669"/>
    </row>
    <row r="43" spans="2:18">
      <c r="B43" s="669"/>
      <c r="C43" s="669"/>
      <c r="D43" s="669"/>
      <c r="P43" s="669"/>
      <c r="Q43" s="669"/>
      <c r="R43" s="669"/>
    </row>
    <row r="44" spans="2:18">
      <c r="B44" s="669"/>
      <c r="C44" s="669"/>
      <c r="D44" s="669"/>
      <c r="P44" s="669"/>
      <c r="Q44" s="669"/>
      <c r="R44" s="669"/>
    </row>
    <row r="45" spans="2:18">
      <c r="B45" s="669"/>
      <c r="C45" s="669"/>
      <c r="D45" s="669"/>
      <c r="P45" s="669"/>
      <c r="Q45" s="669"/>
      <c r="R45" s="669"/>
    </row>
    <row r="46" spans="2:18">
      <c r="B46" s="669"/>
      <c r="C46" s="669"/>
      <c r="D46" s="669"/>
      <c r="P46" s="669"/>
      <c r="Q46" s="669"/>
      <c r="R46" s="669"/>
    </row>
    <row r="47" spans="2:18">
      <c r="B47" s="669"/>
      <c r="C47" s="669"/>
      <c r="D47" s="669"/>
      <c r="P47" s="669"/>
      <c r="Q47" s="669"/>
      <c r="R47" s="669"/>
    </row>
    <row r="48" spans="2:18">
      <c r="B48" s="669"/>
      <c r="C48" s="669"/>
      <c r="D48" s="669"/>
      <c r="P48" s="669"/>
      <c r="Q48" s="669"/>
      <c r="R48" s="669"/>
    </row>
    <row r="49" spans="2:18">
      <c r="B49" s="669"/>
      <c r="C49" s="669"/>
      <c r="D49" s="669"/>
      <c r="P49" s="669"/>
      <c r="Q49" s="669"/>
      <c r="R49" s="669"/>
    </row>
    <row r="50" spans="2:18">
      <c r="B50" s="669"/>
      <c r="C50" s="669"/>
      <c r="D50" s="669"/>
      <c r="P50" s="669"/>
      <c r="Q50" s="669"/>
      <c r="R50" s="669"/>
    </row>
    <row r="51" spans="2:18">
      <c r="B51" s="669"/>
      <c r="C51" s="669"/>
      <c r="D51" s="669"/>
      <c r="P51" s="669"/>
      <c r="Q51" s="669"/>
      <c r="R51" s="669"/>
    </row>
    <row r="52" spans="2:18">
      <c r="B52" s="669"/>
      <c r="C52" s="669"/>
      <c r="D52" s="669"/>
      <c r="P52" s="669"/>
      <c r="Q52" s="669"/>
      <c r="R52" s="669"/>
    </row>
    <row r="53" spans="2:18">
      <c r="B53" s="669"/>
      <c r="C53" s="669"/>
      <c r="D53" s="669"/>
      <c r="P53" s="669"/>
      <c r="Q53" s="669"/>
      <c r="R53" s="669"/>
    </row>
    <row r="54" spans="2:18">
      <c r="B54" s="669"/>
      <c r="C54" s="669"/>
      <c r="D54" s="669"/>
      <c r="P54" s="669"/>
      <c r="Q54" s="669"/>
      <c r="R54" s="669"/>
    </row>
    <row r="55" spans="2:18">
      <c r="B55" s="669"/>
      <c r="C55" s="669"/>
      <c r="D55" s="669"/>
      <c r="P55" s="669"/>
      <c r="Q55" s="669"/>
      <c r="R55" s="669"/>
    </row>
    <row r="56" spans="2:18">
      <c r="B56" s="669"/>
      <c r="C56" s="669"/>
      <c r="D56" s="669"/>
      <c r="P56" s="669"/>
      <c r="Q56" s="669"/>
      <c r="R56" s="669"/>
    </row>
    <row r="57" spans="2:18">
      <c r="B57" s="669"/>
      <c r="C57" s="669"/>
      <c r="D57" s="669"/>
      <c r="P57" s="669"/>
      <c r="Q57" s="669"/>
      <c r="R57" s="669"/>
    </row>
    <row r="58" spans="2:18">
      <c r="B58" s="669"/>
      <c r="C58" s="669"/>
      <c r="D58" s="669"/>
      <c r="P58" s="669"/>
      <c r="Q58" s="669"/>
      <c r="R58" s="669"/>
    </row>
    <row r="59" spans="2:18">
      <c r="B59" s="669"/>
      <c r="C59" s="669"/>
      <c r="D59" s="669"/>
      <c r="P59" s="669"/>
      <c r="Q59" s="669"/>
      <c r="R59" s="669"/>
    </row>
    <row r="60" spans="2:18">
      <c r="B60" s="669"/>
      <c r="C60" s="669"/>
      <c r="D60" s="669"/>
      <c r="P60" s="669"/>
      <c r="Q60" s="669"/>
      <c r="R60" s="669"/>
    </row>
    <row r="61" spans="2:18">
      <c r="B61" s="669"/>
      <c r="C61" s="669"/>
      <c r="D61" s="669"/>
      <c r="P61" s="669"/>
      <c r="Q61" s="669"/>
      <c r="R61" s="669"/>
    </row>
    <row r="62" spans="2:18">
      <c r="B62" s="669"/>
      <c r="C62" s="669"/>
      <c r="D62" s="669"/>
      <c r="P62" s="669"/>
      <c r="Q62" s="669"/>
      <c r="R62" s="669"/>
    </row>
    <row r="63" spans="2:18">
      <c r="B63" s="669"/>
      <c r="C63" s="669"/>
      <c r="D63" s="669"/>
      <c r="P63" s="669"/>
      <c r="Q63" s="669"/>
      <c r="R63" s="669"/>
    </row>
    <row r="64" spans="2:18">
      <c r="B64" s="669"/>
      <c r="C64" s="669"/>
      <c r="D64" s="669"/>
      <c r="P64" s="669"/>
      <c r="Q64" s="669"/>
      <c r="R64" s="669"/>
    </row>
    <row r="65" spans="2:18">
      <c r="B65" s="669"/>
      <c r="C65" s="669"/>
      <c r="D65" s="669"/>
      <c r="P65" s="669"/>
      <c r="Q65" s="669"/>
      <c r="R65" s="669"/>
    </row>
    <row r="66" spans="2:18">
      <c r="B66" s="669"/>
      <c r="C66" s="669"/>
      <c r="D66" s="669"/>
      <c r="P66" s="669"/>
      <c r="Q66" s="669"/>
      <c r="R66" s="669"/>
    </row>
    <row r="67" spans="2:18">
      <c r="B67" s="669"/>
      <c r="C67" s="669"/>
      <c r="D67" s="669"/>
      <c r="P67" s="669"/>
      <c r="Q67" s="669"/>
      <c r="R67" s="669"/>
    </row>
    <row r="68" spans="2:18">
      <c r="B68" s="669"/>
      <c r="C68" s="669"/>
      <c r="D68" s="669"/>
      <c r="P68" s="669"/>
      <c r="Q68" s="669"/>
      <c r="R68" s="669"/>
    </row>
    <row r="69" spans="2:18">
      <c r="B69" s="669"/>
      <c r="C69" s="669"/>
      <c r="D69" s="669"/>
      <c r="P69" s="669"/>
      <c r="Q69" s="669"/>
      <c r="R69" s="669"/>
    </row>
    <row r="70" spans="2:18">
      <c r="B70" s="669"/>
      <c r="C70" s="669"/>
      <c r="D70" s="669"/>
      <c r="P70" s="669"/>
      <c r="Q70" s="669"/>
      <c r="R70" s="669"/>
    </row>
    <row r="71" spans="2:18">
      <c r="B71" s="669"/>
      <c r="C71" s="669"/>
      <c r="D71" s="669"/>
      <c r="P71" s="669"/>
      <c r="Q71" s="669"/>
      <c r="R71" s="669"/>
    </row>
    <row r="72" spans="2:18">
      <c r="B72" s="669"/>
      <c r="C72" s="669"/>
      <c r="D72" s="669"/>
      <c r="P72" s="669"/>
      <c r="Q72" s="669"/>
      <c r="R72" s="669"/>
    </row>
    <row r="73" spans="2:18">
      <c r="B73" s="669"/>
      <c r="C73" s="669"/>
      <c r="D73" s="669"/>
      <c r="P73" s="669"/>
      <c r="Q73" s="669"/>
      <c r="R73" s="669"/>
    </row>
    <row r="74" spans="2:18">
      <c r="B74" s="669"/>
      <c r="C74" s="669"/>
      <c r="D74" s="669"/>
      <c r="P74" s="669"/>
      <c r="Q74" s="669"/>
      <c r="R74" s="669"/>
    </row>
    <row r="75" spans="2:18">
      <c r="B75" s="669"/>
      <c r="C75" s="669"/>
      <c r="D75" s="669"/>
      <c r="P75" s="669"/>
      <c r="Q75" s="669"/>
      <c r="R75" s="669"/>
    </row>
    <row r="76" spans="2:18">
      <c r="B76" s="669"/>
      <c r="C76" s="669"/>
      <c r="D76" s="669"/>
      <c r="P76" s="669"/>
      <c r="Q76" s="669"/>
      <c r="R76" s="669"/>
    </row>
    <row r="77" spans="2:18">
      <c r="B77" s="669"/>
      <c r="C77" s="669"/>
      <c r="D77" s="669"/>
      <c r="P77" s="669"/>
      <c r="Q77" s="669"/>
      <c r="R77" s="669"/>
    </row>
    <row r="78" spans="2:18">
      <c r="B78" s="669"/>
      <c r="C78" s="669"/>
      <c r="D78" s="669"/>
      <c r="P78" s="669"/>
      <c r="Q78" s="669"/>
      <c r="R78" s="669"/>
    </row>
    <row r="79" spans="2:18">
      <c r="B79" s="669"/>
      <c r="C79" s="669"/>
      <c r="D79" s="669"/>
      <c r="P79" s="669"/>
      <c r="Q79" s="669"/>
      <c r="R79" s="669"/>
    </row>
    <row r="80" spans="2:18">
      <c r="B80" s="669"/>
      <c r="C80" s="669"/>
      <c r="D80" s="669"/>
      <c r="P80" s="669"/>
      <c r="Q80" s="669"/>
      <c r="R80" s="669"/>
    </row>
    <row r="81" spans="2:18">
      <c r="B81" s="669"/>
      <c r="C81" s="669"/>
      <c r="D81" s="669"/>
      <c r="P81" s="669"/>
      <c r="Q81" s="669"/>
      <c r="R81" s="669"/>
    </row>
    <row r="82" spans="2:18">
      <c r="B82" s="669"/>
      <c r="C82" s="669"/>
      <c r="D82" s="669"/>
      <c r="P82" s="669"/>
      <c r="Q82" s="669"/>
      <c r="R82" s="669"/>
    </row>
    <row r="83" spans="2:18">
      <c r="B83" s="669"/>
      <c r="C83" s="669"/>
      <c r="D83" s="669"/>
      <c r="P83" s="669"/>
      <c r="Q83" s="669"/>
      <c r="R83" s="669"/>
    </row>
    <row r="84" spans="2:18">
      <c r="B84" s="669"/>
      <c r="C84" s="669"/>
      <c r="D84" s="669"/>
      <c r="P84" s="669"/>
      <c r="Q84" s="669"/>
      <c r="R84" s="669"/>
    </row>
    <row r="85" spans="2:18">
      <c r="B85" s="669"/>
      <c r="C85" s="669"/>
      <c r="D85" s="669"/>
      <c r="P85" s="669"/>
      <c r="Q85" s="669"/>
      <c r="R85" s="669"/>
    </row>
    <row r="86" spans="2:18">
      <c r="B86" s="669"/>
      <c r="C86" s="669"/>
      <c r="D86" s="669"/>
      <c r="P86" s="669"/>
      <c r="Q86" s="669"/>
      <c r="R86" s="669"/>
    </row>
    <row r="87" spans="2:18">
      <c r="B87" s="669"/>
      <c r="C87" s="669"/>
      <c r="D87" s="669"/>
      <c r="P87" s="669"/>
      <c r="Q87" s="669"/>
      <c r="R87" s="669"/>
    </row>
    <row r="88" spans="2:18">
      <c r="B88" s="669"/>
      <c r="C88" s="669"/>
      <c r="D88" s="669"/>
      <c r="P88" s="669"/>
      <c r="Q88" s="669"/>
      <c r="R88" s="669"/>
    </row>
  </sheetData>
  <mergeCells count="13">
    <mergeCell ref="AC4:AC5"/>
    <mergeCell ref="AG4:AG5"/>
    <mergeCell ref="AJ4:AJ5"/>
    <mergeCell ref="A1:AJ1"/>
    <mergeCell ref="U2:V2"/>
    <mergeCell ref="A3:A5"/>
    <mergeCell ref="E4:E5"/>
    <mergeCell ref="H4:H5"/>
    <mergeCell ref="L4:L5"/>
    <mergeCell ref="O4:O5"/>
    <mergeCell ref="S4:S5"/>
    <mergeCell ref="V4:V5"/>
    <mergeCell ref="Z4:Z5"/>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50" orientation="landscape" r:id="rId1"/>
  <headerFooter differentOddEven="1" scaleWithDoc="0">
    <oddHeader>&amp;L&amp;"Times New Roman,標準"&amp;8 107&amp;"標楷體,標準"年犯罪狀況及其分析</oddHeader>
    <evenHeader>&amp;R&amp;"標楷體,標準"&amp;8第二篇　犯罪之處理</even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AJ29"/>
  <sheetViews>
    <sheetView showGridLines="0" zoomScale="78" workbookViewId="0">
      <selection activeCell="B16" sqref="B16"/>
    </sheetView>
  </sheetViews>
  <sheetFormatPr defaultColWidth="9" defaultRowHeight="15.75"/>
  <cols>
    <col min="1" max="1" width="36.625" style="687" customWidth="1"/>
    <col min="2" max="7" width="9.375" style="687" customWidth="1"/>
    <col min="8" max="8" width="8" style="687" customWidth="1"/>
    <col min="9" max="14" width="9.375" style="687" customWidth="1"/>
    <col min="15" max="15" width="8" style="687" customWidth="1"/>
    <col min="16" max="21" width="9.375" style="687" customWidth="1"/>
    <col min="22" max="22" width="8" style="687" customWidth="1"/>
    <col min="23" max="28" width="9.375" style="687" customWidth="1"/>
    <col min="29" max="29" width="8" style="687" customWidth="1"/>
    <col min="30" max="35" width="9.375" style="687" customWidth="1"/>
    <col min="36" max="36" width="8" style="687" customWidth="1"/>
    <col min="37" max="16384" width="9" style="687"/>
  </cols>
  <sheetData>
    <row r="1" spans="1:36" s="771" customFormat="1" ht="30.6" customHeight="1">
      <c r="A1" s="2967" t="s">
        <v>973</v>
      </c>
      <c r="B1" s="2967"/>
      <c r="C1" s="2967"/>
      <c r="D1" s="2967"/>
      <c r="E1" s="2967"/>
      <c r="F1" s="2967"/>
      <c r="G1" s="2967"/>
      <c r="H1" s="2967"/>
      <c r="I1" s="2967"/>
      <c r="J1" s="2967"/>
      <c r="K1" s="2967"/>
      <c r="L1" s="2967"/>
      <c r="M1" s="2967"/>
      <c r="N1" s="2967"/>
      <c r="O1" s="2967"/>
      <c r="P1" s="2967"/>
      <c r="Q1" s="2967"/>
      <c r="R1" s="2967"/>
      <c r="S1" s="2967"/>
      <c r="T1" s="2967"/>
      <c r="U1" s="2967"/>
      <c r="V1" s="2967"/>
      <c r="W1" s="2967"/>
      <c r="X1" s="2967"/>
      <c r="Y1" s="2967"/>
      <c r="Z1" s="2967"/>
      <c r="AA1" s="2967"/>
      <c r="AB1" s="2967"/>
      <c r="AC1" s="2967"/>
      <c r="AD1" s="2967"/>
      <c r="AE1" s="2967"/>
      <c r="AF1" s="2967"/>
      <c r="AG1" s="2967"/>
      <c r="AH1" s="2967"/>
      <c r="AI1" s="2967"/>
      <c r="AJ1" s="2967"/>
    </row>
    <row r="2" spans="1:36" s="668" customFormat="1">
      <c r="N2" s="3040"/>
      <c r="O2" s="3040"/>
      <c r="U2" s="753"/>
      <c r="V2" s="753"/>
      <c r="AJ2" s="787" t="s">
        <v>947</v>
      </c>
    </row>
    <row r="3" spans="1:36" ht="21" customHeight="1">
      <c r="A3" s="3034" t="s">
        <v>948</v>
      </c>
      <c r="B3" s="788">
        <v>104</v>
      </c>
      <c r="C3" s="789" t="s">
        <v>949</v>
      </c>
      <c r="D3" s="789"/>
      <c r="E3" s="790"/>
      <c r="F3" s="790"/>
      <c r="G3" s="790"/>
      <c r="H3" s="791"/>
      <c r="I3" s="792">
        <v>105</v>
      </c>
      <c r="J3" s="789" t="s">
        <v>949</v>
      </c>
      <c r="K3" s="789"/>
      <c r="L3" s="790"/>
      <c r="M3" s="790"/>
      <c r="N3" s="790"/>
      <c r="O3" s="790"/>
      <c r="P3" s="788">
        <v>106</v>
      </c>
      <c r="Q3" s="789" t="s">
        <v>974</v>
      </c>
      <c r="R3" s="789"/>
      <c r="S3" s="790"/>
      <c r="T3" s="790"/>
      <c r="U3" s="790"/>
      <c r="V3" s="791"/>
      <c r="W3" s="788">
        <v>107</v>
      </c>
      <c r="X3" s="789" t="s">
        <v>949</v>
      </c>
      <c r="Y3" s="789"/>
      <c r="Z3" s="790"/>
      <c r="AA3" s="790"/>
      <c r="AB3" s="790"/>
      <c r="AC3" s="793"/>
      <c r="AD3" s="788">
        <v>108</v>
      </c>
      <c r="AE3" s="789" t="s">
        <v>949</v>
      </c>
      <c r="AF3" s="789"/>
      <c r="AG3" s="790"/>
      <c r="AH3" s="790"/>
      <c r="AI3" s="790"/>
      <c r="AJ3" s="793"/>
    </row>
    <row r="4" spans="1:36" ht="21" customHeight="1">
      <c r="A4" s="3041"/>
      <c r="B4" s="794"/>
      <c r="C4" s="795"/>
      <c r="D4" s="796"/>
      <c r="E4" s="3038" t="s">
        <v>951</v>
      </c>
      <c r="F4" s="797"/>
      <c r="G4" s="798"/>
      <c r="H4" s="3043" t="s">
        <v>975</v>
      </c>
      <c r="I4" s="795"/>
      <c r="J4" s="795"/>
      <c r="K4" s="796"/>
      <c r="L4" s="3038" t="s">
        <v>951</v>
      </c>
      <c r="M4" s="797"/>
      <c r="N4" s="798"/>
      <c r="O4" s="3038" t="s">
        <v>953</v>
      </c>
      <c r="P4" s="794"/>
      <c r="Q4" s="795"/>
      <c r="R4" s="796"/>
      <c r="S4" s="3038" t="s">
        <v>951</v>
      </c>
      <c r="T4" s="797"/>
      <c r="U4" s="798"/>
      <c r="V4" s="3036" t="s">
        <v>953</v>
      </c>
      <c r="W4" s="794"/>
      <c r="X4" s="795"/>
      <c r="Y4" s="796"/>
      <c r="Z4" s="3038" t="s">
        <v>951</v>
      </c>
      <c r="AA4" s="797"/>
      <c r="AB4" s="798"/>
      <c r="AC4" s="3043" t="s">
        <v>976</v>
      </c>
      <c r="AD4" s="795"/>
      <c r="AE4" s="795"/>
      <c r="AF4" s="796"/>
      <c r="AG4" s="3038" t="s">
        <v>977</v>
      </c>
      <c r="AH4" s="797"/>
      <c r="AI4" s="798"/>
      <c r="AJ4" s="3038" t="s">
        <v>953</v>
      </c>
    </row>
    <row r="5" spans="1:36" ht="50.85" customHeight="1">
      <c r="A5" s="3042"/>
      <c r="B5" s="799"/>
      <c r="C5" s="800" t="s">
        <v>978</v>
      </c>
      <c r="D5" s="800" t="s">
        <v>958</v>
      </c>
      <c r="E5" s="3037"/>
      <c r="F5" s="799" t="s">
        <v>957</v>
      </c>
      <c r="G5" s="799" t="s">
        <v>959</v>
      </c>
      <c r="H5" s="3037"/>
      <c r="I5" s="801"/>
      <c r="J5" s="800" t="s">
        <v>957</v>
      </c>
      <c r="K5" s="800" t="s">
        <v>959</v>
      </c>
      <c r="L5" s="3037"/>
      <c r="M5" s="799" t="s">
        <v>978</v>
      </c>
      <c r="N5" s="799" t="s">
        <v>959</v>
      </c>
      <c r="O5" s="3039"/>
      <c r="P5" s="799"/>
      <c r="Q5" s="800" t="s">
        <v>978</v>
      </c>
      <c r="R5" s="800" t="s">
        <v>959</v>
      </c>
      <c r="S5" s="3037"/>
      <c r="T5" s="799" t="s">
        <v>957</v>
      </c>
      <c r="U5" s="799" t="s">
        <v>959</v>
      </c>
      <c r="V5" s="3037"/>
      <c r="W5" s="799"/>
      <c r="X5" s="800" t="s">
        <v>957</v>
      </c>
      <c r="Y5" s="800" t="s">
        <v>959</v>
      </c>
      <c r="Z5" s="3037"/>
      <c r="AA5" s="799" t="s">
        <v>978</v>
      </c>
      <c r="AB5" s="799" t="s">
        <v>958</v>
      </c>
      <c r="AC5" s="3037"/>
      <c r="AD5" s="801"/>
      <c r="AE5" s="800" t="s">
        <v>957</v>
      </c>
      <c r="AF5" s="800" t="s">
        <v>959</v>
      </c>
      <c r="AG5" s="3037"/>
      <c r="AH5" s="799" t="s">
        <v>978</v>
      </c>
      <c r="AI5" s="799" t="s">
        <v>958</v>
      </c>
      <c r="AJ5" s="3039"/>
    </row>
    <row r="6" spans="1:36" ht="19.5" customHeight="1">
      <c r="A6" s="724" t="s">
        <v>349</v>
      </c>
      <c r="B6" s="813">
        <v>120153</v>
      </c>
      <c r="C6" s="813">
        <v>97248</v>
      </c>
      <c r="D6" s="813">
        <v>20842</v>
      </c>
      <c r="E6" s="813">
        <v>58328</v>
      </c>
      <c r="F6" s="813">
        <v>49736</v>
      </c>
      <c r="G6" s="813">
        <v>7977</v>
      </c>
      <c r="H6" s="814">
        <v>48.544772082261787</v>
      </c>
      <c r="I6" s="815">
        <v>136654</v>
      </c>
      <c r="J6" s="815">
        <v>112811</v>
      </c>
      <c r="K6" s="815">
        <v>21688</v>
      </c>
      <c r="L6" s="815">
        <v>65894</v>
      </c>
      <c r="M6" s="815">
        <v>56694</v>
      </c>
      <c r="N6" s="815">
        <v>8637</v>
      </c>
      <c r="O6" s="816">
        <v>48.219591084051693</v>
      </c>
      <c r="P6" s="813">
        <v>144928</v>
      </c>
      <c r="Q6" s="813">
        <v>119497</v>
      </c>
      <c r="R6" s="813">
        <v>23453</v>
      </c>
      <c r="S6" s="813">
        <v>67354</v>
      </c>
      <c r="T6" s="813">
        <v>58098</v>
      </c>
      <c r="U6" s="813">
        <v>8727</v>
      </c>
      <c r="V6" s="816">
        <v>46.474111282843893</v>
      </c>
      <c r="W6" s="813">
        <v>148130</v>
      </c>
      <c r="X6" s="813">
        <v>121447</v>
      </c>
      <c r="Y6" s="813">
        <v>24920</v>
      </c>
      <c r="Z6" s="813">
        <v>74964</v>
      </c>
      <c r="AA6" s="813">
        <v>63952</v>
      </c>
      <c r="AB6" s="813">
        <v>10577</v>
      </c>
      <c r="AC6" s="816">
        <v>50.606899345169786</v>
      </c>
      <c r="AD6" s="813">
        <v>140568</v>
      </c>
      <c r="AE6" s="813">
        <v>113988</v>
      </c>
      <c r="AF6" s="813">
        <v>24670</v>
      </c>
      <c r="AG6" s="813">
        <v>73227</v>
      </c>
      <c r="AH6" s="813">
        <v>61713</v>
      </c>
      <c r="AI6" s="813">
        <v>11041</v>
      </c>
      <c r="AJ6" s="816">
        <v>52.093648625576236</v>
      </c>
    </row>
    <row r="7" spans="1:36" ht="19.5" customHeight="1">
      <c r="A7" s="724" t="s">
        <v>979</v>
      </c>
      <c r="B7" s="813">
        <v>1173</v>
      </c>
      <c r="C7" s="813">
        <v>1095</v>
      </c>
      <c r="D7" s="813">
        <v>78</v>
      </c>
      <c r="E7" s="813">
        <v>17</v>
      </c>
      <c r="F7" s="813">
        <v>17</v>
      </c>
      <c r="G7" s="817" t="s">
        <v>980</v>
      </c>
      <c r="H7" s="814">
        <v>1.4492753623188406</v>
      </c>
      <c r="I7" s="815">
        <v>1584</v>
      </c>
      <c r="J7" s="815">
        <v>1520</v>
      </c>
      <c r="K7" s="815">
        <v>64</v>
      </c>
      <c r="L7" s="815">
        <v>64</v>
      </c>
      <c r="M7" s="815">
        <v>64</v>
      </c>
      <c r="N7" s="818" t="s">
        <v>980</v>
      </c>
      <c r="O7" s="816">
        <v>4.0404040404040407</v>
      </c>
      <c r="P7" s="813">
        <v>1561</v>
      </c>
      <c r="Q7" s="813">
        <v>1430</v>
      </c>
      <c r="R7" s="813">
        <v>131</v>
      </c>
      <c r="S7" s="813">
        <v>728</v>
      </c>
      <c r="T7" s="813">
        <v>647</v>
      </c>
      <c r="U7" s="813">
        <v>81</v>
      </c>
      <c r="V7" s="816">
        <v>46.63677130044843</v>
      </c>
      <c r="W7" s="813">
        <v>4283</v>
      </c>
      <c r="X7" s="813">
        <v>3840</v>
      </c>
      <c r="Y7" s="813">
        <v>443</v>
      </c>
      <c r="Z7" s="813">
        <v>3410</v>
      </c>
      <c r="AA7" s="813">
        <v>3051</v>
      </c>
      <c r="AB7" s="813">
        <v>359</v>
      </c>
      <c r="AC7" s="816">
        <v>79.617090824188651</v>
      </c>
      <c r="AD7" s="813">
        <v>6672</v>
      </c>
      <c r="AE7" s="813">
        <v>5998</v>
      </c>
      <c r="AF7" s="813">
        <v>674</v>
      </c>
      <c r="AG7" s="813">
        <v>5798</v>
      </c>
      <c r="AH7" s="813">
        <v>5205</v>
      </c>
      <c r="AI7" s="813">
        <v>593</v>
      </c>
      <c r="AJ7" s="816">
        <v>86.900479616306953</v>
      </c>
    </row>
    <row r="8" spans="1:36" ht="19.5" customHeight="1">
      <c r="A8" s="724" t="s">
        <v>827</v>
      </c>
      <c r="B8" s="813">
        <v>2774</v>
      </c>
      <c r="C8" s="813">
        <v>2664</v>
      </c>
      <c r="D8" s="813">
        <v>110</v>
      </c>
      <c r="E8" s="813">
        <v>1725</v>
      </c>
      <c r="F8" s="813">
        <v>1705</v>
      </c>
      <c r="G8" s="813">
        <v>20</v>
      </c>
      <c r="H8" s="814">
        <v>62.184571016582559</v>
      </c>
      <c r="I8" s="815">
        <v>3214</v>
      </c>
      <c r="J8" s="815">
        <v>3098</v>
      </c>
      <c r="K8" s="815">
        <v>116</v>
      </c>
      <c r="L8" s="815">
        <v>1953</v>
      </c>
      <c r="M8" s="815">
        <v>1928</v>
      </c>
      <c r="N8" s="815">
        <v>25</v>
      </c>
      <c r="O8" s="816">
        <v>60.765401369010576</v>
      </c>
      <c r="P8" s="813">
        <v>3583</v>
      </c>
      <c r="Q8" s="813">
        <v>3430</v>
      </c>
      <c r="R8" s="813">
        <v>153</v>
      </c>
      <c r="S8" s="813">
        <v>2195</v>
      </c>
      <c r="T8" s="813">
        <v>2162</v>
      </c>
      <c r="U8" s="813">
        <v>33</v>
      </c>
      <c r="V8" s="816">
        <v>61.261512698855704</v>
      </c>
      <c r="W8" s="813">
        <v>3646</v>
      </c>
      <c r="X8" s="813">
        <v>3484</v>
      </c>
      <c r="Y8" s="813">
        <v>162</v>
      </c>
      <c r="Z8" s="813">
        <v>2118</v>
      </c>
      <c r="AA8" s="813">
        <v>2088</v>
      </c>
      <c r="AB8" s="813">
        <v>30</v>
      </c>
      <c r="AC8" s="816">
        <v>58.091058694459683</v>
      </c>
      <c r="AD8" s="813">
        <v>3056</v>
      </c>
      <c r="AE8" s="813">
        <v>2954</v>
      </c>
      <c r="AF8" s="813">
        <v>102</v>
      </c>
      <c r="AG8" s="813">
        <v>1850</v>
      </c>
      <c r="AH8" s="813">
        <v>1824</v>
      </c>
      <c r="AI8" s="813">
        <v>26</v>
      </c>
      <c r="AJ8" s="816">
        <v>60.53664921465969</v>
      </c>
    </row>
    <row r="9" spans="1:36" ht="19.5" customHeight="1">
      <c r="A9" s="724" t="s">
        <v>981</v>
      </c>
      <c r="B9" s="813">
        <v>1030</v>
      </c>
      <c r="C9" s="813">
        <v>960</v>
      </c>
      <c r="D9" s="813">
        <v>70</v>
      </c>
      <c r="E9" s="813">
        <v>572</v>
      </c>
      <c r="F9" s="813">
        <v>541</v>
      </c>
      <c r="G9" s="813">
        <v>31</v>
      </c>
      <c r="H9" s="814">
        <v>55.533980582524265</v>
      </c>
      <c r="I9" s="815">
        <v>1108</v>
      </c>
      <c r="J9" s="815">
        <v>1025</v>
      </c>
      <c r="K9" s="815">
        <v>83</v>
      </c>
      <c r="L9" s="815">
        <v>520</v>
      </c>
      <c r="M9" s="815">
        <v>492</v>
      </c>
      <c r="N9" s="815">
        <v>28</v>
      </c>
      <c r="O9" s="816">
        <v>46.931407942238266</v>
      </c>
      <c r="P9" s="813">
        <v>1152</v>
      </c>
      <c r="Q9" s="813">
        <v>1081</v>
      </c>
      <c r="R9" s="813">
        <v>71</v>
      </c>
      <c r="S9" s="813">
        <v>564</v>
      </c>
      <c r="T9" s="813">
        <v>542</v>
      </c>
      <c r="U9" s="813">
        <v>22</v>
      </c>
      <c r="V9" s="816">
        <v>48.958333333333329</v>
      </c>
      <c r="W9" s="813">
        <v>767</v>
      </c>
      <c r="X9" s="813">
        <v>721</v>
      </c>
      <c r="Y9" s="813">
        <v>46</v>
      </c>
      <c r="Z9" s="813">
        <v>399</v>
      </c>
      <c r="AA9" s="813">
        <v>383</v>
      </c>
      <c r="AB9" s="813">
        <v>16</v>
      </c>
      <c r="AC9" s="816">
        <v>52.020860495436771</v>
      </c>
      <c r="AD9" s="813">
        <v>894</v>
      </c>
      <c r="AE9" s="813">
        <v>802</v>
      </c>
      <c r="AF9" s="813">
        <v>92</v>
      </c>
      <c r="AG9" s="813">
        <v>518</v>
      </c>
      <c r="AH9" s="813">
        <v>476</v>
      </c>
      <c r="AI9" s="813">
        <v>42</v>
      </c>
      <c r="AJ9" s="816">
        <v>57.941834451901563</v>
      </c>
    </row>
    <row r="10" spans="1:36" ht="19.5" customHeight="1">
      <c r="A10" s="724" t="s">
        <v>812</v>
      </c>
      <c r="B10" s="813">
        <v>73391</v>
      </c>
      <c r="C10" s="813">
        <v>63473</v>
      </c>
      <c r="D10" s="813">
        <v>9918</v>
      </c>
      <c r="E10" s="813">
        <v>42364</v>
      </c>
      <c r="F10" s="813">
        <v>37215</v>
      </c>
      <c r="G10" s="813">
        <v>5149</v>
      </c>
      <c r="H10" s="814">
        <v>57.723699091169209</v>
      </c>
      <c r="I10" s="815">
        <v>89860</v>
      </c>
      <c r="J10" s="815">
        <v>78001</v>
      </c>
      <c r="K10" s="815">
        <v>11858</v>
      </c>
      <c r="L10" s="815">
        <v>50179</v>
      </c>
      <c r="M10" s="815">
        <v>44061</v>
      </c>
      <c r="N10" s="815">
        <v>6118</v>
      </c>
      <c r="O10" s="816">
        <v>55.841308702425998</v>
      </c>
      <c r="P10" s="813">
        <v>96688</v>
      </c>
      <c r="Q10" s="813">
        <v>83707</v>
      </c>
      <c r="R10" s="813">
        <v>12981</v>
      </c>
      <c r="S10" s="813">
        <v>51020</v>
      </c>
      <c r="T10" s="813">
        <v>44778</v>
      </c>
      <c r="U10" s="813">
        <v>6242</v>
      </c>
      <c r="V10" s="816">
        <v>52.767665067019685</v>
      </c>
      <c r="W10" s="813">
        <v>95890</v>
      </c>
      <c r="X10" s="813">
        <v>82755</v>
      </c>
      <c r="Y10" s="813">
        <v>13135</v>
      </c>
      <c r="Z10" s="813">
        <v>53356</v>
      </c>
      <c r="AA10" s="813">
        <v>46623</v>
      </c>
      <c r="AB10" s="813">
        <v>6733</v>
      </c>
      <c r="AC10" s="816">
        <v>55.642924183960787</v>
      </c>
      <c r="AD10" s="813">
        <v>83474</v>
      </c>
      <c r="AE10" s="813">
        <v>71831</v>
      </c>
      <c r="AF10" s="813">
        <v>11643</v>
      </c>
      <c r="AG10" s="813">
        <v>48214</v>
      </c>
      <c r="AH10" s="813">
        <v>41885</v>
      </c>
      <c r="AI10" s="813">
        <v>6329</v>
      </c>
      <c r="AJ10" s="816">
        <v>57.759302297721447</v>
      </c>
    </row>
    <row r="11" spans="1:36" s="819" customFormat="1" ht="19.5" customHeight="1">
      <c r="A11" s="724" t="s">
        <v>982</v>
      </c>
      <c r="B11" s="813">
        <v>3473</v>
      </c>
      <c r="C11" s="813">
        <v>3184</v>
      </c>
      <c r="D11" s="813">
        <v>289</v>
      </c>
      <c r="E11" s="813">
        <v>1989</v>
      </c>
      <c r="F11" s="813">
        <v>1856</v>
      </c>
      <c r="G11" s="813">
        <v>133</v>
      </c>
      <c r="H11" s="814">
        <v>57.270371436798165</v>
      </c>
      <c r="I11" s="815">
        <v>3918</v>
      </c>
      <c r="J11" s="815">
        <v>3618</v>
      </c>
      <c r="K11" s="815">
        <v>300</v>
      </c>
      <c r="L11" s="815">
        <v>2253</v>
      </c>
      <c r="M11" s="815">
        <v>2135</v>
      </c>
      <c r="N11" s="815">
        <v>118</v>
      </c>
      <c r="O11" s="816">
        <v>57.503828483920373</v>
      </c>
      <c r="P11" s="813">
        <v>4203</v>
      </c>
      <c r="Q11" s="813">
        <v>3852</v>
      </c>
      <c r="R11" s="813">
        <v>351</v>
      </c>
      <c r="S11" s="813">
        <v>2180</v>
      </c>
      <c r="T11" s="813">
        <v>2075</v>
      </c>
      <c r="U11" s="813">
        <v>105</v>
      </c>
      <c r="V11" s="816">
        <v>51.867713537949086</v>
      </c>
      <c r="W11" s="813">
        <v>3918</v>
      </c>
      <c r="X11" s="813">
        <v>3491</v>
      </c>
      <c r="Y11" s="813">
        <v>427</v>
      </c>
      <c r="Z11" s="813">
        <v>2101</v>
      </c>
      <c r="AA11" s="813">
        <v>1919</v>
      </c>
      <c r="AB11" s="813">
        <v>182</v>
      </c>
      <c r="AC11" s="816">
        <v>53.624298111281263</v>
      </c>
      <c r="AD11" s="813">
        <v>3997</v>
      </c>
      <c r="AE11" s="813">
        <v>3638</v>
      </c>
      <c r="AF11" s="813">
        <v>359</v>
      </c>
      <c r="AG11" s="813">
        <v>2057</v>
      </c>
      <c r="AH11" s="813">
        <v>1914</v>
      </c>
      <c r="AI11" s="813">
        <v>143</v>
      </c>
      <c r="AJ11" s="816">
        <v>51.463597698273702</v>
      </c>
    </row>
    <row r="12" spans="1:36" ht="19.5" customHeight="1">
      <c r="A12" s="724" t="s">
        <v>983</v>
      </c>
      <c r="B12" s="813">
        <v>1660</v>
      </c>
      <c r="C12" s="813">
        <v>1404</v>
      </c>
      <c r="D12" s="813">
        <v>253</v>
      </c>
      <c r="E12" s="813">
        <v>719</v>
      </c>
      <c r="F12" s="813">
        <v>635</v>
      </c>
      <c r="G12" s="813">
        <v>84</v>
      </c>
      <c r="H12" s="814">
        <v>43.313253012048193</v>
      </c>
      <c r="I12" s="815">
        <v>1488</v>
      </c>
      <c r="J12" s="815">
        <v>1281</v>
      </c>
      <c r="K12" s="815">
        <v>204</v>
      </c>
      <c r="L12" s="815">
        <v>712</v>
      </c>
      <c r="M12" s="815">
        <v>635</v>
      </c>
      <c r="N12" s="815">
        <v>77</v>
      </c>
      <c r="O12" s="816">
        <v>47.8494623655914</v>
      </c>
      <c r="P12" s="813">
        <v>1137</v>
      </c>
      <c r="Q12" s="813">
        <v>945</v>
      </c>
      <c r="R12" s="813">
        <v>192</v>
      </c>
      <c r="S12" s="813">
        <v>508</v>
      </c>
      <c r="T12" s="813">
        <v>431</v>
      </c>
      <c r="U12" s="813">
        <v>77</v>
      </c>
      <c r="V12" s="816">
        <v>44.678979771328059</v>
      </c>
      <c r="W12" s="813">
        <v>1079</v>
      </c>
      <c r="X12" s="813">
        <v>897</v>
      </c>
      <c r="Y12" s="813">
        <v>179</v>
      </c>
      <c r="Z12" s="813">
        <v>537</v>
      </c>
      <c r="AA12" s="813">
        <v>447</v>
      </c>
      <c r="AB12" s="813">
        <v>90</v>
      </c>
      <c r="AC12" s="816">
        <v>49.76830398517145</v>
      </c>
      <c r="AD12" s="813">
        <v>1106</v>
      </c>
      <c r="AE12" s="813">
        <v>932</v>
      </c>
      <c r="AF12" s="813">
        <v>174</v>
      </c>
      <c r="AG12" s="813">
        <v>535</v>
      </c>
      <c r="AH12" s="813">
        <v>453</v>
      </c>
      <c r="AI12" s="813">
        <v>82</v>
      </c>
      <c r="AJ12" s="816">
        <v>48.372513562386985</v>
      </c>
    </row>
    <row r="13" spans="1:36" ht="19.5" customHeight="1">
      <c r="A13" s="724" t="s">
        <v>984</v>
      </c>
      <c r="B13" s="813">
        <v>1560</v>
      </c>
      <c r="C13" s="813">
        <v>1313</v>
      </c>
      <c r="D13" s="813">
        <v>130</v>
      </c>
      <c r="E13" s="813">
        <v>586</v>
      </c>
      <c r="F13" s="813">
        <v>515</v>
      </c>
      <c r="G13" s="813">
        <v>29</v>
      </c>
      <c r="H13" s="814">
        <v>37.564102564102562</v>
      </c>
      <c r="I13" s="815">
        <v>1537</v>
      </c>
      <c r="J13" s="815">
        <v>1209</v>
      </c>
      <c r="K13" s="815">
        <v>171</v>
      </c>
      <c r="L13" s="815">
        <v>648</v>
      </c>
      <c r="M13" s="815">
        <v>531</v>
      </c>
      <c r="N13" s="815">
        <v>47</v>
      </c>
      <c r="O13" s="816">
        <v>42.160052049446975</v>
      </c>
      <c r="P13" s="813">
        <v>1841</v>
      </c>
      <c r="Q13" s="813">
        <v>1499</v>
      </c>
      <c r="R13" s="813">
        <v>155</v>
      </c>
      <c r="S13" s="813">
        <v>867</v>
      </c>
      <c r="T13" s="813">
        <v>724</v>
      </c>
      <c r="U13" s="813">
        <v>57</v>
      </c>
      <c r="V13" s="816">
        <v>47.093970668115155</v>
      </c>
      <c r="W13" s="813">
        <v>1757</v>
      </c>
      <c r="X13" s="813">
        <v>1484</v>
      </c>
      <c r="Y13" s="813">
        <v>96</v>
      </c>
      <c r="Z13" s="813">
        <v>850</v>
      </c>
      <c r="AA13" s="813">
        <v>734</v>
      </c>
      <c r="AB13" s="813">
        <v>30</v>
      </c>
      <c r="AC13" s="816">
        <v>48.377916903813315</v>
      </c>
      <c r="AD13" s="813">
        <v>1876</v>
      </c>
      <c r="AE13" s="813">
        <v>1551</v>
      </c>
      <c r="AF13" s="813">
        <v>143</v>
      </c>
      <c r="AG13" s="813">
        <v>858</v>
      </c>
      <c r="AH13" s="813">
        <v>735</v>
      </c>
      <c r="AI13" s="813">
        <v>42</v>
      </c>
      <c r="AJ13" s="816">
        <v>45.735607675906181</v>
      </c>
    </row>
    <row r="14" spans="1:36" ht="19.5" customHeight="1">
      <c r="A14" s="724" t="s">
        <v>985</v>
      </c>
      <c r="B14" s="813">
        <v>2232</v>
      </c>
      <c r="C14" s="813">
        <v>1554</v>
      </c>
      <c r="D14" s="813">
        <v>565</v>
      </c>
      <c r="E14" s="813">
        <v>1107</v>
      </c>
      <c r="F14" s="813">
        <v>883</v>
      </c>
      <c r="G14" s="813">
        <v>190</v>
      </c>
      <c r="H14" s="814">
        <v>49.596774193548384</v>
      </c>
      <c r="I14" s="815">
        <v>2382</v>
      </c>
      <c r="J14" s="815">
        <v>1737</v>
      </c>
      <c r="K14" s="815">
        <v>538</v>
      </c>
      <c r="L14" s="815">
        <v>992</v>
      </c>
      <c r="M14" s="815">
        <v>836</v>
      </c>
      <c r="N14" s="815">
        <v>122</v>
      </c>
      <c r="O14" s="816">
        <v>41.645675902602854</v>
      </c>
      <c r="P14" s="813">
        <v>2819</v>
      </c>
      <c r="Q14" s="813">
        <v>2069</v>
      </c>
      <c r="R14" s="813">
        <v>654</v>
      </c>
      <c r="S14" s="813">
        <v>1241</v>
      </c>
      <c r="T14" s="813">
        <v>1052</v>
      </c>
      <c r="U14" s="813">
        <v>160</v>
      </c>
      <c r="V14" s="816">
        <v>44.022703086200785</v>
      </c>
      <c r="W14" s="813">
        <v>2521</v>
      </c>
      <c r="X14" s="813">
        <v>1813</v>
      </c>
      <c r="Y14" s="813">
        <v>598</v>
      </c>
      <c r="Z14" s="813">
        <v>1078</v>
      </c>
      <c r="AA14" s="813">
        <v>921</v>
      </c>
      <c r="AB14" s="813">
        <v>138</v>
      </c>
      <c r="AC14" s="816">
        <v>42.760809202697345</v>
      </c>
      <c r="AD14" s="813">
        <v>2116</v>
      </c>
      <c r="AE14" s="813">
        <v>1508</v>
      </c>
      <c r="AF14" s="813">
        <v>529</v>
      </c>
      <c r="AG14" s="813">
        <v>923</v>
      </c>
      <c r="AH14" s="813">
        <v>786</v>
      </c>
      <c r="AI14" s="813">
        <v>129</v>
      </c>
      <c r="AJ14" s="816">
        <v>43.620037807183365</v>
      </c>
    </row>
    <row r="15" spans="1:36" s="819" customFormat="1" ht="19.5" customHeight="1">
      <c r="A15" s="724" t="s">
        <v>986</v>
      </c>
      <c r="B15" s="813">
        <v>1146</v>
      </c>
      <c r="C15" s="813">
        <v>941</v>
      </c>
      <c r="D15" s="813">
        <v>205</v>
      </c>
      <c r="E15" s="813">
        <v>348</v>
      </c>
      <c r="F15" s="813">
        <v>271</v>
      </c>
      <c r="G15" s="813">
        <v>77</v>
      </c>
      <c r="H15" s="814">
        <v>30.366492146596858</v>
      </c>
      <c r="I15" s="815">
        <v>1574</v>
      </c>
      <c r="J15" s="815">
        <v>1274</v>
      </c>
      <c r="K15" s="815">
        <v>300</v>
      </c>
      <c r="L15" s="815">
        <v>469</v>
      </c>
      <c r="M15" s="815">
        <v>377</v>
      </c>
      <c r="N15" s="815">
        <v>92</v>
      </c>
      <c r="O15" s="816">
        <v>29.796696315120712</v>
      </c>
      <c r="P15" s="813">
        <v>3565</v>
      </c>
      <c r="Q15" s="813">
        <v>2269</v>
      </c>
      <c r="R15" s="813">
        <v>1296</v>
      </c>
      <c r="S15" s="813">
        <v>512</v>
      </c>
      <c r="T15" s="813">
        <v>347</v>
      </c>
      <c r="U15" s="813">
        <v>165</v>
      </c>
      <c r="V15" s="816">
        <v>14.361851332398318</v>
      </c>
      <c r="W15" s="813">
        <v>1583</v>
      </c>
      <c r="X15" s="813">
        <v>1190</v>
      </c>
      <c r="Y15" s="813">
        <v>393</v>
      </c>
      <c r="Z15" s="813">
        <v>402</v>
      </c>
      <c r="AA15" s="813">
        <v>355</v>
      </c>
      <c r="AB15" s="813">
        <v>47</v>
      </c>
      <c r="AC15" s="816">
        <v>25.39481996209728</v>
      </c>
      <c r="AD15" s="813">
        <v>1420</v>
      </c>
      <c r="AE15" s="813">
        <v>1122</v>
      </c>
      <c r="AF15" s="813">
        <v>298</v>
      </c>
      <c r="AG15" s="813">
        <v>549</v>
      </c>
      <c r="AH15" s="813">
        <v>465</v>
      </c>
      <c r="AI15" s="813">
        <v>84</v>
      </c>
      <c r="AJ15" s="816">
        <v>38.661971830985912</v>
      </c>
    </row>
    <row r="16" spans="1:36" ht="19.5" customHeight="1">
      <c r="A16" s="724" t="s">
        <v>987</v>
      </c>
      <c r="B16" s="813">
        <v>3093</v>
      </c>
      <c r="C16" s="813">
        <v>2191</v>
      </c>
      <c r="D16" s="813">
        <v>902</v>
      </c>
      <c r="E16" s="813">
        <v>1155</v>
      </c>
      <c r="F16" s="813">
        <v>844</v>
      </c>
      <c r="G16" s="813">
        <v>311</v>
      </c>
      <c r="H16" s="814">
        <v>37.342386032977693</v>
      </c>
      <c r="I16" s="815">
        <v>1291</v>
      </c>
      <c r="J16" s="815">
        <v>969</v>
      </c>
      <c r="K16" s="815">
        <v>321</v>
      </c>
      <c r="L16" s="815">
        <v>392</v>
      </c>
      <c r="M16" s="815">
        <v>262</v>
      </c>
      <c r="N16" s="815">
        <v>130</v>
      </c>
      <c r="O16" s="816">
        <v>30.364058869093725</v>
      </c>
      <c r="P16" s="813">
        <v>111</v>
      </c>
      <c r="Q16" s="813">
        <v>82</v>
      </c>
      <c r="R16" s="813">
        <v>29</v>
      </c>
      <c r="S16" s="813">
        <v>14</v>
      </c>
      <c r="T16" s="813">
        <v>9</v>
      </c>
      <c r="U16" s="813">
        <v>5</v>
      </c>
      <c r="V16" s="816">
        <v>12.612612612612612</v>
      </c>
      <c r="W16" s="813">
        <v>1889</v>
      </c>
      <c r="X16" s="813">
        <v>1383</v>
      </c>
      <c r="Y16" s="813">
        <v>504</v>
      </c>
      <c r="Z16" s="813">
        <v>1161</v>
      </c>
      <c r="AA16" s="813">
        <v>868</v>
      </c>
      <c r="AB16" s="813">
        <v>293</v>
      </c>
      <c r="AC16" s="816">
        <v>61.461090524086814</v>
      </c>
      <c r="AD16" s="813">
        <v>3330</v>
      </c>
      <c r="AE16" s="813">
        <v>2355</v>
      </c>
      <c r="AF16" s="813">
        <v>975</v>
      </c>
      <c r="AG16" s="813">
        <v>1221</v>
      </c>
      <c r="AH16" s="813">
        <v>859</v>
      </c>
      <c r="AI16" s="813">
        <v>362</v>
      </c>
      <c r="AJ16" s="816">
        <v>36.666666666666664</v>
      </c>
    </row>
    <row r="17" spans="1:36" ht="19.5" customHeight="1">
      <c r="A17" s="738" t="s">
        <v>988</v>
      </c>
      <c r="B17" s="813">
        <v>241</v>
      </c>
      <c r="C17" s="813">
        <v>141</v>
      </c>
      <c r="D17" s="813">
        <v>55</v>
      </c>
      <c r="E17" s="813">
        <v>81</v>
      </c>
      <c r="F17" s="813">
        <v>46</v>
      </c>
      <c r="G17" s="813">
        <v>19</v>
      </c>
      <c r="H17" s="814">
        <v>33.609958506224068</v>
      </c>
      <c r="I17" s="815">
        <v>204</v>
      </c>
      <c r="J17" s="815">
        <v>114</v>
      </c>
      <c r="K17" s="815">
        <v>51</v>
      </c>
      <c r="L17" s="815">
        <v>61</v>
      </c>
      <c r="M17" s="815">
        <v>33</v>
      </c>
      <c r="N17" s="815">
        <v>20</v>
      </c>
      <c r="O17" s="816">
        <v>29.901960784313726</v>
      </c>
      <c r="P17" s="813">
        <v>91</v>
      </c>
      <c r="Q17" s="813">
        <v>43</v>
      </c>
      <c r="R17" s="813">
        <v>25</v>
      </c>
      <c r="S17" s="813">
        <v>30</v>
      </c>
      <c r="T17" s="813">
        <v>9</v>
      </c>
      <c r="U17" s="813">
        <v>9</v>
      </c>
      <c r="V17" s="816">
        <v>32.967032967032964</v>
      </c>
      <c r="W17" s="813">
        <v>89</v>
      </c>
      <c r="X17" s="813">
        <v>57</v>
      </c>
      <c r="Y17" s="813">
        <v>21</v>
      </c>
      <c r="Z17" s="813">
        <v>30</v>
      </c>
      <c r="AA17" s="813">
        <v>17</v>
      </c>
      <c r="AB17" s="813">
        <v>8</v>
      </c>
      <c r="AC17" s="816">
        <v>33.707865168539328</v>
      </c>
      <c r="AD17" s="813">
        <v>96</v>
      </c>
      <c r="AE17" s="813">
        <v>47</v>
      </c>
      <c r="AF17" s="813">
        <v>28</v>
      </c>
      <c r="AG17" s="813">
        <v>35</v>
      </c>
      <c r="AH17" s="813">
        <v>21</v>
      </c>
      <c r="AI17" s="813">
        <v>7</v>
      </c>
      <c r="AJ17" s="816">
        <v>36.458333333333329</v>
      </c>
    </row>
    <row r="18" spans="1:36" s="819" customFormat="1" ht="19.5" customHeight="1">
      <c r="A18" s="724" t="s">
        <v>989</v>
      </c>
      <c r="B18" s="813">
        <v>1804</v>
      </c>
      <c r="C18" s="813">
        <v>852</v>
      </c>
      <c r="D18" s="813">
        <v>224</v>
      </c>
      <c r="E18" s="813">
        <v>603</v>
      </c>
      <c r="F18" s="813">
        <v>290</v>
      </c>
      <c r="G18" s="813">
        <v>70</v>
      </c>
      <c r="H18" s="814">
        <v>33.425720620842569</v>
      </c>
      <c r="I18" s="815">
        <v>1737</v>
      </c>
      <c r="J18" s="815">
        <v>770</v>
      </c>
      <c r="K18" s="815">
        <v>232</v>
      </c>
      <c r="L18" s="815">
        <v>577</v>
      </c>
      <c r="M18" s="815">
        <v>298</v>
      </c>
      <c r="N18" s="815">
        <v>62</v>
      </c>
      <c r="O18" s="816">
        <v>33.218192285549797</v>
      </c>
      <c r="P18" s="813">
        <v>1606</v>
      </c>
      <c r="Q18" s="813">
        <v>722</v>
      </c>
      <c r="R18" s="813">
        <v>242</v>
      </c>
      <c r="S18" s="813">
        <v>424</v>
      </c>
      <c r="T18" s="813">
        <v>193</v>
      </c>
      <c r="U18" s="813">
        <v>51</v>
      </c>
      <c r="V18" s="816">
        <v>26.400996264009962</v>
      </c>
      <c r="W18" s="813">
        <v>1299</v>
      </c>
      <c r="X18" s="813">
        <v>627</v>
      </c>
      <c r="Y18" s="813">
        <v>178</v>
      </c>
      <c r="Z18" s="813">
        <v>368</v>
      </c>
      <c r="AA18" s="813">
        <v>195</v>
      </c>
      <c r="AB18" s="813">
        <v>36</v>
      </c>
      <c r="AC18" s="816">
        <v>28.329484218629712</v>
      </c>
      <c r="AD18" s="813">
        <v>1489</v>
      </c>
      <c r="AE18" s="813">
        <v>680</v>
      </c>
      <c r="AF18" s="813">
        <v>224</v>
      </c>
      <c r="AG18" s="813">
        <v>477</v>
      </c>
      <c r="AH18" s="813">
        <v>244</v>
      </c>
      <c r="AI18" s="813">
        <v>56</v>
      </c>
      <c r="AJ18" s="816">
        <v>32.034922766957692</v>
      </c>
    </row>
    <row r="19" spans="1:36" s="819" customFormat="1" ht="19.5" customHeight="1">
      <c r="A19" s="724" t="s">
        <v>990</v>
      </c>
      <c r="B19" s="813">
        <v>4467</v>
      </c>
      <c r="C19" s="813">
        <v>1945</v>
      </c>
      <c r="D19" s="813">
        <v>2515</v>
      </c>
      <c r="E19" s="813">
        <v>991</v>
      </c>
      <c r="F19" s="813">
        <v>461</v>
      </c>
      <c r="G19" s="813">
        <v>529</v>
      </c>
      <c r="H19" s="814">
        <v>22.184911573763152</v>
      </c>
      <c r="I19" s="815">
        <v>3926</v>
      </c>
      <c r="J19" s="815">
        <v>1770</v>
      </c>
      <c r="K19" s="815">
        <v>2131</v>
      </c>
      <c r="L19" s="815">
        <v>867</v>
      </c>
      <c r="M19" s="815">
        <v>440</v>
      </c>
      <c r="N19" s="815">
        <v>426</v>
      </c>
      <c r="O19" s="816">
        <v>22.083545593479368</v>
      </c>
      <c r="P19" s="813">
        <v>3284</v>
      </c>
      <c r="Q19" s="813">
        <v>1564</v>
      </c>
      <c r="R19" s="813">
        <v>1711</v>
      </c>
      <c r="S19" s="813">
        <v>791</v>
      </c>
      <c r="T19" s="813">
        <v>431</v>
      </c>
      <c r="U19" s="813">
        <v>360</v>
      </c>
      <c r="V19" s="816">
        <v>24.086479902557855</v>
      </c>
      <c r="W19" s="813">
        <v>2874</v>
      </c>
      <c r="X19" s="813">
        <v>1504</v>
      </c>
      <c r="Y19" s="813">
        <v>1360</v>
      </c>
      <c r="Z19" s="813">
        <v>732</v>
      </c>
      <c r="AA19" s="813">
        <v>394</v>
      </c>
      <c r="AB19" s="813">
        <v>338</v>
      </c>
      <c r="AC19" s="816">
        <v>25.469728601252612</v>
      </c>
      <c r="AD19" s="813">
        <v>2873</v>
      </c>
      <c r="AE19" s="813">
        <v>1566</v>
      </c>
      <c r="AF19" s="813">
        <v>1295</v>
      </c>
      <c r="AG19" s="813">
        <v>898</v>
      </c>
      <c r="AH19" s="813">
        <v>460</v>
      </c>
      <c r="AI19" s="813">
        <v>438</v>
      </c>
      <c r="AJ19" s="816">
        <v>31.256526279150716</v>
      </c>
    </row>
    <row r="20" spans="1:36" s="819" customFormat="1" ht="19.5" customHeight="1">
      <c r="A20" s="820" t="s">
        <v>991</v>
      </c>
      <c r="B20" s="813">
        <v>1643</v>
      </c>
      <c r="C20" s="813">
        <v>971</v>
      </c>
      <c r="D20" s="813">
        <v>668</v>
      </c>
      <c r="E20" s="813">
        <v>406</v>
      </c>
      <c r="F20" s="813">
        <v>288</v>
      </c>
      <c r="G20" s="813">
        <v>118</v>
      </c>
      <c r="H20" s="814">
        <v>24.710894704808279</v>
      </c>
      <c r="I20" s="815">
        <v>1466</v>
      </c>
      <c r="J20" s="815">
        <v>857</v>
      </c>
      <c r="K20" s="815">
        <v>604</v>
      </c>
      <c r="L20" s="815">
        <v>294</v>
      </c>
      <c r="M20" s="815">
        <v>229</v>
      </c>
      <c r="N20" s="815">
        <v>64</v>
      </c>
      <c r="O20" s="816">
        <v>20.054570259208731</v>
      </c>
      <c r="P20" s="813">
        <v>1167</v>
      </c>
      <c r="Q20" s="813">
        <v>705</v>
      </c>
      <c r="R20" s="813">
        <v>456</v>
      </c>
      <c r="S20" s="813">
        <v>305</v>
      </c>
      <c r="T20" s="813">
        <v>225</v>
      </c>
      <c r="U20" s="813">
        <v>78</v>
      </c>
      <c r="V20" s="816">
        <v>26.135389888603257</v>
      </c>
      <c r="W20" s="813">
        <v>922</v>
      </c>
      <c r="X20" s="813">
        <v>609</v>
      </c>
      <c r="Y20" s="813">
        <v>308</v>
      </c>
      <c r="Z20" s="813">
        <v>242</v>
      </c>
      <c r="AA20" s="813">
        <v>196</v>
      </c>
      <c r="AB20" s="813">
        <v>46</v>
      </c>
      <c r="AC20" s="816">
        <v>26.247288503253795</v>
      </c>
      <c r="AD20" s="813">
        <v>456</v>
      </c>
      <c r="AE20" s="813">
        <v>284</v>
      </c>
      <c r="AF20" s="813">
        <v>168</v>
      </c>
      <c r="AG20" s="813">
        <v>102</v>
      </c>
      <c r="AH20" s="813">
        <v>75</v>
      </c>
      <c r="AI20" s="813">
        <v>26</v>
      </c>
      <c r="AJ20" s="816">
        <v>22.368421052631579</v>
      </c>
    </row>
    <row r="21" spans="1:36" s="819" customFormat="1" ht="19.5" customHeight="1">
      <c r="A21" s="724" t="s">
        <v>992</v>
      </c>
      <c r="B21" s="813">
        <v>1526</v>
      </c>
      <c r="C21" s="813">
        <v>1525</v>
      </c>
      <c r="D21" s="813">
        <v>1</v>
      </c>
      <c r="E21" s="813">
        <v>256</v>
      </c>
      <c r="F21" s="813">
        <v>256</v>
      </c>
      <c r="G21" s="817" t="s">
        <v>993</v>
      </c>
      <c r="H21" s="814">
        <v>16.775884665792923</v>
      </c>
      <c r="I21" s="815">
        <v>1767</v>
      </c>
      <c r="J21" s="815">
        <v>1767</v>
      </c>
      <c r="K21" s="818" t="s">
        <v>993</v>
      </c>
      <c r="L21" s="815">
        <v>282</v>
      </c>
      <c r="M21" s="815">
        <v>282</v>
      </c>
      <c r="N21" s="818" t="s">
        <v>980</v>
      </c>
      <c r="O21" s="816">
        <v>15.959252971137522</v>
      </c>
      <c r="P21" s="813">
        <v>1705</v>
      </c>
      <c r="Q21" s="813">
        <v>1705</v>
      </c>
      <c r="R21" s="817" t="s">
        <v>994</v>
      </c>
      <c r="S21" s="813">
        <v>286</v>
      </c>
      <c r="T21" s="813">
        <v>286</v>
      </c>
      <c r="U21" s="813">
        <v>0</v>
      </c>
      <c r="V21" s="816">
        <v>16.7741935483871</v>
      </c>
      <c r="W21" s="813">
        <v>1653</v>
      </c>
      <c r="X21" s="813">
        <v>1651</v>
      </c>
      <c r="Y21" s="813">
        <v>2</v>
      </c>
      <c r="Z21" s="813">
        <v>256</v>
      </c>
      <c r="AA21" s="813">
        <v>256</v>
      </c>
      <c r="AB21" s="817" t="s">
        <v>994</v>
      </c>
      <c r="AC21" s="816">
        <v>15.486993345432548</v>
      </c>
      <c r="AD21" s="813">
        <v>1503</v>
      </c>
      <c r="AE21" s="813">
        <v>1502</v>
      </c>
      <c r="AF21" s="813">
        <v>1</v>
      </c>
      <c r="AG21" s="813">
        <v>253</v>
      </c>
      <c r="AH21" s="813">
        <v>253</v>
      </c>
      <c r="AI21" s="817" t="s">
        <v>994</v>
      </c>
      <c r="AJ21" s="816">
        <v>16.833000665335994</v>
      </c>
    </row>
    <row r="22" spans="1:36" s="819" customFormat="1" ht="19.5" customHeight="1">
      <c r="A22" s="738" t="s">
        <v>995</v>
      </c>
      <c r="B22" s="813">
        <v>674</v>
      </c>
      <c r="C22" s="813">
        <v>430</v>
      </c>
      <c r="D22" s="813">
        <v>241</v>
      </c>
      <c r="E22" s="813">
        <v>94</v>
      </c>
      <c r="F22" s="813">
        <v>66</v>
      </c>
      <c r="G22" s="813">
        <v>28</v>
      </c>
      <c r="H22" s="814">
        <v>13.94658753709199</v>
      </c>
      <c r="I22" s="815">
        <v>750</v>
      </c>
      <c r="J22" s="815">
        <v>490</v>
      </c>
      <c r="K22" s="815">
        <v>260</v>
      </c>
      <c r="L22" s="815">
        <v>98</v>
      </c>
      <c r="M22" s="815">
        <v>70</v>
      </c>
      <c r="N22" s="815">
        <v>28</v>
      </c>
      <c r="O22" s="816">
        <v>13.066666666666665</v>
      </c>
      <c r="P22" s="813">
        <v>1006</v>
      </c>
      <c r="Q22" s="813">
        <v>617</v>
      </c>
      <c r="R22" s="813">
        <v>388</v>
      </c>
      <c r="S22" s="813">
        <v>144</v>
      </c>
      <c r="T22" s="813">
        <v>102</v>
      </c>
      <c r="U22" s="813">
        <v>42</v>
      </c>
      <c r="V22" s="816">
        <v>14.314115308151093</v>
      </c>
      <c r="W22" s="813">
        <v>1120</v>
      </c>
      <c r="X22" s="813">
        <v>687</v>
      </c>
      <c r="Y22" s="813">
        <v>418</v>
      </c>
      <c r="Z22" s="813">
        <v>157</v>
      </c>
      <c r="AA22" s="813">
        <v>99</v>
      </c>
      <c r="AB22" s="813">
        <v>58</v>
      </c>
      <c r="AC22" s="816">
        <v>14.017857142857142</v>
      </c>
      <c r="AD22" s="813">
        <v>1160</v>
      </c>
      <c r="AE22" s="813">
        <v>702</v>
      </c>
      <c r="AF22" s="813">
        <v>455</v>
      </c>
      <c r="AG22" s="813">
        <v>179</v>
      </c>
      <c r="AH22" s="813">
        <v>117</v>
      </c>
      <c r="AI22" s="813">
        <v>62</v>
      </c>
      <c r="AJ22" s="816">
        <v>15.431034482758621</v>
      </c>
    </row>
    <row r="23" spans="1:36" s="819" customFormat="1" ht="19.5" customHeight="1">
      <c r="A23" s="724" t="s">
        <v>828</v>
      </c>
      <c r="B23" s="813">
        <v>5154</v>
      </c>
      <c r="C23" s="813">
        <v>3288</v>
      </c>
      <c r="D23" s="813">
        <v>1388</v>
      </c>
      <c r="E23" s="813">
        <v>741</v>
      </c>
      <c r="F23" s="813">
        <v>469</v>
      </c>
      <c r="G23" s="813">
        <v>136</v>
      </c>
      <c r="H23" s="814">
        <v>14.377182770663563</v>
      </c>
      <c r="I23" s="815">
        <v>4973</v>
      </c>
      <c r="J23" s="815">
        <v>3303</v>
      </c>
      <c r="K23" s="815">
        <v>1183</v>
      </c>
      <c r="L23" s="815">
        <v>509</v>
      </c>
      <c r="M23" s="815">
        <v>331</v>
      </c>
      <c r="N23" s="815">
        <v>104</v>
      </c>
      <c r="O23" s="816">
        <v>10.235270460486628</v>
      </c>
      <c r="P23" s="813">
        <v>4913</v>
      </c>
      <c r="Q23" s="813">
        <v>3151</v>
      </c>
      <c r="R23" s="813">
        <v>1304</v>
      </c>
      <c r="S23" s="813">
        <v>418</v>
      </c>
      <c r="T23" s="813">
        <v>273</v>
      </c>
      <c r="U23" s="813">
        <v>89</v>
      </c>
      <c r="V23" s="816">
        <v>8.5080398941583546</v>
      </c>
      <c r="W23" s="813">
        <v>5348</v>
      </c>
      <c r="X23" s="813">
        <v>3166</v>
      </c>
      <c r="Y23" s="813">
        <v>1802</v>
      </c>
      <c r="Z23" s="813">
        <v>552</v>
      </c>
      <c r="AA23" s="813">
        <v>322</v>
      </c>
      <c r="AB23" s="813">
        <v>174</v>
      </c>
      <c r="AC23" s="816">
        <v>10.321615557217651</v>
      </c>
      <c r="AD23" s="813">
        <v>4901</v>
      </c>
      <c r="AE23" s="813">
        <v>2612</v>
      </c>
      <c r="AF23" s="813">
        <v>1875</v>
      </c>
      <c r="AG23" s="813">
        <v>505</v>
      </c>
      <c r="AH23" s="813">
        <v>254</v>
      </c>
      <c r="AI23" s="813">
        <v>203</v>
      </c>
      <c r="AJ23" s="816">
        <v>10.304019587839216</v>
      </c>
    </row>
    <row r="24" spans="1:36" s="819" customFormat="1" ht="19.5" customHeight="1">
      <c r="A24" s="724" t="s">
        <v>824</v>
      </c>
      <c r="B24" s="813">
        <v>768</v>
      </c>
      <c r="C24" s="813">
        <v>530</v>
      </c>
      <c r="D24" s="813">
        <v>228</v>
      </c>
      <c r="E24" s="813">
        <v>37</v>
      </c>
      <c r="F24" s="813">
        <v>30</v>
      </c>
      <c r="G24" s="813">
        <v>6</v>
      </c>
      <c r="H24" s="814">
        <v>4.8177083333333339</v>
      </c>
      <c r="I24" s="815">
        <v>932</v>
      </c>
      <c r="J24" s="815">
        <v>726</v>
      </c>
      <c r="K24" s="815">
        <v>191</v>
      </c>
      <c r="L24" s="815">
        <v>65</v>
      </c>
      <c r="M24" s="815">
        <v>50</v>
      </c>
      <c r="N24" s="815">
        <v>12</v>
      </c>
      <c r="O24" s="816">
        <v>6.9742489270386256</v>
      </c>
      <c r="P24" s="813">
        <v>553</v>
      </c>
      <c r="Q24" s="813">
        <v>416</v>
      </c>
      <c r="R24" s="813">
        <v>124</v>
      </c>
      <c r="S24" s="813">
        <v>31</v>
      </c>
      <c r="T24" s="813">
        <v>26</v>
      </c>
      <c r="U24" s="813">
        <v>5</v>
      </c>
      <c r="V24" s="816">
        <v>5.6057866184448457</v>
      </c>
      <c r="W24" s="813">
        <v>581</v>
      </c>
      <c r="X24" s="813">
        <v>434</v>
      </c>
      <c r="Y24" s="813">
        <v>143</v>
      </c>
      <c r="Z24" s="813">
        <v>47</v>
      </c>
      <c r="AA24" s="813">
        <v>35</v>
      </c>
      <c r="AB24" s="813">
        <v>12</v>
      </c>
      <c r="AC24" s="816">
        <v>8.0895008605851988</v>
      </c>
      <c r="AD24" s="813">
        <v>569</v>
      </c>
      <c r="AE24" s="813">
        <v>410</v>
      </c>
      <c r="AF24" s="813">
        <v>154</v>
      </c>
      <c r="AG24" s="813">
        <v>33</v>
      </c>
      <c r="AH24" s="813">
        <v>24</v>
      </c>
      <c r="AI24" s="813">
        <v>9</v>
      </c>
      <c r="AJ24" s="816">
        <v>5.7996485061511418</v>
      </c>
    </row>
    <row r="25" spans="1:36" ht="19.5" customHeight="1">
      <c r="A25" s="725" t="s">
        <v>996</v>
      </c>
      <c r="B25" s="821">
        <v>12344</v>
      </c>
      <c r="C25" s="821">
        <v>8787</v>
      </c>
      <c r="D25" s="821">
        <v>3002</v>
      </c>
      <c r="E25" s="821">
        <v>4537</v>
      </c>
      <c r="F25" s="821">
        <v>3348</v>
      </c>
      <c r="G25" s="821">
        <v>1047</v>
      </c>
      <c r="H25" s="822">
        <v>36.754698639014904</v>
      </c>
      <c r="I25" s="823">
        <v>12943</v>
      </c>
      <c r="J25" s="823">
        <v>9282</v>
      </c>
      <c r="K25" s="823">
        <v>3081</v>
      </c>
      <c r="L25" s="823">
        <v>4959</v>
      </c>
      <c r="M25" s="823">
        <v>3640</v>
      </c>
      <c r="N25" s="823">
        <v>1164</v>
      </c>
      <c r="O25" s="824">
        <v>38.314146642973036</v>
      </c>
      <c r="P25" s="821">
        <v>13943</v>
      </c>
      <c r="Q25" s="821">
        <v>10210</v>
      </c>
      <c r="R25" s="821">
        <v>3190</v>
      </c>
      <c r="S25" s="821">
        <v>5096</v>
      </c>
      <c r="T25" s="821">
        <v>3786</v>
      </c>
      <c r="U25" s="821">
        <v>1146</v>
      </c>
      <c r="V25" s="824">
        <v>36.548805852399049</v>
      </c>
      <c r="W25" s="821">
        <v>16911</v>
      </c>
      <c r="X25" s="821">
        <v>11654</v>
      </c>
      <c r="Y25" s="821">
        <v>4705</v>
      </c>
      <c r="Z25" s="821">
        <v>7168</v>
      </c>
      <c r="AA25" s="821">
        <v>5049</v>
      </c>
      <c r="AB25" s="821">
        <v>1987</v>
      </c>
      <c r="AC25" s="824">
        <v>42.386612264206732</v>
      </c>
      <c r="AD25" s="821">
        <v>19580</v>
      </c>
      <c r="AE25" s="821">
        <v>13494</v>
      </c>
      <c r="AF25" s="821">
        <v>5481</v>
      </c>
      <c r="AG25" s="821">
        <v>8222</v>
      </c>
      <c r="AH25" s="821">
        <v>5663</v>
      </c>
      <c r="AI25" s="821">
        <v>2408</v>
      </c>
      <c r="AJ25" s="824">
        <v>41.991828396322781</v>
      </c>
    </row>
    <row r="26" spans="1:36" s="731" customFormat="1" ht="14.25">
      <c r="A26" s="731" t="s">
        <v>997</v>
      </c>
      <c r="B26" s="811"/>
      <c r="C26" s="811"/>
      <c r="D26" s="811"/>
      <c r="I26" s="811"/>
      <c r="J26" s="811"/>
      <c r="K26" s="811"/>
      <c r="P26" s="811"/>
      <c r="Q26" s="811"/>
      <c r="R26" s="811"/>
    </row>
    <row r="27" spans="1:36" s="685" customFormat="1" ht="14.25" customHeight="1">
      <c r="A27" s="825" t="s">
        <v>998</v>
      </c>
      <c r="B27" s="731"/>
      <c r="C27" s="731"/>
      <c r="D27" s="731"/>
      <c r="E27" s="731"/>
      <c r="F27" s="731"/>
      <c r="G27" s="731"/>
      <c r="H27" s="731"/>
      <c r="I27" s="731"/>
      <c r="J27" s="731"/>
      <c r="K27" s="731"/>
      <c r="L27" s="731"/>
      <c r="M27" s="731"/>
      <c r="N27" s="731"/>
      <c r="O27" s="731"/>
      <c r="P27" s="731"/>
      <c r="Q27" s="731"/>
      <c r="R27" s="731"/>
      <c r="S27" s="731"/>
      <c r="T27" s="731"/>
      <c r="U27" s="731"/>
      <c r="V27" s="731"/>
      <c r="W27" s="731"/>
    </row>
    <row r="28" spans="1:36" s="685" customFormat="1" ht="14.25" customHeight="1">
      <c r="A28" s="731" t="s">
        <v>972</v>
      </c>
      <c r="B28" s="731"/>
      <c r="C28" s="731"/>
      <c r="D28" s="731"/>
      <c r="E28" s="731"/>
      <c r="F28" s="731"/>
      <c r="G28" s="731"/>
      <c r="H28" s="731"/>
      <c r="I28" s="731"/>
      <c r="J28" s="731"/>
      <c r="K28" s="731"/>
      <c r="L28" s="731"/>
      <c r="M28" s="731"/>
      <c r="N28" s="731"/>
      <c r="O28" s="731"/>
      <c r="P28" s="731"/>
      <c r="Q28" s="731"/>
      <c r="R28" s="731"/>
      <c r="S28" s="731"/>
      <c r="T28" s="731"/>
      <c r="U28" s="731"/>
      <c r="V28" s="731"/>
      <c r="W28" s="731"/>
    </row>
    <row r="29" spans="1:36" ht="14.25" customHeight="1">
      <c r="A29" s="731" t="s">
        <v>999</v>
      </c>
    </row>
  </sheetData>
  <mergeCells count="13">
    <mergeCell ref="AC4:AC5"/>
    <mergeCell ref="AG4:AG5"/>
    <mergeCell ref="AJ4:AJ5"/>
    <mergeCell ref="A1:AJ1"/>
    <mergeCell ref="N2:O2"/>
    <mergeCell ref="A3:A5"/>
    <mergeCell ref="E4:E5"/>
    <mergeCell ref="H4:H5"/>
    <mergeCell ref="L4:L5"/>
    <mergeCell ref="O4:O5"/>
    <mergeCell ref="S4:S5"/>
    <mergeCell ref="V4:V5"/>
    <mergeCell ref="Z4:Z5"/>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26" orientation="landscape" r:id="rId1"/>
  <headerFooter differentOddEven="1" scaleWithDoc="0">
    <oddHeader>&amp;L&amp;"Times New Roman,標準"&amp;8 107&amp;"標楷體,標準"年犯罪狀況及其分析</oddHeader>
    <evenHeader>&amp;R&amp;"標楷體,標準"&amp;8第二篇　犯罪之處理</even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K17"/>
  <sheetViews>
    <sheetView showGridLines="0" workbookViewId="0">
      <selection activeCell="B16" sqref="B16"/>
    </sheetView>
  </sheetViews>
  <sheetFormatPr defaultColWidth="9" defaultRowHeight="15.75"/>
  <cols>
    <col min="1" max="1" width="13.5" style="183" customWidth="1"/>
    <col min="2" max="10" width="10.375" style="183" customWidth="1"/>
    <col min="11" max="16384" width="9" style="183"/>
  </cols>
  <sheetData>
    <row r="1" spans="1:11" ht="30.6" customHeight="1">
      <c r="A1" s="2930" t="s">
        <v>1000</v>
      </c>
      <c r="B1" s="2930"/>
      <c r="C1" s="2930"/>
      <c r="D1" s="2930"/>
      <c r="E1" s="2930"/>
      <c r="F1" s="2930"/>
      <c r="G1" s="2930"/>
      <c r="H1" s="2930"/>
      <c r="I1" s="2930"/>
      <c r="J1" s="2930"/>
    </row>
    <row r="2" spans="1:11" s="184" customFormat="1">
      <c r="I2" s="3044" t="s">
        <v>1001</v>
      </c>
      <c r="J2" s="3044"/>
    </row>
    <row r="3" spans="1:11" ht="39.6" customHeight="1">
      <c r="A3" s="3045"/>
      <c r="B3" s="3048" t="s">
        <v>1002</v>
      </c>
      <c r="C3" s="3049"/>
      <c r="D3" s="3049"/>
      <c r="E3" s="3050" t="s">
        <v>1003</v>
      </c>
      <c r="F3" s="3049"/>
      <c r="G3" s="3049"/>
      <c r="H3" s="3050" t="s">
        <v>1004</v>
      </c>
      <c r="I3" s="3049"/>
      <c r="J3" s="3051"/>
      <c r="K3" s="826"/>
    </row>
    <row r="4" spans="1:11" ht="22.9" customHeight="1">
      <c r="A4" s="3046"/>
      <c r="B4" s="827"/>
      <c r="C4" s="3051" t="s">
        <v>1005</v>
      </c>
      <c r="D4" s="3052"/>
      <c r="E4" s="828"/>
      <c r="F4" s="3051" t="s">
        <v>1005</v>
      </c>
      <c r="G4" s="3052"/>
      <c r="H4" s="828"/>
      <c r="I4" s="3051" t="s">
        <v>1005</v>
      </c>
      <c r="J4" s="3053"/>
      <c r="K4" s="826"/>
    </row>
    <row r="5" spans="1:11" ht="22.9" customHeight="1">
      <c r="A5" s="3047"/>
      <c r="B5" s="829"/>
      <c r="C5" s="830" t="s">
        <v>1006</v>
      </c>
      <c r="D5" s="830" t="s">
        <v>934</v>
      </c>
      <c r="E5" s="831"/>
      <c r="F5" s="830" t="s">
        <v>1006</v>
      </c>
      <c r="G5" s="830" t="s">
        <v>937</v>
      </c>
      <c r="H5" s="831"/>
      <c r="I5" s="830" t="s">
        <v>399</v>
      </c>
      <c r="J5" s="832" t="s">
        <v>934</v>
      </c>
      <c r="K5" s="826"/>
    </row>
    <row r="6" spans="1:11" ht="31.7" customHeight="1">
      <c r="A6" s="833" t="s">
        <v>793</v>
      </c>
      <c r="B6" s="834">
        <f>SUM(E6,H6)</f>
        <v>523887</v>
      </c>
      <c r="C6" s="834">
        <v>178688</v>
      </c>
      <c r="D6" s="835">
        <f>C6/B6*100</f>
        <v>34.108118735528848</v>
      </c>
      <c r="E6" s="834">
        <v>398854</v>
      </c>
      <c r="F6" s="834">
        <v>144750</v>
      </c>
      <c r="G6" s="835">
        <v>36.29</v>
      </c>
      <c r="H6" s="834">
        <v>125033</v>
      </c>
      <c r="I6" s="834">
        <v>33938</v>
      </c>
      <c r="J6" s="836">
        <v>27.14</v>
      </c>
      <c r="K6" s="826"/>
    </row>
    <row r="7" spans="1:11" ht="31.7" customHeight="1">
      <c r="A7" s="833" t="s">
        <v>1007</v>
      </c>
      <c r="B7" s="834">
        <f t="shared" ref="B7:B15" si="0">SUM(E7,H7)</f>
        <v>508257</v>
      </c>
      <c r="C7" s="834">
        <v>177726</v>
      </c>
      <c r="D7" s="835">
        <f t="shared" ref="D7:D15" si="1">C7/B7*100</f>
        <v>34.967742697100093</v>
      </c>
      <c r="E7" s="834">
        <v>384663</v>
      </c>
      <c r="F7" s="834">
        <v>143443</v>
      </c>
      <c r="G7" s="835">
        <v>37.29</v>
      </c>
      <c r="H7" s="834">
        <v>123594</v>
      </c>
      <c r="I7" s="834">
        <v>34283</v>
      </c>
      <c r="J7" s="836">
        <v>27.74</v>
      </c>
      <c r="K7" s="826"/>
    </row>
    <row r="8" spans="1:11" ht="31.7" customHeight="1">
      <c r="A8" s="833" t="s">
        <v>1008</v>
      </c>
      <c r="B8" s="834">
        <f t="shared" si="0"/>
        <v>494883</v>
      </c>
      <c r="C8" s="834">
        <v>174998</v>
      </c>
      <c r="D8" s="835">
        <f t="shared" si="1"/>
        <v>35.361489483372836</v>
      </c>
      <c r="E8" s="834">
        <v>378842</v>
      </c>
      <c r="F8" s="834">
        <v>143818</v>
      </c>
      <c r="G8" s="835">
        <v>37.96</v>
      </c>
      <c r="H8" s="834">
        <v>116041</v>
      </c>
      <c r="I8" s="834">
        <v>31180</v>
      </c>
      <c r="J8" s="836">
        <v>26.87</v>
      </c>
      <c r="K8" s="826"/>
    </row>
    <row r="9" spans="1:11" ht="31.7" customHeight="1">
      <c r="A9" s="833" t="s">
        <v>1009</v>
      </c>
      <c r="B9" s="834">
        <f t="shared" si="0"/>
        <v>496964</v>
      </c>
      <c r="C9" s="834">
        <v>173679</v>
      </c>
      <c r="D9" s="835">
        <f t="shared" si="1"/>
        <v>34.948004282000305</v>
      </c>
      <c r="E9" s="834">
        <v>383219</v>
      </c>
      <c r="F9" s="834">
        <v>142961</v>
      </c>
      <c r="G9" s="835">
        <v>37.31</v>
      </c>
      <c r="H9" s="834">
        <v>113745</v>
      </c>
      <c r="I9" s="834">
        <v>30718</v>
      </c>
      <c r="J9" s="836">
        <v>27.01</v>
      </c>
      <c r="K9" s="826"/>
    </row>
    <row r="10" spans="1:11" ht="31.7" customHeight="1">
      <c r="A10" s="833" t="s">
        <v>1010</v>
      </c>
      <c r="B10" s="834">
        <f t="shared" si="0"/>
        <v>511049</v>
      </c>
      <c r="C10" s="834">
        <v>175650</v>
      </c>
      <c r="D10" s="835">
        <f t="shared" si="1"/>
        <v>34.370481108465142</v>
      </c>
      <c r="E10" s="834">
        <v>403028</v>
      </c>
      <c r="F10" s="834">
        <v>145888</v>
      </c>
      <c r="G10" s="835">
        <v>36.200000000000003</v>
      </c>
      <c r="H10" s="834">
        <v>108021</v>
      </c>
      <c r="I10" s="834">
        <v>29762</v>
      </c>
      <c r="J10" s="836">
        <v>27.55</v>
      </c>
      <c r="K10" s="826"/>
    </row>
    <row r="11" spans="1:11" ht="31.7" customHeight="1">
      <c r="A11" s="833" t="s">
        <v>1011</v>
      </c>
      <c r="B11" s="834">
        <f t="shared" si="0"/>
        <v>529775</v>
      </c>
      <c r="C11" s="834">
        <v>186278</v>
      </c>
      <c r="D11" s="835">
        <f t="shared" si="1"/>
        <v>35.161719597942522</v>
      </c>
      <c r="E11" s="834">
        <v>409622</v>
      </c>
      <c r="F11" s="834">
        <v>151983</v>
      </c>
      <c r="G11" s="835">
        <v>37.1</v>
      </c>
      <c r="H11" s="834">
        <v>120153</v>
      </c>
      <c r="I11" s="834">
        <v>34295</v>
      </c>
      <c r="J11" s="836">
        <v>28.54</v>
      </c>
      <c r="K11" s="826"/>
    </row>
    <row r="12" spans="1:11" ht="31.7" customHeight="1">
      <c r="A12" s="833" t="s">
        <v>1012</v>
      </c>
      <c r="B12" s="834">
        <f t="shared" si="0"/>
        <v>558404</v>
      </c>
      <c r="C12" s="834">
        <v>191924</v>
      </c>
      <c r="D12" s="835">
        <f t="shared" si="1"/>
        <v>34.370097635403759</v>
      </c>
      <c r="E12" s="834">
        <v>421750</v>
      </c>
      <c r="F12" s="834">
        <v>155163</v>
      </c>
      <c r="G12" s="835">
        <v>36.79</v>
      </c>
      <c r="H12" s="834">
        <v>136654</v>
      </c>
      <c r="I12" s="834">
        <v>36761</v>
      </c>
      <c r="J12" s="836">
        <v>26.9</v>
      </c>
      <c r="K12" s="826"/>
    </row>
    <row r="13" spans="1:11" ht="31.7" customHeight="1">
      <c r="A13" s="833" t="s">
        <v>1013</v>
      </c>
      <c r="B13" s="834">
        <f t="shared" si="0"/>
        <v>584350</v>
      </c>
      <c r="C13" s="834">
        <v>207035</v>
      </c>
      <c r="D13" s="835">
        <f t="shared" si="1"/>
        <v>35.429964918285272</v>
      </c>
      <c r="E13" s="834">
        <v>439422</v>
      </c>
      <c r="F13" s="834">
        <v>167703</v>
      </c>
      <c r="G13" s="835">
        <v>38.159999999999997</v>
      </c>
      <c r="H13" s="834">
        <v>144928</v>
      </c>
      <c r="I13" s="834">
        <v>39332</v>
      </c>
      <c r="J13" s="836">
        <v>27.14</v>
      </c>
      <c r="K13" s="826"/>
    </row>
    <row r="14" spans="1:11" ht="31.7" customHeight="1">
      <c r="A14" s="833" t="s">
        <v>1014</v>
      </c>
      <c r="B14" s="834">
        <f t="shared" si="0"/>
        <v>594320</v>
      </c>
      <c r="C14" s="834">
        <v>215272</v>
      </c>
      <c r="D14" s="835">
        <f t="shared" si="1"/>
        <v>36.221564140530354</v>
      </c>
      <c r="E14" s="834">
        <v>446190</v>
      </c>
      <c r="F14" s="834">
        <v>178478</v>
      </c>
      <c r="G14" s="835">
        <v>40</v>
      </c>
      <c r="H14" s="834">
        <v>148130</v>
      </c>
      <c r="I14" s="834">
        <v>36794</v>
      </c>
      <c r="J14" s="836">
        <v>24.84</v>
      </c>
      <c r="K14" s="826"/>
    </row>
    <row r="15" spans="1:11" ht="31.7" customHeight="1">
      <c r="A15" s="782" t="s">
        <v>1015</v>
      </c>
      <c r="B15" s="837">
        <f t="shared" si="0"/>
        <v>591304</v>
      </c>
      <c r="C15" s="837">
        <v>225786</v>
      </c>
      <c r="D15" s="838">
        <f t="shared" si="1"/>
        <v>38.184419520246777</v>
      </c>
      <c r="E15" s="837">
        <v>450736</v>
      </c>
      <c r="F15" s="837">
        <v>190380</v>
      </c>
      <c r="G15" s="838">
        <v>42.24</v>
      </c>
      <c r="H15" s="837">
        <v>140568</v>
      </c>
      <c r="I15" s="837">
        <v>35406</v>
      </c>
      <c r="J15" s="839">
        <v>25.19</v>
      </c>
      <c r="K15" s="826"/>
    </row>
    <row r="16" spans="1:11" s="195" customFormat="1" ht="14.25">
      <c r="A16" s="195" t="s">
        <v>803</v>
      </c>
    </row>
    <row r="17" spans="1:1" s="198" customFormat="1">
      <c r="A17" s="840" t="s">
        <v>1016</v>
      </c>
    </row>
  </sheetData>
  <mergeCells count="9">
    <mergeCell ref="A1:J1"/>
    <mergeCell ref="I2:J2"/>
    <mergeCell ref="A3:A5"/>
    <mergeCell ref="B3:D3"/>
    <mergeCell ref="E3:G3"/>
    <mergeCell ref="H3:J3"/>
    <mergeCell ref="C4:D4"/>
    <mergeCell ref="F4:G4"/>
    <mergeCell ref="I4:J4"/>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8"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Q36"/>
  <sheetViews>
    <sheetView showGridLines="0" zoomScale="75" workbookViewId="0">
      <selection activeCell="B16" sqref="B16"/>
    </sheetView>
  </sheetViews>
  <sheetFormatPr defaultColWidth="9" defaultRowHeight="15.75"/>
  <cols>
    <col min="1" max="1" width="25.5" style="183" customWidth="1"/>
    <col min="2" max="16" width="9.625" style="183" customWidth="1"/>
    <col min="17" max="17" width="9" style="826"/>
    <col min="18" max="16384" width="9" style="183"/>
  </cols>
  <sheetData>
    <row r="1" spans="1:17" s="842" customFormat="1" ht="30.6" customHeight="1">
      <c r="A1" s="2930" t="s">
        <v>1017</v>
      </c>
      <c r="B1" s="2930"/>
      <c r="C1" s="2930"/>
      <c r="D1" s="2930"/>
      <c r="E1" s="2930"/>
      <c r="F1" s="2930"/>
      <c r="G1" s="2930"/>
      <c r="H1" s="2930"/>
      <c r="I1" s="2930"/>
      <c r="J1" s="2930"/>
      <c r="K1" s="2930"/>
      <c r="L1" s="2930"/>
      <c r="M1" s="2930"/>
      <c r="N1" s="2930"/>
      <c r="O1" s="2930"/>
      <c r="P1" s="2930"/>
      <c r="Q1" s="841"/>
    </row>
    <row r="2" spans="1:17" ht="23.45" customHeight="1">
      <c r="A2" s="3045"/>
      <c r="B2" s="792">
        <v>104</v>
      </c>
      <c r="C2" s="3054" t="s">
        <v>1018</v>
      </c>
      <c r="D2" s="3055"/>
      <c r="E2" s="788">
        <v>105</v>
      </c>
      <c r="F2" s="3054" t="s">
        <v>1018</v>
      </c>
      <c r="G2" s="3055"/>
      <c r="H2" s="788">
        <v>106</v>
      </c>
      <c r="I2" s="3054" t="s">
        <v>1019</v>
      </c>
      <c r="J2" s="3055"/>
      <c r="K2" s="788">
        <v>107</v>
      </c>
      <c r="L2" s="3054" t="s">
        <v>1019</v>
      </c>
      <c r="M2" s="3055"/>
      <c r="N2" s="788">
        <v>108</v>
      </c>
      <c r="O2" s="3054" t="s">
        <v>1019</v>
      </c>
      <c r="P2" s="3054"/>
    </row>
    <row r="3" spans="1:17" ht="30" customHeight="1">
      <c r="A3" s="3046"/>
      <c r="B3" s="3056"/>
      <c r="C3" s="3058" t="s">
        <v>1020</v>
      </c>
      <c r="D3" s="3059"/>
      <c r="E3" s="3060"/>
      <c r="F3" s="3058" t="s">
        <v>1020</v>
      </c>
      <c r="G3" s="3059"/>
      <c r="H3" s="3060"/>
      <c r="I3" s="3058" t="s">
        <v>1020</v>
      </c>
      <c r="J3" s="3059"/>
      <c r="K3" s="3060"/>
      <c r="L3" s="3058" t="s">
        <v>1020</v>
      </c>
      <c r="M3" s="3059"/>
      <c r="N3" s="3060"/>
      <c r="O3" s="3058" t="s">
        <v>1020</v>
      </c>
      <c r="P3" s="3062"/>
    </row>
    <row r="4" spans="1:17" ht="29.45" customHeight="1">
      <c r="A4" s="3047"/>
      <c r="B4" s="3057"/>
      <c r="C4" s="843" t="s">
        <v>399</v>
      </c>
      <c r="D4" s="830" t="s">
        <v>400</v>
      </c>
      <c r="E4" s="3061"/>
      <c r="F4" s="843" t="s">
        <v>1006</v>
      </c>
      <c r="G4" s="830" t="s">
        <v>937</v>
      </c>
      <c r="H4" s="3061"/>
      <c r="I4" s="843" t="s">
        <v>1006</v>
      </c>
      <c r="J4" s="830" t="s">
        <v>400</v>
      </c>
      <c r="K4" s="3061"/>
      <c r="L4" s="843" t="s">
        <v>399</v>
      </c>
      <c r="M4" s="830" t="s">
        <v>400</v>
      </c>
      <c r="N4" s="3061"/>
      <c r="O4" s="843" t="s">
        <v>399</v>
      </c>
      <c r="P4" s="832" t="s">
        <v>400</v>
      </c>
    </row>
    <row r="5" spans="1:17" ht="22.15" customHeight="1">
      <c r="A5" s="844" t="s">
        <v>349</v>
      </c>
      <c r="B5" s="845">
        <f>SUM(B6:B27)</f>
        <v>409622</v>
      </c>
      <c r="C5" s="845">
        <v>151983</v>
      </c>
      <c r="D5" s="846">
        <v>37.1</v>
      </c>
      <c r="E5" s="845">
        <v>421750</v>
      </c>
      <c r="F5" s="845">
        <v>155163</v>
      </c>
      <c r="G5" s="846">
        <v>36.79</v>
      </c>
      <c r="H5" s="845">
        <v>439422</v>
      </c>
      <c r="I5" s="845">
        <v>167703</v>
      </c>
      <c r="J5" s="846">
        <v>38.159999999999997</v>
      </c>
      <c r="K5" s="845">
        <v>446190</v>
      </c>
      <c r="L5" s="845">
        <v>178478</v>
      </c>
      <c r="M5" s="846">
        <v>40</v>
      </c>
      <c r="N5" s="845">
        <v>450736</v>
      </c>
      <c r="O5" s="845">
        <v>190380</v>
      </c>
      <c r="P5" s="846">
        <v>42.24</v>
      </c>
    </row>
    <row r="6" spans="1:17" ht="22.15" customHeight="1">
      <c r="A6" s="844" t="s">
        <v>1021</v>
      </c>
      <c r="B6" s="845">
        <v>6331</v>
      </c>
      <c r="C6" s="845">
        <v>4937</v>
      </c>
      <c r="D6" s="846">
        <v>77.98</v>
      </c>
      <c r="E6" s="845">
        <v>5973</v>
      </c>
      <c r="F6" s="845">
        <v>4579</v>
      </c>
      <c r="G6" s="846">
        <v>76.66</v>
      </c>
      <c r="H6" s="845">
        <v>6100</v>
      </c>
      <c r="I6" s="845">
        <v>4696</v>
      </c>
      <c r="J6" s="846">
        <v>76.98</v>
      </c>
      <c r="K6" s="845">
        <v>5699</v>
      </c>
      <c r="L6" s="845">
        <v>4497</v>
      </c>
      <c r="M6" s="846">
        <v>78.91</v>
      </c>
      <c r="N6" s="845">
        <v>5933</v>
      </c>
      <c r="O6" s="845">
        <v>4784</v>
      </c>
      <c r="P6" s="846">
        <v>80.63</v>
      </c>
    </row>
    <row r="7" spans="1:17" ht="22.15" customHeight="1">
      <c r="A7" s="847" t="s">
        <v>1022</v>
      </c>
      <c r="B7" s="845">
        <v>6611</v>
      </c>
      <c r="C7" s="845">
        <v>4398</v>
      </c>
      <c r="D7" s="846">
        <v>66.53</v>
      </c>
      <c r="E7" s="845">
        <v>6311</v>
      </c>
      <c r="F7" s="845">
        <v>4345</v>
      </c>
      <c r="G7" s="846">
        <v>68.849999999999994</v>
      </c>
      <c r="H7" s="845">
        <v>5569</v>
      </c>
      <c r="I7" s="845">
        <v>3900</v>
      </c>
      <c r="J7" s="846">
        <v>70.03</v>
      </c>
      <c r="K7" s="845">
        <v>4996</v>
      </c>
      <c r="L7" s="845">
        <v>3699</v>
      </c>
      <c r="M7" s="846">
        <v>74.040000000000006</v>
      </c>
      <c r="N7" s="845">
        <v>5104</v>
      </c>
      <c r="O7" s="845">
        <v>3816</v>
      </c>
      <c r="P7" s="846">
        <v>74.760000000000005</v>
      </c>
    </row>
    <row r="8" spans="1:17" ht="22.15" customHeight="1">
      <c r="A8" s="844" t="s">
        <v>1023</v>
      </c>
      <c r="B8" s="845">
        <v>12158</v>
      </c>
      <c r="C8" s="845">
        <v>8990</v>
      </c>
      <c r="D8" s="846">
        <v>73.94</v>
      </c>
      <c r="E8" s="845">
        <v>12948</v>
      </c>
      <c r="F8" s="845">
        <v>9173</v>
      </c>
      <c r="G8" s="846">
        <v>70.84</v>
      </c>
      <c r="H8" s="845">
        <v>15351</v>
      </c>
      <c r="I8" s="845">
        <v>10914</v>
      </c>
      <c r="J8" s="846">
        <v>71.099999999999994</v>
      </c>
      <c r="K8" s="845">
        <v>17442</v>
      </c>
      <c r="L8" s="845">
        <v>12593</v>
      </c>
      <c r="M8" s="846">
        <v>72.2</v>
      </c>
      <c r="N8" s="845">
        <v>18533</v>
      </c>
      <c r="O8" s="845">
        <v>13425</v>
      </c>
      <c r="P8" s="846">
        <v>72.44</v>
      </c>
    </row>
    <row r="9" spans="1:17" ht="22.15" customHeight="1">
      <c r="A9" s="844" t="s">
        <v>1024</v>
      </c>
      <c r="B9" s="845">
        <v>3255</v>
      </c>
      <c r="C9" s="845">
        <v>2201</v>
      </c>
      <c r="D9" s="846">
        <v>67.62</v>
      </c>
      <c r="E9" s="845">
        <v>3218</v>
      </c>
      <c r="F9" s="845">
        <v>2138</v>
      </c>
      <c r="G9" s="846">
        <v>66.44</v>
      </c>
      <c r="H9" s="845">
        <v>3381</v>
      </c>
      <c r="I9" s="845">
        <v>2351</v>
      </c>
      <c r="J9" s="846">
        <v>69.540000000000006</v>
      </c>
      <c r="K9" s="845">
        <v>3147</v>
      </c>
      <c r="L9" s="845">
        <v>2158</v>
      </c>
      <c r="M9" s="846">
        <v>68.569999999999993</v>
      </c>
      <c r="N9" s="845">
        <v>3219</v>
      </c>
      <c r="O9" s="845">
        <v>2284</v>
      </c>
      <c r="P9" s="846">
        <v>70.95</v>
      </c>
    </row>
    <row r="10" spans="1:17" ht="22.15" customHeight="1">
      <c r="A10" s="844" t="s">
        <v>967</v>
      </c>
      <c r="B10" s="845">
        <v>562</v>
      </c>
      <c r="C10" s="845">
        <v>453</v>
      </c>
      <c r="D10" s="846">
        <v>80.599999999999994</v>
      </c>
      <c r="E10" s="845">
        <v>397</v>
      </c>
      <c r="F10" s="845">
        <v>282</v>
      </c>
      <c r="G10" s="846">
        <v>71.03</v>
      </c>
      <c r="H10" s="845">
        <v>385</v>
      </c>
      <c r="I10" s="845">
        <v>302</v>
      </c>
      <c r="J10" s="846">
        <v>78.44</v>
      </c>
      <c r="K10" s="845">
        <v>312</v>
      </c>
      <c r="L10" s="845">
        <v>244</v>
      </c>
      <c r="M10" s="846">
        <v>78.209999999999994</v>
      </c>
      <c r="N10" s="845">
        <v>340</v>
      </c>
      <c r="O10" s="845">
        <v>232</v>
      </c>
      <c r="P10" s="846">
        <v>68.239999999999995</v>
      </c>
    </row>
    <row r="11" spans="1:17" ht="22.15" customHeight="1">
      <c r="A11" s="844" t="s">
        <v>859</v>
      </c>
      <c r="B11" s="845">
        <v>15247</v>
      </c>
      <c r="C11" s="845">
        <v>9741</v>
      </c>
      <c r="D11" s="846">
        <v>63.89</v>
      </c>
      <c r="E11" s="845">
        <v>17310</v>
      </c>
      <c r="F11" s="845">
        <v>10937</v>
      </c>
      <c r="G11" s="846">
        <v>63.18</v>
      </c>
      <c r="H11" s="845">
        <v>18804</v>
      </c>
      <c r="I11" s="845">
        <v>11927</v>
      </c>
      <c r="J11" s="846">
        <v>63.43</v>
      </c>
      <c r="K11" s="845">
        <v>19605</v>
      </c>
      <c r="L11" s="845">
        <v>12903</v>
      </c>
      <c r="M11" s="846">
        <v>65.81</v>
      </c>
      <c r="N11" s="845">
        <v>21263</v>
      </c>
      <c r="O11" s="845">
        <v>14488</v>
      </c>
      <c r="P11" s="846">
        <v>68.14</v>
      </c>
    </row>
    <row r="12" spans="1:17" ht="22.15" customHeight="1">
      <c r="A12" s="844" t="s">
        <v>968</v>
      </c>
      <c r="B12" s="845">
        <v>15176</v>
      </c>
      <c r="C12" s="845">
        <v>9221</v>
      </c>
      <c r="D12" s="846">
        <v>60.76</v>
      </c>
      <c r="E12" s="845">
        <v>15820</v>
      </c>
      <c r="F12" s="845">
        <v>9159</v>
      </c>
      <c r="G12" s="846">
        <v>57.9</v>
      </c>
      <c r="H12" s="845">
        <v>16926</v>
      </c>
      <c r="I12" s="845">
        <v>9972</v>
      </c>
      <c r="J12" s="846">
        <v>58.92</v>
      </c>
      <c r="K12" s="845">
        <v>17329</v>
      </c>
      <c r="L12" s="845">
        <v>10639</v>
      </c>
      <c r="M12" s="846">
        <v>61.39</v>
      </c>
      <c r="N12" s="845">
        <v>17666</v>
      </c>
      <c r="O12" s="845">
        <v>10989</v>
      </c>
      <c r="P12" s="846">
        <v>62.2</v>
      </c>
    </row>
    <row r="13" spans="1:17" ht="22.15" customHeight="1">
      <c r="A13" s="844" t="s">
        <v>861</v>
      </c>
      <c r="B13" s="845">
        <v>8086</v>
      </c>
      <c r="C13" s="845">
        <v>5160</v>
      </c>
      <c r="D13" s="846">
        <v>63.81</v>
      </c>
      <c r="E13" s="845">
        <v>8980</v>
      </c>
      <c r="F13" s="845">
        <v>5451</v>
      </c>
      <c r="G13" s="846">
        <v>60.7</v>
      </c>
      <c r="H13" s="845">
        <v>10119</v>
      </c>
      <c r="I13" s="845">
        <v>6198</v>
      </c>
      <c r="J13" s="846">
        <v>61.25</v>
      </c>
      <c r="K13" s="845">
        <v>10788</v>
      </c>
      <c r="L13" s="845">
        <v>6603</v>
      </c>
      <c r="M13" s="846">
        <v>61.21</v>
      </c>
      <c r="N13" s="845">
        <v>11781</v>
      </c>
      <c r="O13" s="845">
        <v>7155</v>
      </c>
      <c r="P13" s="846">
        <v>60.73</v>
      </c>
    </row>
    <row r="14" spans="1:17" ht="22.15" customHeight="1">
      <c r="A14" s="844" t="s">
        <v>1025</v>
      </c>
      <c r="B14" s="845">
        <v>3364</v>
      </c>
      <c r="C14" s="845">
        <v>1296</v>
      </c>
      <c r="D14" s="846">
        <v>38.53</v>
      </c>
      <c r="E14" s="845">
        <v>3035</v>
      </c>
      <c r="F14" s="845">
        <v>1384</v>
      </c>
      <c r="G14" s="846">
        <v>45.6</v>
      </c>
      <c r="H14" s="845">
        <v>2681</v>
      </c>
      <c r="I14" s="845">
        <v>1371</v>
      </c>
      <c r="J14" s="846">
        <v>51.14</v>
      </c>
      <c r="K14" s="845">
        <v>2636</v>
      </c>
      <c r="L14" s="845">
        <v>1338</v>
      </c>
      <c r="M14" s="846">
        <v>50.76</v>
      </c>
      <c r="N14" s="845">
        <v>2609</v>
      </c>
      <c r="O14" s="845">
        <v>1380</v>
      </c>
      <c r="P14" s="846">
        <v>52.89</v>
      </c>
    </row>
    <row r="15" spans="1:17" ht="22.15" customHeight="1">
      <c r="A15" s="844" t="s">
        <v>1026</v>
      </c>
      <c r="B15" s="845">
        <v>19852</v>
      </c>
      <c r="C15" s="845">
        <v>10265</v>
      </c>
      <c r="D15" s="846">
        <v>51.71</v>
      </c>
      <c r="E15" s="845">
        <v>18696</v>
      </c>
      <c r="F15" s="845">
        <v>9924</v>
      </c>
      <c r="G15" s="846">
        <v>53.08</v>
      </c>
      <c r="H15" s="845">
        <v>17522</v>
      </c>
      <c r="I15" s="845">
        <v>9142</v>
      </c>
      <c r="J15" s="846">
        <v>52.17</v>
      </c>
      <c r="K15" s="845">
        <v>16162</v>
      </c>
      <c r="L15" s="845">
        <v>8076</v>
      </c>
      <c r="M15" s="846">
        <v>49.97</v>
      </c>
      <c r="N15" s="845">
        <v>15485</v>
      </c>
      <c r="O15" s="845">
        <v>8166</v>
      </c>
      <c r="P15" s="846">
        <v>52.73</v>
      </c>
    </row>
    <row r="16" spans="1:17" ht="22.15" customHeight="1">
      <c r="A16" s="844" t="s">
        <v>855</v>
      </c>
      <c r="B16" s="845">
        <v>66937</v>
      </c>
      <c r="C16" s="845">
        <v>31514</v>
      </c>
      <c r="D16" s="846">
        <v>47.08</v>
      </c>
      <c r="E16" s="845">
        <v>72688</v>
      </c>
      <c r="F16" s="845">
        <v>33237</v>
      </c>
      <c r="G16" s="846">
        <v>45.73</v>
      </c>
      <c r="H16" s="845">
        <v>75841</v>
      </c>
      <c r="I16" s="845">
        <v>35887</v>
      </c>
      <c r="J16" s="846">
        <v>47.32</v>
      </c>
      <c r="K16" s="845">
        <v>78090</v>
      </c>
      <c r="L16" s="845">
        <v>37600</v>
      </c>
      <c r="M16" s="846">
        <v>48.15</v>
      </c>
      <c r="N16" s="845">
        <v>84985</v>
      </c>
      <c r="O16" s="845">
        <v>40791</v>
      </c>
      <c r="P16" s="846">
        <v>48</v>
      </c>
    </row>
    <row r="17" spans="1:17" ht="22.15" customHeight="1">
      <c r="A17" s="844" t="s">
        <v>865</v>
      </c>
      <c r="B17" s="845">
        <v>4658</v>
      </c>
      <c r="C17" s="845">
        <v>1880</v>
      </c>
      <c r="D17" s="846">
        <v>40.36</v>
      </c>
      <c r="E17" s="845">
        <v>4650</v>
      </c>
      <c r="F17" s="845">
        <v>1841</v>
      </c>
      <c r="G17" s="846">
        <v>39.590000000000003</v>
      </c>
      <c r="H17" s="845">
        <v>4612</v>
      </c>
      <c r="I17" s="845">
        <v>2052</v>
      </c>
      <c r="J17" s="846">
        <v>44.49</v>
      </c>
      <c r="K17" s="845">
        <v>4248</v>
      </c>
      <c r="L17" s="845">
        <v>1891</v>
      </c>
      <c r="M17" s="846">
        <v>44.52</v>
      </c>
      <c r="N17" s="845">
        <v>4522</v>
      </c>
      <c r="O17" s="845">
        <v>2130</v>
      </c>
      <c r="P17" s="846">
        <v>47.1</v>
      </c>
    </row>
    <row r="18" spans="1:17" ht="22.15" customHeight="1">
      <c r="A18" s="847" t="s">
        <v>854</v>
      </c>
      <c r="B18" s="845">
        <v>56299</v>
      </c>
      <c r="C18" s="845">
        <v>27834</v>
      </c>
      <c r="D18" s="846">
        <v>49.44</v>
      </c>
      <c r="E18" s="845">
        <v>70468</v>
      </c>
      <c r="F18" s="845">
        <v>30513</v>
      </c>
      <c r="G18" s="846">
        <v>43.3</v>
      </c>
      <c r="H18" s="845">
        <v>83789</v>
      </c>
      <c r="I18" s="845">
        <v>35146</v>
      </c>
      <c r="J18" s="846">
        <v>41.95</v>
      </c>
      <c r="K18" s="845">
        <v>91106</v>
      </c>
      <c r="L18" s="845">
        <v>39464</v>
      </c>
      <c r="M18" s="846">
        <v>43.32</v>
      </c>
      <c r="N18" s="845">
        <v>87643</v>
      </c>
      <c r="O18" s="845">
        <v>40614</v>
      </c>
      <c r="P18" s="846">
        <v>46.34</v>
      </c>
    </row>
    <row r="19" spans="1:17" ht="22.15" customHeight="1">
      <c r="A19" s="844" t="s">
        <v>870</v>
      </c>
      <c r="B19" s="845">
        <v>3900</v>
      </c>
      <c r="C19" s="845">
        <v>1163</v>
      </c>
      <c r="D19" s="846">
        <v>29.82</v>
      </c>
      <c r="E19" s="845">
        <v>3336</v>
      </c>
      <c r="F19" s="845">
        <v>1144</v>
      </c>
      <c r="G19" s="846">
        <v>34.29</v>
      </c>
      <c r="H19" s="845">
        <v>3277</v>
      </c>
      <c r="I19" s="845">
        <v>1115</v>
      </c>
      <c r="J19" s="846">
        <v>34.03</v>
      </c>
      <c r="K19" s="845">
        <v>3122</v>
      </c>
      <c r="L19" s="845">
        <v>1324</v>
      </c>
      <c r="M19" s="846">
        <v>42.41</v>
      </c>
      <c r="N19" s="845">
        <v>2846</v>
      </c>
      <c r="O19" s="845">
        <v>1250</v>
      </c>
      <c r="P19" s="846">
        <v>43.92</v>
      </c>
    </row>
    <row r="20" spans="1:17" ht="22.15" customHeight="1">
      <c r="A20" s="844" t="s">
        <v>964</v>
      </c>
      <c r="B20" s="845">
        <v>2098</v>
      </c>
      <c r="C20" s="845">
        <v>965</v>
      </c>
      <c r="D20" s="846">
        <v>46</v>
      </c>
      <c r="E20" s="845">
        <v>1679</v>
      </c>
      <c r="F20" s="845">
        <v>644</v>
      </c>
      <c r="G20" s="846">
        <v>38.36</v>
      </c>
      <c r="H20" s="845">
        <v>1290</v>
      </c>
      <c r="I20" s="845">
        <v>550</v>
      </c>
      <c r="J20" s="846">
        <v>42.64</v>
      </c>
      <c r="K20" s="845">
        <v>1053</v>
      </c>
      <c r="L20" s="845">
        <v>495</v>
      </c>
      <c r="M20" s="846">
        <v>47.01</v>
      </c>
      <c r="N20" s="845">
        <v>854</v>
      </c>
      <c r="O20" s="845">
        <v>374</v>
      </c>
      <c r="P20" s="846">
        <v>43.79</v>
      </c>
    </row>
    <row r="21" spans="1:17" ht="22.15" customHeight="1">
      <c r="A21" s="844" t="s">
        <v>864</v>
      </c>
      <c r="B21" s="845">
        <v>15307</v>
      </c>
      <c r="C21" s="845">
        <v>4042</v>
      </c>
      <c r="D21" s="846">
        <v>26.41</v>
      </c>
      <c r="E21" s="845">
        <v>14385</v>
      </c>
      <c r="F21" s="845">
        <v>3661</v>
      </c>
      <c r="G21" s="846">
        <v>25.45</v>
      </c>
      <c r="H21" s="845">
        <v>13120</v>
      </c>
      <c r="I21" s="845">
        <v>3538</v>
      </c>
      <c r="J21" s="846">
        <v>26.97</v>
      </c>
      <c r="K21" s="845">
        <v>12346</v>
      </c>
      <c r="L21" s="845">
        <v>3892</v>
      </c>
      <c r="M21" s="846">
        <v>31.52</v>
      </c>
      <c r="N21" s="845">
        <v>11817</v>
      </c>
      <c r="O21" s="845">
        <v>4813</v>
      </c>
      <c r="P21" s="846">
        <v>40.729999999999997</v>
      </c>
    </row>
    <row r="22" spans="1:17" s="849" customFormat="1" ht="22.15" customHeight="1">
      <c r="A22" s="844" t="s">
        <v>863</v>
      </c>
      <c r="B22" s="845">
        <v>7212</v>
      </c>
      <c r="C22" s="845">
        <v>2624</v>
      </c>
      <c r="D22" s="846">
        <v>36.380000000000003</v>
      </c>
      <c r="E22" s="845">
        <v>7849</v>
      </c>
      <c r="F22" s="845">
        <v>2755</v>
      </c>
      <c r="G22" s="846">
        <v>35.1</v>
      </c>
      <c r="H22" s="845">
        <v>7569</v>
      </c>
      <c r="I22" s="845">
        <v>2911</v>
      </c>
      <c r="J22" s="846">
        <v>38.46</v>
      </c>
      <c r="K22" s="845">
        <v>6971</v>
      </c>
      <c r="L22" s="845">
        <v>2601</v>
      </c>
      <c r="M22" s="846">
        <v>37.31</v>
      </c>
      <c r="N22" s="845">
        <v>6930</v>
      </c>
      <c r="O22" s="845">
        <v>2482</v>
      </c>
      <c r="P22" s="846">
        <v>35.82</v>
      </c>
      <c r="Q22" s="848"/>
    </row>
    <row r="23" spans="1:17" s="849" customFormat="1" ht="22.15" customHeight="1">
      <c r="A23" s="844" t="s">
        <v>1027</v>
      </c>
      <c r="B23" s="845">
        <v>45347</v>
      </c>
      <c r="C23" s="845">
        <v>13557</v>
      </c>
      <c r="D23" s="846">
        <v>29.9</v>
      </c>
      <c r="E23" s="845">
        <v>45790</v>
      </c>
      <c r="F23" s="845">
        <v>13432</v>
      </c>
      <c r="G23" s="846">
        <v>29.33</v>
      </c>
      <c r="H23" s="845">
        <v>48312</v>
      </c>
      <c r="I23" s="845">
        <v>14649</v>
      </c>
      <c r="J23" s="846">
        <v>30.32</v>
      </c>
      <c r="K23" s="845">
        <v>48168</v>
      </c>
      <c r="L23" s="845">
        <v>14757</v>
      </c>
      <c r="M23" s="846">
        <v>30.64</v>
      </c>
      <c r="N23" s="845">
        <v>49860</v>
      </c>
      <c r="O23" s="845">
        <v>15759</v>
      </c>
      <c r="P23" s="846">
        <v>31.61</v>
      </c>
      <c r="Q23" s="848"/>
    </row>
    <row r="24" spans="1:17" ht="22.15" customHeight="1">
      <c r="A24" s="844" t="s">
        <v>873</v>
      </c>
      <c r="B24" s="845">
        <v>1798</v>
      </c>
      <c r="C24" s="845">
        <v>434</v>
      </c>
      <c r="D24" s="846">
        <v>24.14</v>
      </c>
      <c r="E24" s="845">
        <v>1981</v>
      </c>
      <c r="F24" s="845">
        <v>500</v>
      </c>
      <c r="G24" s="846">
        <v>25.24</v>
      </c>
      <c r="H24" s="845">
        <v>1723</v>
      </c>
      <c r="I24" s="845">
        <v>453</v>
      </c>
      <c r="J24" s="846">
        <v>26.29</v>
      </c>
      <c r="K24" s="845">
        <v>1382</v>
      </c>
      <c r="L24" s="845">
        <v>468</v>
      </c>
      <c r="M24" s="846">
        <v>33.86</v>
      </c>
      <c r="N24" s="845">
        <v>1369</v>
      </c>
      <c r="O24" s="845">
        <v>388</v>
      </c>
      <c r="P24" s="846">
        <v>28.34</v>
      </c>
    </row>
    <row r="25" spans="1:17" ht="22.15" customHeight="1">
      <c r="A25" s="844" t="s">
        <v>1028</v>
      </c>
      <c r="B25" s="845">
        <v>2262</v>
      </c>
      <c r="C25" s="845">
        <v>446</v>
      </c>
      <c r="D25" s="846">
        <v>19.72</v>
      </c>
      <c r="E25" s="845">
        <v>2314</v>
      </c>
      <c r="F25" s="845">
        <v>329</v>
      </c>
      <c r="G25" s="846">
        <v>14.22</v>
      </c>
      <c r="H25" s="845">
        <v>2648</v>
      </c>
      <c r="I25" s="845">
        <v>403</v>
      </c>
      <c r="J25" s="846">
        <v>15.22</v>
      </c>
      <c r="K25" s="845">
        <v>2566</v>
      </c>
      <c r="L25" s="845">
        <v>445</v>
      </c>
      <c r="M25" s="846">
        <v>17.34</v>
      </c>
      <c r="N25" s="845">
        <v>2524</v>
      </c>
      <c r="O25" s="845">
        <v>455</v>
      </c>
      <c r="P25" s="846">
        <v>18.03</v>
      </c>
    </row>
    <row r="26" spans="1:17" ht="22.15" customHeight="1">
      <c r="A26" s="844" t="s">
        <v>853</v>
      </c>
      <c r="B26" s="845">
        <v>102568</v>
      </c>
      <c r="C26" s="845">
        <v>5722</v>
      </c>
      <c r="D26" s="846">
        <v>5.58</v>
      </c>
      <c r="E26" s="845">
        <v>96623</v>
      </c>
      <c r="F26" s="845">
        <v>6145</v>
      </c>
      <c r="G26" s="846">
        <v>6.36</v>
      </c>
      <c r="H26" s="845">
        <v>94424</v>
      </c>
      <c r="I26" s="845">
        <v>6646</v>
      </c>
      <c r="J26" s="846">
        <v>7.04</v>
      </c>
      <c r="K26" s="845">
        <v>89078</v>
      </c>
      <c r="L26" s="845">
        <v>6788</v>
      </c>
      <c r="M26" s="846">
        <v>7.62</v>
      </c>
      <c r="N26" s="845">
        <v>83709</v>
      </c>
      <c r="O26" s="845">
        <v>7721</v>
      </c>
      <c r="P26" s="846">
        <v>9.2200000000000006</v>
      </c>
    </row>
    <row r="27" spans="1:17" ht="22.15" customHeight="1">
      <c r="A27" s="850" t="s">
        <v>829</v>
      </c>
      <c r="B27" s="851">
        <v>10594</v>
      </c>
      <c r="C27" s="851">
        <v>5140</v>
      </c>
      <c r="D27" s="852">
        <v>48.52</v>
      </c>
      <c r="E27" s="851">
        <v>7299</v>
      </c>
      <c r="F27" s="851">
        <v>3590</v>
      </c>
      <c r="G27" s="852">
        <v>49.18</v>
      </c>
      <c r="H27" s="851">
        <v>5979</v>
      </c>
      <c r="I27" s="851">
        <v>3580</v>
      </c>
      <c r="J27" s="852">
        <v>59.88</v>
      </c>
      <c r="K27" s="851">
        <v>9944</v>
      </c>
      <c r="L27" s="851">
        <v>6003</v>
      </c>
      <c r="M27" s="852">
        <v>60.37</v>
      </c>
      <c r="N27" s="851">
        <v>11744</v>
      </c>
      <c r="O27" s="851">
        <v>6884</v>
      </c>
      <c r="P27" s="852">
        <v>58.62</v>
      </c>
    </row>
    <row r="28" spans="1:17" s="195" customFormat="1" ht="14.25">
      <c r="A28" s="853" t="s">
        <v>784</v>
      </c>
      <c r="B28" s="854"/>
      <c r="H28" s="854"/>
      <c r="K28" s="854"/>
      <c r="N28" s="854"/>
      <c r="O28" s="855"/>
      <c r="Q28" s="854"/>
    </row>
    <row r="29" spans="1:17">
      <c r="A29" s="856" t="s">
        <v>1029</v>
      </c>
      <c r="B29" s="826"/>
      <c r="H29" s="826"/>
      <c r="K29" s="826"/>
      <c r="N29" s="826"/>
    </row>
    <row r="30" spans="1:17" ht="16.5" customHeight="1">
      <c r="B30" s="826"/>
      <c r="C30" s="857"/>
      <c r="H30" s="826"/>
      <c r="I30" s="857"/>
      <c r="K30" s="826"/>
      <c r="L30" s="857"/>
      <c r="N30" s="826"/>
      <c r="O30" s="857"/>
    </row>
    <row r="31" spans="1:17">
      <c r="B31" s="826"/>
      <c r="H31" s="826"/>
      <c r="K31" s="826"/>
      <c r="N31" s="826"/>
    </row>
    <row r="32" spans="1:17">
      <c r="B32" s="826"/>
      <c r="H32" s="826"/>
      <c r="K32" s="826"/>
      <c r="N32" s="826"/>
    </row>
    <row r="33" spans="2:14">
      <c r="B33" s="826"/>
      <c r="H33" s="826"/>
      <c r="K33" s="826"/>
      <c r="N33" s="826"/>
    </row>
    <row r="34" spans="2:14">
      <c r="B34" s="826"/>
      <c r="H34" s="826"/>
      <c r="K34" s="826"/>
      <c r="N34" s="826"/>
    </row>
    <row r="35" spans="2:14">
      <c r="B35" s="826"/>
      <c r="H35" s="826"/>
      <c r="K35" s="826"/>
      <c r="N35" s="826"/>
    </row>
    <row r="36" spans="2:14">
      <c r="B36" s="826"/>
      <c r="H36" s="826"/>
      <c r="K36" s="826"/>
      <c r="N36" s="826"/>
    </row>
  </sheetData>
  <mergeCells count="17">
    <mergeCell ref="N3:N4"/>
    <mergeCell ref="A1:P1"/>
    <mergeCell ref="A2:A4"/>
    <mergeCell ref="C2:D2"/>
    <mergeCell ref="F2:G2"/>
    <mergeCell ref="I2:J2"/>
    <mergeCell ref="L2:M2"/>
    <mergeCell ref="O2:P2"/>
    <mergeCell ref="B3:B4"/>
    <mergeCell ref="C3:D3"/>
    <mergeCell ref="E3:E4"/>
    <mergeCell ref="O3:P3"/>
    <mergeCell ref="F3:G3"/>
    <mergeCell ref="H3:H4"/>
    <mergeCell ref="I3:J3"/>
    <mergeCell ref="K3:K4"/>
    <mergeCell ref="L3:M3"/>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50" orientation="landscape" r:id="rId1"/>
  <headerFooter differentOddEven="1" scaleWithDoc="0">
    <oddHeader>&amp;L&amp;"Times New Roman,標準"&amp;8 107&amp;"標楷體,標準"年犯罪狀況及其分析</oddHeader>
    <evenHeader>&amp;R&amp;"標楷體,標準"&amp;8第二篇　犯罪之處理</even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Q28"/>
  <sheetViews>
    <sheetView showGridLines="0" zoomScale="95" zoomScaleNormal="100" workbookViewId="0">
      <selection activeCell="B16" sqref="B16"/>
    </sheetView>
  </sheetViews>
  <sheetFormatPr defaultColWidth="9" defaultRowHeight="15.75"/>
  <cols>
    <col min="1" max="1" width="33.5" style="183" customWidth="1"/>
    <col min="2" max="16" width="9.625" style="183" customWidth="1"/>
    <col min="17" max="16384" width="9" style="183"/>
  </cols>
  <sheetData>
    <row r="1" spans="1:17" s="842" customFormat="1" ht="30.6" customHeight="1">
      <c r="A1" s="2930" t="s">
        <v>1030</v>
      </c>
      <c r="B1" s="2930"/>
      <c r="C1" s="2930"/>
      <c r="D1" s="2930"/>
      <c r="E1" s="2930"/>
      <c r="F1" s="2930"/>
      <c r="G1" s="2930"/>
      <c r="H1" s="2930"/>
      <c r="I1" s="2930"/>
      <c r="J1" s="2930"/>
      <c r="K1" s="2930"/>
      <c r="L1" s="2930"/>
      <c r="M1" s="2930"/>
      <c r="N1" s="2930"/>
      <c r="O1" s="2930"/>
      <c r="P1" s="2930"/>
    </row>
    <row r="2" spans="1:17" ht="24.95" customHeight="1">
      <c r="A2" s="3063"/>
      <c r="B2" s="792">
        <v>104</v>
      </c>
      <c r="C2" s="858" t="s">
        <v>1031</v>
      </c>
      <c r="D2" s="859"/>
      <c r="E2" s="788">
        <v>105</v>
      </c>
      <c r="F2" s="858" t="s">
        <v>949</v>
      </c>
      <c r="G2" s="859"/>
      <c r="H2" s="788">
        <v>106</v>
      </c>
      <c r="I2" s="858" t="s">
        <v>949</v>
      </c>
      <c r="J2" s="859"/>
      <c r="K2" s="788">
        <v>107</v>
      </c>
      <c r="L2" s="858" t="s">
        <v>949</v>
      </c>
      <c r="M2" s="859"/>
      <c r="N2" s="788">
        <v>108</v>
      </c>
      <c r="O2" s="858" t="s">
        <v>949</v>
      </c>
      <c r="P2" s="792"/>
      <c r="Q2" s="826"/>
    </row>
    <row r="3" spans="1:17" ht="24.95" customHeight="1">
      <c r="A3" s="3064"/>
      <c r="B3" s="3056"/>
      <c r="C3" s="3058" t="s">
        <v>1032</v>
      </c>
      <c r="D3" s="3062"/>
      <c r="E3" s="3060"/>
      <c r="F3" s="3058" t="s">
        <v>1033</v>
      </c>
      <c r="G3" s="3062"/>
      <c r="H3" s="3060"/>
      <c r="I3" s="3058" t="s">
        <v>1032</v>
      </c>
      <c r="J3" s="3062"/>
      <c r="K3" s="3060"/>
      <c r="L3" s="3058" t="s">
        <v>1033</v>
      </c>
      <c r="M3" s="3062"/>
      <c r="N3" s="3060"/>
      <c r="O3" s="3058" t="s">
        <v>1032</v>
      </c>
      <c r="P3" s="3062"/>
      <c r="Q3" s="826"/>
    </row>
    <row r="4" spans="1:17" ht="36" customHeight="1">
      <c r="A4" s="3065"/>
      <c r="B4" s="3057"/>
      <c r="C4" s="843" t="s">
        <v>1034</v>
      </c>
      <c r="D4" s="830" t="s">
        <v>1035</v>
      </c>
      <c r="E4" s="3061"/>
      <c r="F4" s="843" t="s">
        <v>1034</v>
      </c>
      <c r="G4" s="830" t="s">
        <v>1035</v>
      </c>
      <c r="H4" s="3061"/>
      <c r="I4" s="843" t="s">
        <v>935</v>
      </c>
      <c r="J4" s="830" t="s">
        <v>934</v>
      </c>
      <c r="K4" s="3061"/>
      <c r="L4" s="843" t="s">
        <v>935</v>
      </c>
      <c r="M4" s="830" t="s">
        <v>934</v>
      </c>
      <c r="N4" s="3061"/>
      <c r="O4" s="843" t="s">
        <v>935</v>
      </c>
      <c r="P4" s="860" t="s">
        <v>934</v>
      </c>
      <c r="Q4" s="826"/>
    </row>
    <row r="5" spans="1:17" ht="19.5" customHeight="1">
      <c r="A5" s="844" t="s">
        <v>1036</v>
      </c>
      <c r="B5" s="845">
        <v>120153</v>
      </c>
      <c r="C5" s="845">
        <v>34295</v>
      </c>
      <c r="D5" s="846">
        <v>28.54</v>
      </c>
      <c r="E5" s="845">
        <v>136654</v>
      </c>
      <c r="F5" s="845">
        <v>36761</v>
      </c>
      <c r="G5" s="846">
        <v>26.9</v>
      </c>
      <c r="H5" s="845">
        <v>144928</v>
      </c>
      <c r="I5" s="845">
        <v>39332</v>
      </c>
      <c r="J5" s="846">
        <v>27.14</v>
      </c>
      <c r="K5" s="845">
        <v>148130</v>
      </c>
      <c r="L5" s="845">
        <v>36794</v>
      </c>
      <c r="M5" s="846">
        <v>24.84</v>
      </c>
      <c r="N5" s="845">
        <v>140568</v>
      </c>
      <c r="O5" s="845">
        <v>35406</v>
      </c>
      <c r="P5" s="846">
        <v>25.19</v>
      </c>
    </row>
    <row r="6" spans="1:17" ht="19.5" customHeight="1">
      <c r="A6" s="724" t="s">
        <v>995</v>
      </c>
      <c r="B6" s="845">
        <v>674</v>
      </c>
      <c r="C6" s="845">
        <v>496</v>
      </c>
      <c r="D6" s="846">
        <v>73.59</v>
      </c>
      <c r="E6" s="845">
        <v>750</v>
      </c>
      <c r="F6" s="845">
        <v>564</v>
      </c>
      <c r="G6" s="846">
        <v>75.2</v>
      </c>
      <c r="H6" s="845">
        <v>1006</v>
      </c>
      <c r="I6" s="845">
        <v>759</v>
      </c>
      <c r="J6" s="846">
        <v>75.45</v>
      </c>
      <c r="K6" s="845">
        <v>1120</v>
      </c>
      <c r="L6" s="845">
        <v>807</v>
      </c>
      <c r="M6" s="846">
        <v>72.05</v>
      </c>
      <c r="N6" s="845">
        <v>1160</v>
      </c>
      <c r="O6" s="845">
        <v>844</v>
      </c>
      <c r="P6" s="846">
        <v>72.760000000000005</v>
      </c>
    </row>
    <row r="7" spans="1:17" ht="19.5" customHeight="1">
      <c r="A7" s="844" t="s">
        <v>1037</v>
      </c>
      <c r="B7" s="845">
        <v>5154</v>
      </c>
      <c r="C7" s="845">
        <v>3314</v>
      </c>
      <c r="D7" s="846">
        <v>64.3</v>
      </c>
      <c r="E7" s="845">
        <v>4973</v>
      </c>
      <c r="F7" s="845">
        <v>3353</v>
      </c>
      <c r="G7" s="846">
        <v>67.42</v>
      </c>
      <c r="H7" s="845">
        <v>4913</v>
      </c>
      <c r="I7" s="845">
        <v>3509</v>
      </c>
      <c r="J7" s="846">
        <v>71.42</v>
      </c>
      <c r="K7" s="845">
        <v>5348</v>
      </c>
      <c r="L7" s="845">
        <v>3774</v>
      </c>
      <c r="M7" s="846">
        <v>70.569999999999993</v>
      </c>
      <c r="N7" s="845">
        <v>4901</v>
      </c>
      <c r="O7" s="845">
        <v>3445</v>
      </c>
      <c r="P7" s="846">
        <v>70.290000000000006</v>
      </c>
    </row>
    <row r="8" spans="1:17" ht="19.5" customHeight="1">
      <c r="A8" s="724" t="s">
        <v>987</v>
      </c>
      <c r="B8" s="845">
        <v>3093</v>
      </c>
      <c r="C8" s="845">
        <v>1525</v>
      </c>
      <c r="D8" s="846">
        <v>49.3</v>
      </c>
      <c r="E8" s="845">
        <v>1291</v>
      </c>
      <c r="F8" s="845">
        <v>716</v>
      </c>
      <c r="G8" s="846">
        <v>55.46</v>
      </c>
      <c r="H8" s="845">
        <v>111</v>
      </c>
      <c r="I8" s="845">
        <v>96</v>
      </c>
      <c r="J8" s="846">
        <v>86.49</v>
      </c>
      <c r="K8" s="845">
        <v>1889</v>
      </c>
      <c r="L8" s="845">
        <v>631</v>
      </c>
      <c r="M8" s="846">
        <v>33.4</v>
      </c>
      <c r="N8" s="845">
        <v>3330</v>
      </c>
      <c r="O8" s="845">
        <v>1828</v>
      </c>
      <c r="P8" s="846">
        <v>54.89</v>
      </c>
    </row>
    <row r="9" spans="1:17" ht="19.5" customHeight="1">
      <c r="A9" s="844" t="s">
        <v>1038</v>
      </c>
      <c r="B9" s="845">
        <v>1643</v>
      </c>
      <c r="C9" s="845">
        <v>879</v>
      </c>
      <c r="D9" s="846">
        <v>53.5</v>
      </c>
      <c r="E9" s="845">
        <v>1466</v>
      </c>
      <c r="F9" s="845">
        <v>850</v>
      </c>
      <c r="G9" s="846">
        <v>57.98</v>
      </c>
      <c r="H9" s="845">
        <v>1167</v>
      </c>
      <c r="I9" s="845">
        <v>614</v>
      </c>
      <c r="J9" s="846">
        <v>52.61</v>
      </c>
      <c r="K9" s="845">
        <v>922</v>
      </c>
      <c r="L9" s="845">
        <v>516</v>
      </c>
      <c r="M9" s="846">
        <v>55.97</v>
      </c>
      <c r="N9" s="845">
        <v>456</v>
      </c>
      <c r="O9" s="845">
        <v>248</v>
      </c>
      <c r="P9" s="846">
        <v>54.39</v>
      </c>
    </row>
    <row r="10" spans="1:17" s="849" customFormat="1" ht="19.5" customHeight="1">
      <c r="A10" s="844" t="s">
        <v>1039</v>
      </c>
      <c r="B10" s="845">
        <v>768</v>
      </c>
      <c r="C10" s="845">
        <v>416</v>
      </c>
      <c r="D10" s="846">
        <v>54.17</v>
      </c>
      <c r="E10" s="845">
        <v>932</v>
      </c>
      <c r="F10" s="845">
        <v>321</v>
      </c>
      <c r="G10" s="846">
        <v>34.44</v>
      </c>
      <c r="H10" s="845">
        <v>553</v>
      </c>
      <c r="I10" s="845">
        <v>327</v>
      </c>
      <c r="J10" s="846">
        <v>59.13</v>
      </c>
      <c r="K10" s="845">
        <v>581</v>
      </c>
      <c r="L10" s="845">
        <v>303</v>
      </c>
      <c r="M10" s="846">
        <v>52.15</v>
      </c>
      <c r="N10" s="845">
        <v>569</v>
      </c>
      <c r="O10" s="845">
        <v>295</v>
      </c>
      <c r="P10" s="846">
        <v>51.85</v>
      </c>
    </row>
    <row r="11" spans="1:17" ht="19.5" customHeight="1">
      <c r="A11" s="844" t="s">
        <v>1040</v>
      </c>
      <c r="B11" s="845">
        <v>241</v>
      </c>
      <c r="C11" s="845">
        <v>53</v>
      </c>
      <c r="D11" s="846">
        <v>21.99</v>
      </c>
      <c r="E11" s="845">
        <v>204</v>
      </c>
      <c r="F11" s="845">
        <v>96</v>
      </c>
      <c r="G11" s="846">
        <v>47.06</v>
      </c>
      <c r="H11" s="845">
        <v>91</v>
      </c>
      <c r="I11" s="845">
        <v>37</v>
      </c>
      <c r="J11" s="846">
        <v>40.659999999999997</v>
      </c>
      <c r="K11" s="845">
        <v>89</v>
      </c>
      <c r="L11" s="845">
        <v>33</v>
      </c>
      <c r="M11" s="846">
        <v>37.08</v>
      </c>
      <c r="N11" s="845">
        <v>96</v>
      </c>
      <c r="O11" s="845">
        <v>46</v>
      </c>
      <c r="P11" s="846">
        <v>47.92</v>
      </c>
    </row>
    <row r="12" spans="1:17" ht="19.5" customHeight="1">
      <c r="A12" s="844" t="s">
        <v>1041</v>
      </c>
      <c r="B12" s="845">
        <v>1146</v>
      </c>
      <c r="C12" s="845">
        <v>448</v>
      </c>
      <c r="D12" s="846">
        <v>39.090000000000003</v>
      </c>
      <c r="E12" s="845">
        <v>1574</v>
      </c>
      <c r="F12" s="845">
        <v>687</v>
      </c>
      <c r="G12" s="846">
        <v>43.65</v>
      </c>
      <c r="H12" s="845">
        <v>3565</v>
      </c>
      <c r="I12" s="845">
        <v>1955</v>
      </c>
      <c r="J12" s="846">
        <v>54.84</v>
      </c>
      <c r="K12" s="845">
        <v>1583</v>
      </c>
      <c r="L12" s="845">
        <v>882</v>
      </c>
      <c r="M12" s="846">
        <v>55.72</v>
      </c>
      <c r="N12" s="845">
        <v>1420</v>
      </c>
      <c r="O12" s="845">
        <v>619</v>
      </c>
      <c r="P12" s="846">
        <v>43.59</v>
      </c>
    </row>
    <row r="13" spans="1:17" ht="19.5" customHeight="1">
      <c r="A13" s="844" t="s">
        <v>983</v>
      </c>
      <c r="B13" s="845">
        <v>1660</v>
      </c>
      <c r="C13" s="845">
        <v>793</v>
      </c>
      <c r="D13" s="846">
        <v>47.77</v>
      </c>
      <c r="E13" s="845">
        <v>1488</v>
      </c>
      <c r="F13" s="845">
        <v>561</v>
      </c>
      <c r="G13" s="846">
        <v>37.700000000000003</v>
      </c>
      <c r="H13" s="845">
        <v>1137</v>
      </c>
      <c r="I13" s="845">
        <v>499</v>
      </c>
      <c r="J13" s="846">
        <v>43.89</v>
      </c>
      <c r="K13" s="845">
        <v>1079</v>
      </c>
      <c r="L13" s="845">
        <v>372</v>
      </c>
      <c r="M13" s="846">
        <v>34.479999999999997</v>
      </c>
      <c r="N13" s="845">
        <v>1106</v>
      </c>
      <c r="O13" s="845">
        <v>453</v>
      </c>
      <c r="P13" s="846">
        <v>40.96</v>
      </c>
    </row>
    <row r="14" spans="1:17" ht="19.5" customHeight="1">
      <c r="A14" s="844" t="s">
        <v>1042</v>
      </c>
      <c r="B14" s="845">
        <v>3473</v>
      </c>
      <c r="C14" s="845">
        <v>1020</v>
      </c>
      <c r="D14" s="846">
        <v>29.37</v>
      </c>
      <c r="E14" s="845">
        <v>3918</v>
      </c>
      <c r="F14" s="845">
        <v>1127</v>
      </c>
      <c r="G14" s="846">
        <v>28.76</v>
      </c>
      <c r="H14" s="845">
        <v>4203</v>
      </c>
      <c r="I14" s="845">
        <v>1465</v>
      </c>
      <c r="J14" s="846">
        <v>34.86</v>
      </c>
      <c r="K14" s="845">
        <v>3918</v>
      </c>
      <c r="L14" s="845">
        <v>1388</v>
      </c>
      <c r="M14" s="846">
        <v>35.43</v>
      </c>
      <c r="N14" s="845">
        <v>3997</v>
      </c>
      <c r="O14" s="845">
        <v>1469</v>
      </c>
      <c r="P14" s="846">
        <v>36.75</v>
      </c>
    </row>
    <row r="15" spans="1:17" ht="19.5" customHeight="1">
      <c r="A15" s="844" t="s">
        <v>1043</v>
      </c>
      <c r="B15" s="845">
        <v>4467</v>
      </c>
      <c r="C15" s="845">
        <v>1389</v>
      </c>
      <c r="D15" s="846">
        <v>31.09</v>
      </c>
      <c r="E15" s="845">
        <v>3926</v>
      </c>
      <c r="F15" s="845">
        <v>1161</v>
      </c>
      <c r="G15" s="846">
        <v>29.57</v>
      </c>
      <c r="H15" s="845">
        <v>3284</v>
      </c>
      <c r="I15" s="845">
        <v>1038</v>
      </c>
      <c r="J15" s="846">
        <v>31.61</v>
      </c>
      <c r="K15" s="845">
        <v>2874</v>
      </c>
      <c r="L15" s="845">
        <v>1131</v>
      </c>
      <c r="M15" s="846">
        <v>39.35</v>
      </c>
      <c r="N15" s="845">
        <v>2873</v>
      </c>
      <c r="O15" s="845">
        <v>1037</v>
      </c>
      <c r="P15" s="846">
        <v>36.090000000000003</v>
      </c>
    </row>
    <row r="16" spans="1:17" ht="19.5" customHeight="1">
      <c r="A16" s="844" t="s">
        <v>992</v>
      </c>
      <c r="B16" s="845">
        <v>1526</v>
      </c>
      <c r="C16" s="845">
        <v>634</v>
      </c>
      <c r="D16" s="846">
        <v>41.55</v>
      </c>
      <c r="E16" s="845">
        <v>1767</v>
      </c>
      <c r="F16" s="845">
        <v>677</v>
      </c>
      <c r="G16" s="846">
        <v>38.31</v>
      </c>
      <c r="H16" s="845">
        <v>1705</v>
      </c>
      <c r="I16" s="845">
        <v>613</v>
      </c>
      <c r="J16" s="846">
        <v>35.950000000000003</v>
      </c>
      <c r="K16" s="845">
        <v>1653</v>
      </c>
      <c r="L16" s="845">
        <v>593</v>
      </c>
      <c r="M16" s="846">
        <v>35.869999999999997</v>
      </c>
      <c r="N16" s="845">
        <v>1503</v>
      </c>
      <c r="O16" s="845">
        <v>515</v>
      </c>
      <c r="P16" s="846">
        <v>34.26</v>
      </c>
    </row>
    <row r="17" spans="1:17" s="849" customFormat="1" ht="19.5" customHeight="1">
      <c r="A17" s="844" t="s">
        <v>1044</v>
      </c>
      <c r="B17" s="845">
        <v>1560</v>
      </c>
      <c r="C17" s="845">
        <v>598</v>
      </c>
      <c r="D17" s="846">
        <v>38.33</v>
      </c>
      <c r="E17" s="845">
        <v>1537</v>
      </c>
      <c r="F17" s="845">
        <v>510</v>
      </c>
      <c r="G17" s="846">
        <v>33.18</v>
      </c>
      <c r="H17" s="845">
        <v>1841</v>
      </c>
      <c r="I17" s="845">
        <v>608</v>
      </c>
      <c r="J17" s="846">
        <v>33.03</v>
      </c>
      <c r="K17" s="845">
        <v>1757</v>
      </c>
      <c r="L17" s="845">
        <v>501</v>
      </c>
      <c r="M17" s="846">
        <v>28.51</v>
      </c>
      <c r="N17" s="845">
        <v>1876</v>
      </c>
      <c r="O17" s="845">
        <v>553</v>
      </c>
      <c r="P17" s="846">
        <v>29.48</v>
      </c>
    </row>
    <row r="18" spans="1:17" s="849" customFormat="1" ht="19.5" customHeight="1">
      <c r="A18" s="844" t="s">
        <v>1045</v>
      </c>
      <c r="B18" s="845">
        <v>1804</v>
      </c>
      <c r="C18" s="845">
        <v>492</v>
      </c>
      <c r="D18" s="846">
        <v>27.27</v>
      </c>
      <c r="E18" s="845">
        <v>1737</v>
      </c>
      <c r="F18" s="845">
        <v>423</v>
      </c>
      <c r="G18" s="846">
        <v>24.35</v>
      </c>
      <c r="H18" s="845">
        <v>1606</v>
      </c>
      <c r="I18" s="845">
        <v>458</v>
      </c>
      <c r="J18" s="846">
        <v>28.52</v>
      </c>
      <c r="K18" s="845">
        <v>1299</v>
      </c>
      <c r="L18" s="845">
        <v>360</v>
      </c>
      <c r="M18" s="846">
        <v>27.71</v>
      </c>
      <c r="N18" s="845">
        <v>1489</v>
      </c>
      <c r="O18" s="845">
        <v>434</v>
      </c>
      <c r="P18" s="846">
        <v>29.15</v>
      </c>
    </row>
    <row r="19" spans="1:17" s="849" customFormat="1" ht="19.5" customHeight="1">
      <c r="A19" s="724" t="s">
        <v>981</v>
      </c>
      <c r="B19" s="845">
        <v>1030</v>
      </c>
      <c r="C19" s="845">
        <v>289</v>
      </c>
      <c r="D19" s="846">
        <v>28.06</v>
      </c>
      <c r="E19" s="845">
        <v>1108</v>
      </c>
      <c r="F19" s="845">
        <v>319</v>
      </c>
      <c r="G19" s="846">
        <v>28.79</v>
      </c>
      <c r="H19" s="845">
        <v>1152</v>
      </c>
      <c r="I19" s="845">
        <v>308</v>
      </c>
      <c r="J19" s="846">
        <v>26.74</v>
      </c>
      <c r="K19" s="845">
        <v>767</v>
      </c>
      <c r="L19" s="845">
        <v>260</v>
      </c>
      <c r="M19" s="846">
        <v>33.9</v>
      </c>
      <c r="N19" s="845">
        <v>894</v>
      </c>
      <c r="O19" s="845">
        <v>259</v>
      </c>
      <c r="P19" s="846">
        <v>28.97</v>
      </c>
    </row>
    <row r="20" spans="1:17" s="849" customFormat="1" ht="19.5" customHeight="1">
      <c r="A20" s="844" t="s">
        <v>827</v>
      </c>
      <c r="B20" s="845">
        <v>2774</v>
      </c>
      <c r="C20" s="845">
        <v>762</v>
      </c>
      <c r="D20" s="846">
        <v>27.47</v>
      </c>
      <c r="E20" s="845">
        <v>3214</v>
      </c>
      <c r="F20" s="845">
        <v>835</v>
      </c>
      <c r="G20" s="846">
        <v>25.98</v>
      </c>
      <c r="H20" s="845">
        <v>3583</v>
      </c>
      <c r="I20" s="845">
        <v>895</v>
      </c>
      <c r="J20" s="846">
        <v>24.98</v>
      </c>
      <c r="K20" s="845">
        <v>3646</v>
      </c>
      <c r="L20" s="845">
        <v>959</v>
      </c>
      <c r="M20" s="846">
        <v>26.3</v>
      </c>
      <c r="N20" s="845">
        <v>3056</v>
      </c>
      <c r="O20" s="845">
        <v>846</v>
      </c>
      <c r="P20" s="846">
        <v>27.68</v>
      </c>
    </row>
    <row r="21" spans="1:17" s="849" customFormat="1" ht="19.5" customHeight="1">
      <c r="A21" s="844" t="s">
        <v>1046</v>
      </c>
      <c r="B21" s="845">
        <v>2232</v>
      </c>
      <c r="C21" s="845">
        <v>330</v>
      </c>
      <c r="D21" s="846">
        <v>14.78</v>
      </c>
      <c r="E21" s="845">
        <v>2382</v>
      </c>
      <c r="F21" s="845">
        <v>501</v>
      </c>
      <c r="G21" s="846">
        <v>21.03</v>
      </c>
      <c r="H21" s="845">
        <v>2819</v>
      </c>
      <c r="I21" s="845">
        <v>633</v>
      </c>
      <c r="J21" s="846">
        <v>22.45</v>
      </c>
      <c r="K21" s="845">
        <v>2521</v>
      </c>
      <c r="L21" s="845">
        <v>712</v>
      </c>
      <c r="M21" s="846">
        <v>28.24</v>
      </c>
      <c r="N21" s="845">
        <v>2116</v>
      </c>
      <c r="O21" s="845">
        <v>530</v>
      </c>
      <c r="P21" s="846">
        <v>25.05</v>
      </c>
    </row>
    <row r="22" spans="1:17" s="849" customFormat="1" ht="19.5" customHeight="1">
      <c r="A22" s="844" t="s">
        <v>1047</v>
      </c>
      <c r="B22" s="845">
        <v>73391</v>
      </c>
      <c r="C22" s="845">
        <v>15760</v>
      </c>
      <c r="D22" s="846">
        <v>21.47</v>
      </c>
      <c r="E22" s="845">
        <v>89860</v>
      </c>
      <c r="F22" s="845">
        <v>18647</v>
      </c>
      <c r="G22" s="846">
        <v>20.75</v>
      </c>
      <c r="H22" s="845">
        <v>96688</v>
      </c>
      <c r="I22" s="845">
        <v>19766</v>
      </c>
      <c r="J22" s="846">
        <v>20.440000000000001</v>
      </c>
      <c r="K22" s="845">
        <v>95890</v>
      </c>
      <c r="L22" s="845">
        <v>17663</v>
      </c>
      <c r="M22" s="846">
        <v>18.420000000000002</v>
      </c>
      <c r="N22" s="845">
        <v>83474</v>
      </c>
      <c r="O22" s="845">
        <v>15192</v>
      </c>
      <c r="P22" s="846">
        <v>18.2</v>
      </c>
    </row>
    <row r="23" spans="1:17" s="849" customFormat="1" ht="19.5" customHeight="1">
      <c r="A23" s="724" t="s">
        <v>979</v>
      </c>
      <c r="B23" s="845">
        <v>1173</v>
      </c>
      <c r="C23" s="845">
        <v>1074</v>
      </c>
      <c r="D23" s="846">
        <v>91.56</v>
      </c>
      <c r="E23" s="845">
        <v>1584</v>
      </c>
      <c r="F23" s="845">
        <v>1287</v>
      </c>
      <c r="G23" s="846">
        <v>81.25</v>
      </c>
      <c r="H23" s="845">
        <v>1561</v>
      </c>
      <c r="I23" s="845">
        <v>731</v>
      </c>
      <c r="J23" s="846">
        <v>46.83</v>
      </c>
      <c r="K23" s="845">
        <v>4283</v>
      </c>
      <c r="L23" s="845">
        <v>662</v>
      </c>
      <c r="M23" s="846">
        <v>15.46</v>
      </c>
      <c r="N23" s="845">
        <v>6672</v>
      </c>
      <c r="O23" s="845">
        <v>568</v>
      </c>
      <c r="P23" s="846">
        <v>8.51</v>
      </c>
    </row>
    <row r="24" spans="1:17" ht="19.5" customHeight="1">
      <c r="A24" s="850" t="s">
        <v>829</v>
      </c>
      <c r="B24" s="851">
        <v>12344</v>
      </c>
      <c r="C24" s="851">
        <v>4023</v>
      </c>
      <c r="D24" s="852">
        <v>32.590000000000003</v>
      </c>
      <c r="E24" s="851">
        <v>12943</v>
      </c>
      <c r="F24" s="851">
        <v>4126</v>
      </c>
      <c r="G24" s="852">
        <v>31.88</v>
      </c>
      <c r="H24" s="851">
        <v>13943</v>
      </c>
      <c r="I24" s="851">
        <v>5021</v>
      </c>
      <c r="J24" s="852">
        <v>36.01</v>
      </c>
      <c r="K24" s="851">
        <v>16911</v>
      </c>
      <c r="L24" s="851">
        <v>5247</v>
      </c>
      <c r="M24" s="852">
        <v>31.03</v>
      </c>
      <c r="N24" s="851">
        <v>19580</v>
      </c>
      <c r="O24" s="851">
        <v>6225</v>
      </c>
      <c r="P24" s="852">
        <v>31.79</v>
      </c>
    </row>
    <row r="25" spans="1:17" s="195" customFormat="1" ht="14.25">
      <c r="A25" s="195" t="s">
        <v>997</v>
      </c>
    </row>
    <row r="26" spans="1:17" s="195" customFormat="1" ht="14.25" customHeight="1">
      <c r="A26" s="853" t="s">
        <v>1048</v>
      </c>
      <c r="H26" s="861"/>
      <c r="I26" s="861"/>
      <c r="J26" s="861"/>
      <c r="K26" s="861"/>
      <c r="L26" s="861"/>
      <c r="M26" s="861"/>
      <c r="N26" s="861"/>
      <c r="O26" s="861"/>
      <c r="P26" s="861"/>
      <c r="Q26" s="861"/>
    </row>
    <row r="27" spans="1:17">
      <c r="A27" s="731" t="s">
        <v>1049</v>
      </c>
      <c r="B27" s="861"/>
      <c r="C27" s="861"/>
      <c r="D27" s="861"/>
      <c r="E27" s="861"/>
      <c r="F27" s="861"/>
      <c r="G27" s="183" t="s">
        <v>1050</v>
      </c>
      <c r="H27" s="861"/>
      <c r="I27" s="861"/>
      <c r="J27" s="861"/>
      <c r="K27" s="861"/>
      <c r="L27" s="861"/>
      <c r="M27" s="861"/>
      <c r="N27" s="861"/>
      <c r="O27" s="861"/>
      <c r="P27" s="861"/>
      <c r="Q27" s="861"/>
    </row>
    <row r="28" spans="1:17">
      <c r="G28" s="183" t="s">
        <v>858</v>
      </c>
    </row>
  </sheetData>
  <mergeCells count="12">
    <mergeCell ref="N3:N4"/>
    <mergeCell ref="O3:P3"/>
    <mergeCell ref="A1:P1"/>
    <mergeCell ref="A2:A4"/>
    <mergeCell ref="B3:B4"/>
    <mergeCell ref="C3:D3"/>
    <mergeCell ref="E3:E4"/>
    <mergeCell ref="F3:G3"/>
    <mergeCell ref="H3:H4"/>
    <mergeCell ref="I3:J3"/>
    <mergeCell ref="K3:K4"/>
    <mergeCell ref="L3:M3"/>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54" orientation="landscape" r:id="rId1"/>
  <headerFooter differentOddEven="1" scaleWithDoc="0">
    <oddHeader>&amp;L&amp;"Times New Roman,標準"&amp;8 107&amp;"標楷體,標準"年犯罪狀況及其分析</oddHeader>
    <evenHeader>&amp;R&amp;"標楷體,標準"&amp;8第二篇　犯罪之處理</even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E24"/>
  <sheetViews>
    <sheetView showGridLines="0" workbookViewId="0">
      <selection activeCell="B16" sqref="B16"/>
    </sheetView>
  </sheetViews>
  <sheetFormatPr defaultColWidth="9" defaultRowHeight="15.75"/>
  <cols>
    <col min="1" max="1" width="15.875" style="183" customWidth="1"/>
    <col min="2" max="4" width="30.75" style="183" customWidth="1"/>
    <col min="5" max="16384" width="9" style="183"/>
  </cols>
  <sheetData>
    <row r="1" spans="1:5" s="862" customFormat="1" ht="30.6" customHeight="1">
      <c r="A1" s="2930" t="s">
        <v>1051</v>
      </c>
      <c r="B1" s="2930"/>
      <c r="C1" s="2930"/>
      <c r="D1" s="2930"/>
    </row>
    <row r="2" spans="1:5" s="184" customFormat="1">
      <c r="D2" s="863" t="s">
        <v>1052</v>
      </c>
      <c r="E2" s="864"/>
    </row>
    <row r="3" spans="1:5" ht="59.45" customHeight="1">
      <c r="A3" s="3045"/>
      <c r="B3" s="865" t="s">
        <v>1053</v>
      </c>
      <c r="C3" s="866" t="s">
        <v>1054</v>
      </c>
      <c r="D3" s="867" t="s">
        <v>1055</v>
      </c>
      <c r="E3" s="826"/>
    </row>
    <row r="4" spans="1:5" ht="26.25" hidden="1" customHeight="1">
      <c r="A4" s="3047"/>
      <c r="B4" s="868">
        <v>5415</v>
      </c>
      <c r="C4" s="869">
        <v>26081</v>
      </c>
      <c r="D4" s="870">
        <v>17.19265938531877</v>
      </c>
    </row>
    <row r="5" spans="1:5" s="826" customFormat="1" ht="26.25" hidden="1" customHeight="1">
      <c r="A5" s="778" t="s">
        <v>1056</v>
      </c>
      <c r="B5" s="869">
        <v>6166</v>
      </c>
      <c r="C5" s="869">
        <v>33316</v>
      </c>
      <c r="D5" s="870">
        <v>15.62</v>
      </c>
    </row>
    <row r="6" spans="1:5" ht="26.25" hidden="1" customHeight="1">
      <c r="A6" s="778" t="s">
        <v>1057</v>
      </c>
      <c r="B6" s="869">
        <v>6385</v>
      </c>
      <c r="C6" s="869">
        <v>42880</v>
      </c>
      <c r="D6" s="870">
        <v>12.96</v>
      </c>
    </row>
    <row r="7" spans="1:5" ht="26.25" customHeight="1">
      <c r="A7" s="871" t="s">
        <v>1058</v>
      </c>
      <c r="B7" s="872">
        <v>5752</v>
      </c>
      <c r="C7" s="873">
        <v>45095</v>
      </c>
      <c r="D7" s="874">
        <f>B7/SUM(B7,C7)*100</f>
        <v>11.312368477982968</v>
      </c>
    </row>
    <row r="8" spans="1:5" ht="26.25" customHeight="1">
      <c r="A8" s="778" t="s">
        <v>1059</v>
      </c>
      <c r="B8" s="872">
        <v>5228</v>
      </c>
      <c r="C8" s="875">
        <v>46771</v>
      </c>
      <c r="D8" s="874">
        <f t="shared" ref="D8:D16" si="0">B8/SUM(B8,C8)*100</f>
        <v>10.054039500759631</v>
      </c>
    </row>
    <row r="9" spans="1:5" ht="26.25" customHeight="1">
      <c r="A9" s="778" t="s">
        <v>1060</v>
      </c>
      <c r="B9" s="872">
        <v>5181</v>
      </c>
      <c r="C9" s="876">
        <v>45798</v>
      </c>
      <c r="D9" s="874">
        <f t="shared" si="0"/>
        <v>10.163008297534279</v>
      </c>
    </row>
    <row r="10" spans="1:5" ht="26.25" customHeight="1">
      <c r="A10" s="778" t="s">
        <v>1061</v>
      </c>
      <c r="B10" s="872">
        <v>5733</v>
      </c>
      <c r="C10" s="875">
        <v>47995</v>
      </c>
      <c r="D10" s="874">
        <f t="shared" si="0"/>
        <v>10.670413936867183</v>
      </c>
    </row>
    <row r="11" spans="1:5" ht="26.25" customHeight="1">
      <c r="A11" s="778" t="s">
        <v>1062</v>
      </c>
      <c r="B11" s="872">
        <v>5364</v>
      </c>
      <c r="C11" s="875">
        <v>52324</v>
      </c>
      <c r="D11" s="874">
        <f t="shared" si="0"/>
        <v>9.2982942726390245</v>
      </c>
    </row>
    <row r="12" spans="1:5" ht="26.25" customHeight="1">
      <c r="A12" s="778" t="s">
        <v>1063</v>
      </c>
      <c r="B12" s="872">
        <v>5484</v>
      </c>
      <c r="C12" s="875">
        <v>54040</v>
      </c>
      <c r="D12" s="874">
        <f t="shared" si="0"/>
        <v>9.2130905181103415</v>
      </c>
    </row>
    <row r="13" spans="1:5" ht="26.25" customHeight="1">
      <c r="A13" s="778" t="s">
        <v>1064</v>
      </c>
      <c r="B13" s="872">
        <v>5643</v>
      </c>
      <c r="C13" s="875">
        <v>57118</v>
      </c>
      <c r="D13" s="874">
        <f t="shared" si="0"/>
        <v>8.9912525294370695</v>
      </c>
    </row>
    <row r="14" spans="1:5" ht="26.25" customHeight="1">
      <c r="A14" s="778" t="s">
        <v>1065</v>
      </c>
      <c r="B14" s="872">
        <v>6210</v>
      </c>
      <c r="C14" s="875">
        <v>57881</v>
      </c>
      <c r="D14" s="874">
        <f t="shared" si="0"/>
        <v>9.6893479583716893</v>
      </c>
    </row>
    <row r="15" spans="1:5" ht="26.25" customHeight="1">
      <c r="A15" s="778" t="s">
        <v>1066</v>
      </c>
      <c r="B15" s="872">
        <v>6866</v>
      </c>
      <c r="C15" s="876">
        <v>54816</v>
      </c>
      <c r="D15" s="874">
        <f t="shared" si="0"/>
        <v>11.131286274764113</v>
      </c>
    </row>
    <row r="16" spans="1:5" ht="26.25" customHeight="1">
      <c r="A16" s="778" t="s">
        <v>1067</v>
      </c>
      <c r="B16" s="877">
        <v>7506</v>
      </c>
      <c r="C16" s="878">
        <v>52744</v>
      </c>
      <c r="D16" s="879">
        <f t="shared" si="0"/>
        <v>12.458091286307054</v>
      </c>
    </row>
    <row r="17" spans="1:4" s="195" customFormat="1" ht="18.95" customHeight="1">
      <c r="A17" s="880" t="s">
        <v>1068</v>
      </c>
    </row>
    <row r="18" spans="1:4" s="195" customFormat="1" ht="66.75" customHeight="1">
      <c r="A18" s="3066" t="s">
        <v>1069</v>
      </c>
      <c r="B18" s="3066"/>
      <c r="C18" s="3066"/>
      <c r="D18" s="3066"/>
    </row>
    <row r="19" spans="1:4" s="195" customFormat="1" ht="19.5" customHeight="1">
      <c r="A19" s="3067" t="s">
        <v>1070</v>
      </c>
      <c r="B19" s="3067"/>
    </row>
    <row r="20" spans="1:4" s="195" customFormat="1" ht="20.100000000000001" customHeight="1"/>
    <row r="21" spans="1:4" s="195" customFormat="1" ht="18.600000000000001" customHeight="1"/>
    <row r="22" spans="1:4" s="195" customFormat="1" ht="12.75"/>
    <row r="23" spans="1:4" s="195" customFormat="1" ht="12.75"/>
    <row r="24" spans="1:4" s="195" customFormat="1" ht="12.75"/>
  </sheetData>
  <mergeCells count="4">
    <mergeCell ref="A1:D1"/>
    <mergeCell ref="A3:A4"/>
    <mergeCell ref="A18:D18"/>
    <mergeCell ref="A19:B19"/>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9"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M36"/>
  <sheetViews>
    <sheetView showGridLines="0" zoomScale="81" workbookViewId="0">
      <selection activeCell="B16" sqref="B16"/>
    </sheetView>
  </sheetViews>
  <sheetFormatPr defaultColWidth="9" defaultRowHeight="15.75"/>
  <cols>
    <col min="1" max="1" width="29.5" style="650" customWidth="1"/>
    <col min="2" max="2" width="10.5" style="901" bestFit="1" customWidth="1"/>
    <col min="3" max="3" width="9.625" style="902" bestFit="1" customWidth="1"/>
    <col min="4" max="4" width="10.5" style="901" bestFit="1" customWidth="1"/>
    <col min="5" max="5" width="9.625" style="902" bestFit="1" customWidth="1"/>
    <col min="6" max="6" width="10.5" style="901" bestFit="1" customWidth="1"/>
    <col min="7" max="7" width="9.625" style="902" bestFit="1" customWidth="1"/>
    <col min="8" max="8" width="9.375" style="901" bestFit="1" customWidth="1"/>
    <col min="9" max="9" width="9.625" style="902" bestFit="1" customWidth="1"/>
    <col min="10" max="10" width="9.375" style="901" bestFit="1" customWidth="1"/>
    <col min="11" max="11" width="9.625" style="902" bestFit="1" customWidth="1"/>
    <col min="12" max="16384" width="9" style="650"/>
  </cols>
  <sheetData>
    <row r="1" spans="1:13" s="648" customFormat="1" ht="30.6" customHeight="1">
      <c r="A1" s="2964" t="s">
        <v>1071</v>
      </c>
      <c r="B1" s="2964"/>
      <c r="C1" s="2964"/>
      <c r="D1" s="2964"/>
      <c r="E1" s="2964"/>
      <c r="F1" s="2964"/>
      <c r="G1" s="2964"/>
      <c r="H1" s="2964"/>
      <c r="I1" s="2964"/>
      <c r="J1" s="2964"/>
      <c r="K1" s="2964"/>
    </row>
    <row r="2" spans="1:13" ht="16.5">
      <c r="A2" s="2981"/>
      <c r="B2" s="3068" t="s">
        <v>1072</v>
      </c>
      <c r="C2" s="3069"/>
      <c r="D2" s="3069" t="s">
        <v>1073</v>
      </c>
      <c r="E2" s="3069"/>
      <c r="F2" s="3069" t="s">
        <v>1074</v>
      </c>
      <c r="G2" s="3069"/>
      <c r="H2" s="3069" t="s">
        <v>1033</v>
      </c>
      <c r="I2" s="3069"/>
      <c r="J2" s="3069" t="s">
        <v>1075</v>
      </c>
      <c r="K2" s="2966"/>
    </row>
    <row r="3" spans="1:13" ht="16.5">
      <c r="A3" s="2983"/>
      <c r="B3" s="881" t="s">
        <v>1076</v>
      </c>
      <c r="C3" s="882" t="s">
        <v>1035</v>
      </c>
      <c r="D3" s="883" t="s">
        <v>1076</v>
      </c>
      <c r="E3" s="882" t="s">
        <v>1035</v>
      </c>
      <c r="F3" s="884" t="s">
        <v>1077</v>
      </c>
      <c r="G3" s="882" t="s">
        <v>1078</v>
      </c>
      <c r="H3" s="884" t="s">
        <v>1076</v>
      </c>
      <c r="I3" s="882" t="s">
        <v>934</v>
      </c>
      <c r="J3" s="884" t="s">
        <v>1076</v>
      </c>
      <c r="K3" s="885" t="s">
        <v>1035</v>
      </c>
      <c r="L3" s="886"/>
    </row>
    <row r="4" spans="1:13" s="659" customFormat="1" ht="16.5">
      <c r="A4" s="887" t="s">
        <v>1079</v>
      </c>
      <c r="B4" s="888">
        <v>474108</v>
      </c>
      <c r="C4" s="889">
        <v>100</v>
      </c>
      <c r="D4" s="888">
        <v>206488</v>
      </c>
      <c r="E4" s="889">
        <v>100</v>
      </c>
      <c r="F4" s="888">
        <v>38192</v>
      </c>
      <c r="G4" s="889">
        <v>100</v>
      </c>
      <c r="H4" s="888">
        <v>163426</v>
      </c>
      <c r="I4" s="889">
        <v>100</v>
      </c>
      <c r="J4" s="888">
        <v>66002</v>
      </c>
      <c r="K4" s="889">
        <v>100</v>
      </c>
      <c r="L4" s="890"/>
      <c r="M4" s="890"/>
    </row>
    <row r="5" spans="1:13" s="659" customFormat="1" ht="16.5">
      <c r="A5" s="887" t="s">
        <v>1080</v>
      </c>
      <c r="B5" s="888">
        <v>82778</v>
      </c>
      <c r="C5" s="889">
        <v>17.459734912720311</v>
      </c>
      <c r="D5" s="888">
        <v>52159</v>
      </c>
      <c r="E5" s="889">
        <v>25.260063538801287</v>
      </c>
      <c r="F5" s="888">
        <v>21437</v>
      </c>
      <c r="G5" s="889">
        <v>56.129555927943017</v>
      </c>
      <c r="H5" s="888">
        <v>7195</v>
      </c>
      <c r="I5" s="889">
        <v>4.4026042367799496</v>
      </c>
      <c r="J5" s="888">
        <v>1987</v>
      </c>
      <c r="K5" s="889">
        <v>3.0105148328838522</v>
      </c>
      <c r="L5" s="890"/>
      <c r="M5" s="890"/>
    </row>
    <row r="6" spans="1:13" s="659" customFormat="1" ht="16.5">
      <c r="A6" s="887" t="s">
        <v>1081</v>
      </c>
      <c r="B6" s="891">
        <v>80456</v>
      </c>
      <c r="C6" s="892">
        <v>16.969973086301014</v>
      </c>
      <c r="D6" s="891">
        <v>46499</v>
      </c>
      <c r="E6" s="889">
        <v>22.518984154042851</v>
      </c>
      <c r="F6" s="891">
        <v>7870</v>
      </c>
      <c r="G6" s="889">
        <v>20.606409719312946</v>
      </c>
      <c r="H6" s="891">
        <v>14375</v>
      </c>
      <c r="I6" s="892">
        <v>8.7960300074651521</v>
      </c>
      <c r="J6" s="888">
        <v>11712</v>
      </c>
      <c r="K6" s="892">
        <v>17.744916820702404</v>
      </c>
      <c r="L6" s="890"/>
      <c r="M6" s="890"/>
    </row>
    <row r="7" spans="1:13" s="659" customFormat="1" ht="18.600000000000001" customHeight="1">
      <c r="A7" s="887" t="s">
        <v>815</v>
      </c>
      <c r="B7" s="888">
        <v>64873</v>
      </c>
      <c r="C7" s="889">
        <v>13.68316923570157</v>
      </c>
      <c r="D7" s="888">
        <v>23049</v>
      </c>
      <c r="E7" s="889">
        <v>11.1623920034094</v>
      </c>
      <c r="F7" s="888">
        <v>62</v>
      </c>
      <c r="G7" s="889">
        <v>0.16233766233766234</v>
      </c>
      <c r="H7" s="888">
        <v>29108</v>
      </c>
      <c r="I7" s="889">
        <v>17.811119405724916</v>
      </c>
      <c r="J7" s="888">
        <v>12654</v>
      </c>
      <c r="K7" s="889">
        <v>19.172146298597013</v>
      </c>
      <c r="L7" s="890"/>
      <c r="M7" s="890"/>
    </row>
    <row r="8" spans="1:13" s="659" customFormat="1" ht="16.5">
      <c r="A8" s="887" t="s">
        <v>811</v>
      </c>
      <c r="B8" s="891">
        <v>62361</v>
      </c>
      <c r="C8" s="892">
        <v>13.153332152167859</v>
      </c>
      <c r="D8" s="891">
        <v>13963</v>
      </c>
      <c r="E8" s="889">
        <v>6.7621362984773929</v>
      </c>
      <c r="F8" s="891">
        <v>588</v>
      </c>
      <c r="G8" s="889">
        <v>1.5395894428152492</v>
      </c>
      <c r="H8" s="891">
        <v>30352</v>
      </c>
      <c r="I8" s="892">
        <v>18.572320193849205</v>
      </c>
      <c r="J8" s="888">
        <v>17458</v>
      </c>
      <c r="K8" s="892">
        <v>26.450713614738948</v>
      </c>
      <c r="L8" s="890"/>
      <c r="M8" s="890"/>
    </row>
    <row r="9" spans="1:13" s="659" customFormat="1" ht="18.600000000000001" customHeight="1">
      <c r="A9" s="887" t="s">
        <v>1082</v>
      </c>
      <c r="B9" s="888">
        <v>44590</v>
      </c>
      <c r="C9" s="889">
        <v>9.4050300775350753</v>
      </c>
      <c r="D9" s="888">
        <v>25730</v>
      </c>
      <c r="E9" s="889">
        <v>12.460772538840031</v>
      </c>
      <c r="F9" s="888">
        <v>1438</v>
      </c>
      <c r="G9" s="889">
        <v>3.7651864264767494</v>
      </c>
      <c r="H9" s="888">
        <v>12646</v>
      </c>
      <c r="I9" s="889">
        <v>7.7380588156107351</v>
      </c>
      <c r="J9" s="888">
        <v>4776</v>
      </c>
      <c r="K9" s="889">
        <v>7.2361443592618411</v>
      </c>
      <c r="L9" s="890"/>
      <c r="M9" s="890"/>
    </row>
    <row r="10" spans="1:13" s="659" customFormat="1" ht="16.5">
      <c r="A10" s="887" t="s">
        <v>818</v>
      </c>
      <c r="B10" s="891">
        <v>15245</v>
      </c>
      <c r="C10" s="892">
        <v>3.2155120774169599</v>
      </c>
      <c r="D10" s="891">
        <v>2465</v>
      </c>
      <c r="E10" s="889">
        <v>1.1937739723373757</v>
      </c>
      <c r="F10" s="891">
        <v>473</v>
      </c>
      <c r="G10" s="889">
        <v>1.2384792626728112</v>
      </c>
      <c r="H10" s="891">
        <v>9064</v>
      </c>
      <c r="I10" s="892">
        <v>5.5462411121853314</v>
      </c>
      <c r="J10" s="888">
        <v>3243</v>
      </c>
      <c r="K10" s="892">
        <v>4.9134874700766638</v>
      </c>
      <c r="L10" s="890"/>
      <c r="M10" s="890"/>
    </row>
    <row r="11" spans="1:13" s="699" customFormat="1" ht="16.149999999999999" customHeight="1">
      <c r="A11" s="887" t="s">
        <v>1083</v>
      </c>
      <c r="B11" s="888">
        <v>14319</v>
      </c>
      <c r="C11" s="889">
        <v>3.020197929585664</v>
      </c>
      <c r="D11" s="888">
        <v>2429</v>
      </c>
      <c r="E11" s="889">
        <v>1.1763395451551664</v>
      </c>
      <c r="F11" s="888">
        <v>16</v>
      </c>
      <c r="G11" s="889">
        <v>4.1893590280687051E-2</v>
      </c>
      <c r="H11" s="888">
        <v>9972</v>
      </c>
      <c r="I11" s="889">
        <v>6.1018442597873044</v>
      </c>
      <c r="J11" s="888">
        <v>1902</v>
      </c>
      <c r="K11" s="889">
        <v>2.8817308566407078</v>
      </c>
      <c r="L11" s="893"/>
      <c r="M11" s="893"/>
    </row>
    <row r="12" spans="1:13" s="659" customFormat="1" ht="16.5">
      <c r="A12" s="887" t="s">
        <v>1084</v>
      </c>
      <c r="B12" s="888">
        <v>14269</v>
      </c>
      <c r="C12" s="889">
        <v>3.0096518092923978</v>
      </c>
      <c r="D12" s="888">
        <v>3005</v>
      </c>
      <c r="E12" s="889">
        <v>1.4552903800705126</v>
      </c>
      <c r="F12" s="888">
        <v>310</v>
      </c>
      <c r="G12" s="889">
        <v>0.81168831168831157</v>
      </c>
      <c r="H12" s="888">
        <v>9447</v>
      </c>
      <c r="I12" s="889">
        <v>5.7805979464711861</v>
      </c>
      <c r="J12" s="888">
        <v>1507</v>
      </c>
      <c r="K12" s="889">
        <v>2.2832641435108028</v>
      </c>
      <c r="L12" s="890"/>
      <c r="M12" s="890"/>
    </row>
    <row r="13" spans="1:13" s="659" customFormat="1" ht="16.5">
      <c r="A13" s="887" t="s">
        <v>813</v>
      </c>
      <c r="B13" s="888">
        <v>10880</v>
      </c>
      <c r="C13" s="889">
        <v>2.2948357758147933</v>
      </c>
      <c r="D13" s="888">
        <v>4017</v>
      </c>
      <c r="E13" s="889">
        <v>1.9453914997481694</v>
      </c>
      <c r="F13" s="888">
        <v>830</v>
      </c>
      <c r="G13" s="889">
        <v>2.1732299958106411</v>
      </c>
      <c r="H13" s="888">
        <v>4980</v>
      </c>
      <c r="I13" s="889">
        <v>3.0472507434557534</v>
      </c>
      <c r="J13" s="888">
        <v>1053</v>
      </c>
      <c r="K13" s="889">
        <v>1.5954061998121267</v>
      </c>
      <c r="L13" s="890"/>
      <c r="M13" s="890"/>
    </row>
    <row r="14" spans="1:13" s="659" customFormat="1" ht="16.5">
      <c r="A14" s="887" t="s">
        <v>1085</v>
      </c>
      <c r="B14" s="894">
        <v>9002</v>
      </c>
      <c r="C14" s="892">
        <v>1.8987234975997032</v>
      </c>
      <c r="D14" s="894">
        <v>2543</v>
      </c>
      <c r="E14" s="889">
        <v>1.2315485645654953</v>
      </c>
      <c r="F14" s="894">
        <v>14</v>
      </c>
      <c r="G14" s="889">
        <v>3.6656891495601175E-2</v>
      </c>
      <c r="H14" s="894">
        <v>5274</v>
      </c>
      <c r="I14" s="892">
        <v>3.2271486789127799</v>
      </c>
      <c r="J14" s="888">
        <v>1171</v>
      </c>
      <c r="K14" s="892">
        <v>1.774188660949668</v>
      </c>
      <c r="L14" s="890"/>
      <c r="M14" s="890"/>
    </row>
    <row r="15" spans="1:13" s="659" customFormat="1" ht="16.5">
      <c r="A15" s="887" t="s">
        <v>1086</v>
      </c>
      <c r="B15" s="888">
        <v>5350</v>
      </c>
      <c r="C15" s="889">
        <v>1.1284348713795169</v>
      </c>
      <c r="D15" s="888">
        <v>2609</v>
      </c>
      <c r="E15" s="889">
        <v>1.2635116810662121</v>
      </c>
      <c r="F15" s="888">
        <v>539</v>
      </c>
      <c r="G15" s="889">
        <v>1.411290322580645</v>
      </c>
      <c r="H15" s="888">
        <v>1971</v>
      </c>
      <c r="I15" s="889">
        <v>1.2060504448496567</v>
      </c>
      <c r="J15" s="888">
        <v>231</v>
      </c>
      <c r="K15" s="889">
        <v>0.34998939426077996</v>
      </c>
      <c r="L15" s="890"/>
      <c r="M15" s="890"/>
    </row>
    <row r="16" spans="1:13" s="659" customFormat="1" ht="16.5">
      <c r="A16" s="887" t="s">
        <v>822</v>
      </c>
      <c r="B16" s="888">
        <v>5003</v>
      </c>
      <c r="C16" s="889">
        <v>1.0552447965442473</v>
      </c>
      <c r="D16" s="888">
        <v>1823</v>
      </c>
      <c r="E16" s="889">
        <v>0.88286002092131266</v>
      </c>
      <c r="F16" s="888">
        <v>793</v>
      </c>
      <c r="G16" s="889">
        <v>2.0763510682865518</v>
      </c>
      <c r="H16" s="888">
        <v>1362</v>
      </c>
      <c r="I16" s="889">
        <v>0.83340472140295918</v>
      </c>
      <c r="J16" s="888">
        <v>1025</v>
      </c>
      <c r="K16" s="889">
        <v>1.5529832429320325</v>
      </c>
      <c r="L16" s="890"/>
      <c r="M16" s="890"/>
    </row>
    <row r="17" spans="1:13" s="659" customFormat="1" ht="16.5">
      <c r="A17" s="887" t="s">
        <v>1087</v>
      </c>
      <c r="B17" s="888">
        <v>4375</v>
      </c>
      <c r="C17" s="889">
        <v>0.92278552566081984</v>
      </c>
      <c r="D17" s="888">
        <v>635</v>
      </c>
      <c r="E17" s="889">
        <v>0.30752392390841116</v>
      </c>
      <c r="F17" s="888">
        <v>134</v>
      </c>
      <c r="G17" s="889">
        <v>0.35085881860075407</v>
      </c>
      <c r="H17" s="888">
        <v>3389</v>
      </c>
      <c r="I17" s="889">
        <v>2.0737214396730019</v>
      </c>
      <c r="J17" s="888">
        <v>217</v>
      </c>
      <c r="K17" s="889">
        <v>0.32877791582073274</v>
      </c>
      <c r="L17" s="890"/>
      <c r="M17" s="890"/>
    </row>
    <row r="18" spans="1:13" s="659" customFormat="1" ht="16.5">
      <c r="A18" s="887" t="s">
        <v>1088</v>
      </c>
      <c r="B18" s="888">
        <v>4301</v>
      </c>
      <c r="C18" s="889">
        <v>0.90717726762678552</v>
      </c>
      <c r="D18" s="888">
        <v>1717</v>
      </c>
      <c r="E18" s="889">
        <v>0.83152531866258572</v>
      </c>
      <c r="F18" s="888">
        <v>141</v>
      </c>
      <c r="G18" s="889">
        <v>0.36918726434855464</v>
      </c>
      <c r="H18" s="888">
        <v>2015</v>
      </c>
      <c r="I18" s="889">
        <v>1.2329739453942457</v>
      </c>
      <c r="J18" s="888">
        <v>428</v>
      </c>
      <c r="K18" s="889">
        <v>0.64846519802430236</v>
      </c>
      <c r="L18" s="890"/>
      <c r="M18" s="890"/>
    </row>
    <row r="19" spans="1:13" s="659" customFormat="1" ht="16.5">
      <c r="A19" s="887" t="s">
        <v>1042</v>
      </c>
      <c r="B19" s="894">
        <v>3936</v>
      </c>
      <c r="C19" s="892">
        <v>0.83019058948593982</v>
      </c>
      <c r="D19" s="894">
        <v>2044</v>
      </c>
      <c r="E19" s="889">
        <v>0.98988803223431876</v>
      </c>
      <c r="F19" s="894">
        <v>147</v>
      </c>
      <c r="G19" s="889">
        <v>0.38489736070381231</v>
      </c>
      <c r="H19" s="894">
        <v>1431</v>
      </c>
      <c r="I19" s="892">
        <v>0.87562566543879194</v>
      </c>
      <c r="J19" s="888">
        <v>314</v>
      </c>
      <c r="K19" s="892">
        <v>0.4757431592982031</v>
      </c>
      <c r="L19" s="890"/>
      <c r="M19" s="890"/>
    </row>
    <row r="20" spans="1:13" s="659" customFormat="1" ht="16.5">
      <c r="A20" s="887" t="s">
        <v>828</v>
      </c>
      <c r="B20" s="891">
        <v>3793</v>
      </c>
      <c r="C20" s="892">
        <v>0.80002868544719763</v>
      </c>
      <c r="D20" s="891">
        <v>446</v>
      </c>
      <c r="E20" s="889">
        <v>0.21599318120181318</v>
      </c>
      <c r="F20" s="891">
        <v>39</v>
      </c>
      <c r="G20" s="889">
        <v>0.1021156263091747</v>
      </c>
      <c r="H20" s="891">
        <v>2639</v>
      </c>
      <c r="I20" s="892">
        <v>1.6147981349356897</v>
      </c>
      <c r="J20" s="888">
        <v>669</v>
      </c>
      <c r="K20" s="892">
        <v>1.0136056483136875</v>
      </c>
      <c r="L20" s="890"/>
      <c r="M20" s="890"/>
    </row>
    <row r="21" spans="1:13" s="659" customFormat="1" ht="16.5">
      <c r="A21" s="887" t="s">
        <v>1089</v>
      </c>
      <c r="B21" s="891">
        <v>3212</v>
      </c>
      <c r="C21" s="892">
        <v>0.67748276763944082</v>
      </c>
      <c r="D21" s="891">
        <v>357</v>
      </c>
      <c r="E21" s="889">
        <v>0.17289140289024058</v>
      </c>
      <c r="F21" s="891">
        <v>48</v>
      </c>
      <c r="G21" s="889">
        <v>0.12568077084206117</v>
      </c>
      <c r="H21" s="891">
        <v>2272</v>
      </c>
      <c r="I21" s="892">
        <v>1.3902316644842314</v>
      </c>
      <c r="J21" s="888">
        <v>535</v>
      </c>
      <c r="K21" s="892">
        <v>0.81058149753037778</v>
      </c>
      <c r="L21" s="890"/>
      <c r="M21" s="890"/>
    </row>
    <row r="22" spans="1:13" s="659" customFormat="1" ht="16.5">
      <c r="A22" s="887" t="s">
        <v>1090</v>
      </c>
      <c r="B22" s="891">
        <v>2582</v>
      </c>
      <c r="C22" s="892">
        <v>0.54460165194428267</v>
      </c>
      <c r="D22" s="891">
        <v>1666</v>
      </c>
      <c r="E22" s="889">
        <v>0.80682654682112287</v>
      </c>
      <c r="F22" s="891">
        <v>62</v>
      </c>
      <c r="G22" s="889">
        <v>0.16233766233766234</v>
      </c>
      <c r="H22" s="891">
        <v>603</v>
      </c>
      <c r="I22" s="892">
        <v>0.36897433700879906</v>
      </c>
      <c r="J22" s="888">
        <v>251</v>
      </c>
      <c r="K22" s="892">
        <v>0.38029150631799036</v>
      </c>
      <c r="L22" s="890"/>
      <c r="M22" s="890"/>
    </row>
    <row r="23" spans="1:13" s="659" customFormat="1" ht="16.5">
      <c r="A23" s="887" t="s">
        <v>990</v>
      </c>
      <c r="B23" s="891">
        <v>2403</v>
      </c>
      <c r="C23" s="892">
        <v>0.50684654129438855</v>
      </c>
      <c r="D23" s="891">
        <v>800</v>
      </c>
      <c r="E23" s="889">
        <v>0.38743171516020297</v>
      </c>
      <c r="F23" s="891">
        <v>554</v>
      </c>
      <c r="G23" s="889">
        <v>1.4505655634687893</v>
      </c>
      <c r="H23" s="891">
        <v>774</v>
      </c>
      <c r="I23" s="892">
        <v>0.47360885048890633</v>
      </c>
      <c r="J23" s="888">
        <v>275</v>
      </c>
      <c r="K23" s="892">
        <v>0.41665404078664281</v>
      </c>
      <c r="L23" s="890"/>
      <c r="M23" s="890"/>
    </row>
    <row r="24" spans="1:13" s="659" customFormat="1" ht="16.5">
      <c r="A24" s="887" t="s">
        <v>868</v>
      </c>
      <c r="B24" s="888">
        <v>2307</v>
      </c>
      <c r="C24" s="889">
        <v>0.48659799033131695</v>
      </c>
      <c r="D24" s="888">
        <v>1617</v>
      </c>
      <c r="E24" s="889">
        <v>0.78309635426756041</v>
      </c>
      <c r="F24" s="888">
        <v>216</v>
      </c>
      <c r="G24" s="889">
        <v>0.56556346878927533</v>
      </c>
      <c r="H24" s="888">
        <v>351</v>
      </c>
      <c r="I24" s="889">
        <v>0.21477610661706217</v>
      </c>
      <c r="J24" s="888">
        <v>123</v>
      </c>
      <c r="K24" s="889">
        <v>0.1863579891518439</v>
      </c>
      <c r="L24" s="890"/>
      <c r="M24" s="890"/>
    </row>
    <row r="25" spans="1:13" s="699" customFormat="1" ht="16.149999999999999" customHeight="1">
      <c r="A25" s="887" t="s">
        <v>869</v>
      </c>
      <c r="B25" s="894">
        <v>1989</v>
      </c>
      <c r="C25" s="892">
        <v>0.41952466526614185</v>
      </c>
      <c r="D25" s="894">
        <v>379</v>
      </c>
      <c r="E25" s="889">
        <v>0.18354577505714617</v>
      </c>
      <c r="F25" s="894">
        <v>4</v>
      </c>
      <c r="G25" s="889">
        <v>1.0473397570171763E-2</v>
      </c>
      <c r="H25" s="894">
        <v>1389</v>
      </c>
      <c r="I25" s="892">
        <v>0.84992596037350243</v>
      </c>
      <c r="J25" s="888">
        <v>217</v>
      </c>
      <c r="K25" s="892">
        <v>0.32877791582073274</v>
      </c>
      <c r="L25" s="893"/>
      <c r="M25" s="893"/>
    </row>
    <row r="26" spans="1:13" s="659" customFormat="1" ht="16.5">
      <c r="A26" s="887" t="s">
        <v>1091</v>
      </c>
      <c r="B26" s="888">
        <v>1985</v>
      </c>
      <c r="C26" s="889">
        <v>0.41868097564268053</v>
      </c>
      <c r="D26" s="888">
        <v>874</v>
      </c>
      <c r="E26" s="889">
        <v>0.42326914881252176</v>
      </c>
      <c r="F26" s="888">
        <v>111</v>
      </c>
      <c r="G26" s="889">
        <v>0.29063678257226644</v>
      </c>
      <c r="H26" s="888">
        <v>847</v>
      </c>
      <c r="I26" s="889">
        <v>0.51827738548333802</v>
      </c>
      <c r="J26" s="888">
        <v>153</v>
      </c>
      <c r="K26" s="889">
        <v>0.23181115723765947</v>
      </c>
      <c r="L26" s="890"/>
      <c r="M26" s="890"/>
    </row>
    <row r="27" spans="1:13" s="659" customFormat="1" ht="16.5">
      <c r="A27" s="887" t="s">
        <v>871</v>
      </c>
      <c r="B27" s="891">
        <v>1342</v>
      </c>
      <c r="C27" s="892">
        <v>0.28305786867127319</v>
      </c>
      <c r="D27" s="891">
        <v>514</v>
      </c>
      <c r="E27" s="889">
        <v>0.24892487699043042</v>
      </c>
      <c r="F27" s="891">
        <v>13</v>
      </c>
      <c r="G27" s="889">
        <v>3.4038542103058234E-2</v>
      </c>
      <c r="H27" s="891">
        <v>623</v>
      </c>
      <c r="I27" s="892">
        <v>0.38121229180179411</v>
      </c>
      <c r="J27" s="888">
        <v>192</v>
      </c>
      <c r="K27" s="892">
        <v>0.29090027574921973</v>
      </c>
      <c r="L27" s="890"/>
      <c r="M27" s="890"/>
    </row>
    <row r="28" spans="1:13" s="659" customFormat="1" ht="16.5">
      <c r="A28" s="887" t="s">
        <v>1092</v>
      </c>
      <c r="B28" s="891">
        <v>1019</v>
      </c>
      <c r="C28" s="892">
        <v>0.21492993157677154</v>
      </c>
      <c r="D28" s="891">
        <v>419</v>
      </c>
      <c r="E28" s="889">
        <v>0.20291736081515635</v>
      </c>
      <c r="F28" s="891">
        <v>88</v>
      </c>
      <c r="G28" s="889">
        <v>0.2304147465437788</v>
      </c>
      <c r="H28" s="891">
        <v>407</v>
      </c>
      <c r="I28" s="892">
        <v>0.24904238003744814</v>
      </c>
      <c r="J28" s="888">
        <v>105</v>
      </c>
      <c r="K28" s="892">
        <v>0.15908608830035453</v>
      </c>
      <c r="L28" s="890"/>
      <c r="M28" s="890"/>
    </row>
    <row r="29" spans="1:13" s="659" customFormat="1" ht="16.149999999999999" customHeight="1">
      <c r="A29" s="887" t="s">
        <v>873</v>
      </c>
      <c r="B29" s="888">
        <v>864</v>
      </c>
      <c r="C29" s="889">
        <v>0.18223695866764533</v>
      </c>
      <c r="D29" s="888">
        <v>621</v>
      </c>
      <c r="E29" s="889">
        <v>0.30074386889310761</v>
      </c>
      <c r="F29" s="888">
        <v>2</v>
      </c>
      <c r="G29" s="889">
        <v>5.2366987850858814E-3</v>
      </c>
      <c r="H29" s="888">
        <v>188</v>
      </c>
      <c r="I29" s="889">
        <v>0.11503677505415295</v>
      </c>
      <c r="J29" s="888">
        <v>53</v>
      </c>
      <c r="K29" s="889">
        <v>8.0300596951607531E-2</v>
      </c>
      <c r="L29" s="890"/>
      <c r="M29" s="890"/>
    </row>
    <row r="30" spans="1:13" s="659" customFormat="1" ht="16.5">
      <c r="A30" s="887" t="s">
        <v>1093</v>
      </c>
      <c r="B30" s="891">
        <v>513</v>
      </c>
      <c r="C30" s="892">
        <v>0.10820319420891443</v>
      </c>
      <c r="D30" s="891">
        <v>291</v>
      </c>
      <c r="E30" s="889">
        <v>0.14092828638952384</v>
      </c>
      <c r="F30" s="891">
        <v>11</v>
      </c>
      <c r="G30" s="889">
        <v>2.880184331797235E-2</v>
      </c>
      <c r="H30" s="891">
        <v>172</v>
      </c>
      <c r="I30" s="892">
        <v>0.10524641121975695</v>
      </c>
      <c r="J30" s="888">
        <v>39</v>
      </c>
      <c r="K30" s="892">
        <v>5.9089118511560262E-2</v>
      </c>
      <c r="L30" s="890"/>
      <c r="M30" s="890"/>
    </row>
    <row r="31" spans="1:13" s="659" customFormat="1" ht="16.149999999999999" customHeight="1">
      <c r="A31" s="887" t="s">
        <v>983</v>
      </c>
      <c r="B31" s="891">
        <v>412</v>
      </c>
      <c r="C31" s="892">
        <v>8.6900031216516072E-2</v>
      </c>
      <c r="D31" s="891">
        <v>228</v>
      </c>
      <c r="E31" s="889">
        <v>0.11041803882065786</v>
      </c>
      <c r="F31" s="891">
        <v>10</v>
      </c>
      <c r="G31" s="889">
        <v>2.6183493925429409E-2</v>
      </c>
      <c r="H31" s="891">
        <v>158</v>
      </c>
      <c r="I31" s="892">
        <v>9.6679842864660456E-2</v>
      </c>
      <c r="J31" s="888">
        <v>16</v>
      </c>
      <c r="K31" s="892">
        <v>2.4241689645768307E-2</v>
      </c>
      <c r="L31" s="890"/>
      <c r="M31" s="890"/>
    </row>
    <row r="32" spans="1:13" s="659" customFormat="1" ht="16.149999999999999" customHeight="1">
      <c r="A32" s="887" t="s">
        <v>1094</v>
      </c>
      <c r="B32" s="888">
        <v>206</v>
      </c>
      <c r="C32" s="889">
        <v>4.3450015608258036E-2</v>
      </c>
      <c r="D32" s="888">
        <v>42</v>
      </c>
      <c r="E32" s="889">
        <v>2.0340165045910658E-2</v>
      </c>
      <c r="F32" s="888">
        <v>27</v>
      </c>
      <c r="G32" s="889">
        <v>7.0695433598659416E-2</v>
      </c>
      <c r="H32" s="888">
        <v>131</v>
      </c>
      <c r="I32" s="889">
        <v>8.015860389411722E-2</v>
      </c>
      <c r="J32" s="888">
        <v>6</v>
      </c>
      <c r="K32" s="889">
        <v>9.0906336171631165E-3</v>
      </c>
      <c r="L32" s="890"/>
      <c r="M32" s="890"/>
    </row>
    <row r="33" spans="1:13" s="659" customFormat="1" ht="16.5">
      <c r="A33" s="895" t="s">
        <v>434</v>
      </c>
      <c r="B33" s="896">
        <v>29743</v>
      </c>
      <c r="C33" s="897">
        <v>6.2734651176525187</v>
      </c>
      <c r="D33" s="896">
        <v>13547</v>
      </c>
      <c r="E33" s="897">
        <v>6.5606718065940868</v>
      </c>
      <c r="F33" s="896">
        <v>2215</v>
      </c>
      <c r="G33" s="897">
        <v>5.7996439044826138</v>
      </c>
      <c r="H33" s="896">
        <v>10291</v>
      </c>
      <c r="I33" s="897">
        <v>6.2970396387355745</v>
      </c>
      <c r="J33" s="896">
        <v>3690</v>
      </c>
      <c r="K33" s="897">
        <v>5.5907396745553166</v>
      </c>
      <c r="L33" s="890"/>
      <c r="M33" s="890"/>
    </row>
    <row r="34" spans="1:13" s="665" customFormat="1" ht="14.25">
      <c r="A34" s="665" t="s">
        <v>784</v>
      </c>
      <c r="B34" s="898"/>
      <c r="C34" s="899"/>
      <c r="D34" s="898"/>
      <c r="E34" s="899"/>
      <c r="F34" s="898"/>
      <c r="G34" s="899"/>
      <c r="H34" s="898"/>
      <c r="I34" s="899"/>
      <c r="J34" s="898"/>
      <c r="K34" s="899"/>
    </row>
    <row r="35" spans="1:13" s="665" customFormat="1" ht="14.25" customHeight="1">
      <c r="A35" s="900" t="s">
        <v>1095</v>
      </c>
      <c r="B35" s="898"/>
      <c r="C35" s="899"/>
      <c r="D35" s="898"/>
      <c r="E35" s="899"/>
      <c r="F35" s="898"/>
      <c r="G35" s="899"/>
      <c r="H35" s="898"/>
      <c r="I35" s="899"/>
      <c r="J35" s="898"/>
      <c r="K35" s="899"/>
    </row>
    <row r="36" spans="1:13" ht="14.25" customHeight="1">
      <c r="A36" s="731" t="s">
        <v>1049</v>
      </c>
    </row>
  </sheetData>
  <mergeCells count="7">
    <mergeCell ref="A1:K1"/>
    <mergeCell ref="A2:A3"/>
    <mergeCell ref="B2:C2"/>
    <mergeCell ref="D2:E2"/>
    <mergeCell ref="F2:G2"/>
    <mergeCell ref="H2:I2"/>
    <mergeCell ref="J2:K2"/>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53"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U41"/>
  <sheetViews>
    <sheetView showGridLines="0" topLeftCell="A7" zoomScale="80" zoomScaleNormal="80" workbookViewId="0">
      <pane xSplit="1" topLeftCell="B1" activePane="topRight" state="frozen"/>
      <selection pane="topRight" activeCell="L13" sqref="L13"/>
    </sheetView>
  </sheetViews>
  <sheetFormatPr defaultColWidth="9" defaultRowHeight="15.75"/>
  <cols>
    <col min="1" max="1" width="23.375" style="9" customWidth="1"/>
    <col min="2" max="2" width="8.625" style="9" customWidth="1"/>
    <col min="3" max="3" width="10" style="9" customWidth="1"/>
    <col min="4" max="4" width="8.625" style="9" customWidth="1"/>
    <col min="5" max="5" width="9.625" style="9" customWidth="1"/>
    <col min="6" max="6" width="8.625" style="9" customWidth="1"/>
    <col min="7" max="7" width="9.5" style="9" customWidth="1"/>
    <col min="8" max="8" width="9.5" style="9" bestFit="1" customWidth="1"/>
    <col min="9" max="9" width="10" style="9" customWidth="1"/>
    <col min="10" max="10" width="9.5" style="9" bestFit="1" customWidth="1"/>
    <col min="11" max="11" width="10" style="9" customWidth="1"/>
    <col min="12" max="12" width="9.5" style="9" bestFit="1" customWidth="1"/>
    <col min="13" max="13" width="10" style="9" customWidth="1"/>
    <col min="14" max="14" width="9.5" style="9" bestFit="1" customWidth="1"/>
    <col min="15" max="15" width="9.625" style="9" customWidth="1"/>
    <col min="16" max="16" width="9.5" style="9" customWidth="1"/>
    <col min="17" max="17" width="10" style="9" customWidth="1"/>
    <col min="18" max="18" width="9.5" style="9" customWidth="1"/>
    <col min="19" max="19" width="10" style="9" customWidth="1"/>
    <col min="20" max="20" width="9.5" style="9" bestFit="1" customWidth="1"/>
    <col min="21" max="21" width="9.125" style="9" bestFit="1" customWidth="1"/>
    <col min="22" max="16384" width="9" style="9"/>
  </cols>
  <sheetData>
    <row r="1" spans="1:21" ht="20.25">
      <c r="A1" s="2821" t="s">
        <v>125</v>
      </c>
      <c r="B1" s="2821"/>
      <c r="C1" s="2821"/>
      <c r="D1" s="2821"/>
      <c r="E1" s="2821"/>
      <c r="F1" s="2821"/>
      <c r="G1" s="2821"/>
      <c r="H1" s="2821"/>
      <c r="I1" s="2821"/>
      <c r="J1" s="2821"/>
      <c r="K1" s="2821"/>
      <c r="L1" s="2821"/>
      <c r="M1" s="2821"/>
      <c r="N1" s="2821"/>
      <c r="O1" s="2821"/>
      <c r="P1" s="2821"/>
      <c r="Q1" s="2821"/>
      <c r="R1" s="2821"/>
      <c r="S1" s="2821"/>
      <c r="T1" s="2821"/>
      <c r="U1" s="2821"/>
    </row>
    <row r="2" spans="1:21" ht="18.75" customHeight="1">
      <c r="A2" s="108"/>
      <c r="B2" s="6"/>
      <c r="C2" s="6"/>
      <c r="D2" s="6"/>
      <c r="E2" s="6"/>
      <c r="F2" s="6"/>
      <c r="G2" s="6"/>
      <c r="H2" s="6"/>
      <c r="I2" s="6"/>
      <c r="J2" s="6"/>
      <c r="K2" s="43"/>
      <c r="L2" s="43"/>
      <c r="M2" s="43"/>
      <c r="N2" s="43"/>
      <c r="R2" s="298"/>
      <c r="S2" s="2839" t="s">
        <v>126</v>
      </c>
      <c r="T2" s="2839"/>
      <c r="U2" s="2839"/>
    </row>
    <row r="3" spans="1:21" ht="18.75" customHeight="1">
      <c r="A3" s="2844"/>
      <c r="B3" s="2842" t="s">
        <v>127</v>
      </c>
      <c r="C3" s="2842"/>
      <c r="D3" s="2842" t="s">
        <v>128</v>
      </c>
      <c r="E3" s="2842"/>
      <c r="F3" s="2842" t="s">
        <v>129</v>
      </c>
      <c r="G3" s="2842"/>
      <c r="H3" s="2842" t="s">
        <v>130</v>
      </c>
      <c r="I3" s="2843"/>
      <c r="J3" s="2842" t="s">
        <v>131</v>
      </c>
      <c r="K3" s="2843"/>
      <c r="L3" s="2843" t="s">
        <v>132</v>
      </c>
      <c r="M3" s="2845"/>
      <c r="N3" s="2837" t="s">
        <v>112</v>
      </c>
      <c r="O3" s="2813"/>
      <c r="P3" s="2837" t="s">
        <v>113</v>
      </c>
      <c r="Q3" s="2813"/>
      <c r="R3" s="2837" t="s">
        <v>114</v>
      </c>
      <c r="S3" s="2813"/>
      <c r="T3" s="2846" t="s">
        <v>115</v>
      </c>
      <c r="U3" s="2847"/>
    </row>
    <row r="4" spans="1:21" ht="18.75" customHeight="1">
      <c r="A4" s="2844"/>
      <c r="B4" s="254" t="s">
        <v>133</v>
      </c>
      <c r="C4" s="255" t="s">
        <v>134</v>
      </c>
      <c r="D4" s="254" t="s">
        <v>133</v>
      </c>
      <c r="E4" s="255" t="s">
        <v>134</v>
      </c>
      <c r="F4" s="254" t="s">
        <v>133</v>
      </c>
      <c r="G4" s="255" t="s">
        <v>134</v>
      </c>
      <c r="H4" s="254" t="s">
        <v>133</v>
      </c>
      <c r="I4" s="255" t="s">
        <v>134</v>
      </c>
      <c r="J4" s="254" t="s">
        <v>133</v>
      </c>
      <c r="K4" s="255" t="s">
        <v>134</v>
      </c>
      <c r="L4" s="254" t="s">
        <v>133</v>
      </c>
      <c r="M4" s="255" t="s">
        <v>134</v>
      </c>
      <c r="N4" s="254" t="s">
        <v>133</v>
      </c>
      <c r="O4" s="255" t="s">
        <v>134</v>
      </c>
      <c r="P4" s="254" t="s">
        <v>133</v>
      </c>
      <c r="Q4" s="255" t="s">
        <v>134</v>
      </c>
      <c r="R4" s="254" t="s">
        <v>133</v>
      </c>
      <c r="S4" s="255" t="s">
        <v>134</v>
      </c>
      <c r="T4" s="254" t="s">
        <v>133</v>
      </c>
      <c r="U4" s="255" t="s">
        <v>134</v>
      </c>
    </row>
    <row r="5" spans="1:21" ht="20.100000000000001" customHeight="1">
      <c r="A5" s="299" t="s">
        <v>135</v>
      </c>
      <c r="B5" s="257">
        <v>300012</v>
      </c>
      <c r="C5" s="258">
        <v>1296.46</v>
      </c>
      <c r="D5" s="257">
        <v>277102</v>
      </c>
      <c r="E5" s="258">
        <v>1194.74</v>
      </c>
      <c r="F5" s="257">
        <v>248122</v>
      </c>
      <c r="G5" s="258">
        <v>1066.26</v>
      </c>
      <c r="H5" s="257">
        <v>232035</v>
      </c>
      <c r="I5" s="259">
        <v>993.95</v>
      </c>
      <c r="J5" s="260">
        <v>240536</v>
      </c>
      <c r="K5" s="261">
        <v>1027.77</v>
      </c>
      <c r="L5" s="257">
        <v>221049</v>
      </c>
      <c r="M5" s="258">
        <v>942.12</v>
      </c>
      <c r="N5" s="262">
        <v>212046</v>
      </c>
      <c r="O5" s="72">
        <v>901.71</v>
      </c>
      <c r="P5" s="262">
        <v>204763</v>
      </c>
      <c r="Q5" s="72">
        <v>869.28</v>
      </c>
      <c r="R5" s="263">
        <v>198981</v>
      </c>
      <c r="S5" s="264">
        <v>843.85</v>
      </c>
      <c r="T5" s="263">
        <v>191301</v>
      </c>
      <c r="U5" s="264">
        <v>810.73395980463067</v>
      </c>
    </row>
    <row r="6" spans="1:21" ht="20.100000000000001" customHeight="1">
      <c r="A6" s="299" t="s">
        <v>136</v>
      </c>
      <c r="B6" s="11">
        <v>57654</v>
      </c>
      <c r="C6" s="73">
        <v>249.14277496323831</v>
      </c>
      <c r="D6" s="11">
        <v>58046</v>
      </c>
      <c r="E6" s="73">
        <v>250.26819993413676</v>
      </c>
      <c r="F6" s="11">
        <v>58035</v>
      </c>
      <c r="G6" s="73">
        <v>249.3944337018836</v>
      </c>
      <c r="H6" s="11">
        <v>66172</v>
      </c>
      <c r="I6" s="32">
        <v>283.45657238797065</v>
      </c>
      <c r="J6" s="67">
        <v>73098</v>
      </c>
      <c r="K6" s="53">
        <v>312.33609650808518</v>
      </c>
      <c r="L6" s="11">
        <v>71075</v>
      </c>
      <c r="M6" s="73">
        <v>302.92486907050142</v>
      </c>
      <c r="N6" s="67">
        <v>68776</v>
      </c>
      <c r="O6" s="72">
        <v>292.46538890952502</v>
      </c>
      <c r="P6" s="67">
        <v>67148</v>
      </c>
      <c r="Q6" s="72">
        <v>285.06267023078499</v>
      </c>
      <c r="R6" s="200">
        <v>64153</v>
      </c>
      <c r="S6" s="201">
        <v>272.06439231894871</v>
      </c>
      <c r="T6" s="200">
        <v>59876</v>
      </c>
      <c r="U6" s="201">
        <v>253.75</v>
      </c>
    </row>
    <row r="7" spans="1:21" ht="20.100000000000001" customHeight="1">
      <c r="A7" s="299" t="s">
        <v>137</v>
      </c>
      <c r="B7" s="11">
        <v>142774</v>
      </c>
      <c r="C7" s="73">
        <v>616.97558803554637</v>
      </c>
      <c r="D7" s="11">
        <v>116831</v>
      </c>
      <c r="E7" s="73">
        <v>503.72263491894591</v>
      </c>
      <c r="F7" s="11">
        <v>100264</v>
      </c>
      <c r="G7" s="73">
        <v>430.86557251116841</v>
      </c>
      <c r="H7" s="11">
        <v>82496</v>
      </c>
      <c r="I7" s="32">
        <v>353.38259982648287</v>
      </c>
      <c r="J7" s="67">
        <v>76330</v>
      </c>
      <c r="K7" s="53">
        <v>326.14591707655671</v>
      </c>
      <c r="L7" s="11">
        <v>66255</v>
      </c>
      <c r="M7" s="73">
        <v>282.38181076702176</v>
      </c>
      <c r="N7" s="67">
        <v>57606</v>
      </c>
      <c r="O7" s="72">
        <v>244.96570305807398</v>
      </c>
      <c r="P7" s="67">
        <v>52025</v>
      </c>
      <c r="Q7" s="72">
        <v>220.86116367958223</v>
      </c>
      <c r="R7" s="200">
        <v>47591</v>
      </c>
      <c r="S7" s="201">
        <v>201.82713972614047</v>
      </c>
      <c r="T7" s="200">
        <v>42272</v>
      </c>
      <c r="U7" s="201">
        <v>179.15</v>
      </c>
    </row>
    <row r="8" spans="1:21" ht="20.100000000000001" customHeight="1">
      <c r="A8" s="299" t="s">
        <v>138</v>
      </c>
      <c r="B8" s="11">
        <v>28494</v>
      </c>
      <c r="C8" s="73">
        <v>123.13237988348618</v>
      </c>
      <c r="D8" s="11">
        <v>23612</v>
      </c>
      <c r="E8" s="73">
        <v>101.80430584096815</v>
      </c>
      <c r="F8" s="11">
        <v>20421</v>
      </c>
      <c r="G8" s="73">
        <v>87.75538434782743</v>
      </c>
      <c r="H8" s="11">
        <v>18772</v>
      </c>
      <c r="I8" s="32">
        <v>80.412361374402835</v>
      </c>
      <c r="J8" s="67">
        <v>23053</v>
      </c>
      <c r="K8" s="53">
        <v>98.501792563420153</v>
      </c>
      <c r="L8" s="11">
        <v>21172</v>
      </c>
      <c r="M8" s="73">
        <v>90.23602290482809</v>
      </c>
      <c r="N8" s="67">
        <v>23175</v>
      </c>
      <c r="O8" s="72">
        <v>98.550153948735641</v>
      </c>
      <c r="P8" s="67">
        <v>22689</v>
      </c>
      <c r="Q8" s="72">
        <v>96.321363627602906</v>
      </c>
      <c r="R8" s="200">
        <v>23470</v>
      </c>
      <c r="S8" s="201">
        <v>99.533167392416985</v>
      </c>
      <c r="T8" s="200">
        <v>23647</v>
      </c>
      <c r="U8" s="201">
        <v>100.22</v>
      </c>
    </row>
    <row r="9" spans="1:21" ht="20.100000000000001" customHeight="1">
      <c r="A9" s="299" t="s">
        <v>139</v>
      </c>
      <c r="B9" s="11">
        <v>12506</v>
      </c>
      <c r="C9" s="73">
        <v>54.042729796549388</v>
      </c>
      <c r="D9" s="11">
        <v>13439</v>
      </c>
      <c r="E9" s="73">
        <v>57.94291318807263</v>
      </c>
      <c r="F9" s="11">
        <v>12848</v>
      </c>
      <c r="G9" s="73">
        <v>55.211849473624547</v>
      </c>
      <c r="H9" s="11">
        <v>12401</v>
      </c>
      <c r="I9" s="32">
        <v>53.121334615596076</v>
      </c>
      <c r="J9" s="67">
        <v>11501</v>
      </c>
      <c r="K9" s="53">
        <v>49.1419388483883</v>
      </c>
      <c r="L9" s="11">
        <v>11119</v>
      </c>
      <c r="M9" s="73">
        <v>47.389681592612099</v>
      </c>
      <c r="N9" s="67">
        <v>11767</v>
      </c>
      <c r="O9" s="72">
        <v>50.038388846376371</v>
      </c>
      <c r="P9" s="67">
        <v>11676</v>
      </c>
      <c r="Q9" s="72">
        <v>49.56799513931383</v>
      </c>
      <c r="R9" s="200">
        <v>12221</v>
      </c>
      <c r="S9" s="201">
        <v>51.827645449626239</v>
      </c>
      <c r="T9" s="200">
        <v>13193</v>
      </c>
      <c r="U9" s="201">
        <v>55.91</v>
      </c>
    </row>
    <row r="10" spans="1:21" ht="20.100000000000001" customHeight="1">
      <c r="A10" s="299" t="s">
        <v>140</v>
      </c>
      <c r="B10" s="11">
        <v>5053</v>
      </c>
      <c r="C10" s="73">
        <v>21.835751932029751</v>
      </c>
      <c r="D10" s="11">
        <v>5876</v>
      </c>
      <c r="E10" s="73">
        <v>25.334664624831813</v>
      </c>
      <c r="F10" s="11">
        <v>6215</v>
      </c>
      <c r="G10" s="73">
        <v>26.707786774484479</v>
      </c>
      <c r="H10" s="11">
        <v>6161</v>
      </c>
      <c r="I10" s="32">
        <v>26.391463798620066</v>
      </c>
      <c r="J10" s="67">
        <v>5985</v>
      </c>
      <c r="K10" s="53">
        <v>25.572950526702371</v>
      </c>
      <c r="L10" s="11">
        <v>6361</v>
      </c>
      <c r="M10" s="73">
        <v>27.11086951944673</v>
      </c>
      <c r="N10" s="67">
        <v>7136</v>
      </c>
      <c r="O10" s="72">
        <v>30.345367791938617</v>
      </c>
      <c r="P10" s="67">
        <v>7391</v>
      </c>
      <c r="Q10" s="72">
        <v>31.376931489779764</v>
      </c>
      <c r="R10" s="200">
        <v>8206</v>
      </c>
      <c r="S10" s="201">
        <v>34.800561211000158</v>
      </c>
      <c r="T10" s="265">
        <v>8990</v>
      </c>
      <c r="U10" s="266">
        <v>38.1</v>
      </c>
    </row>
    <row r="11" spans="1:21" ht="20.100000000000001" customHeight="1">
      <c r="A11" s="299" t="s">
        <v>141</v>
      </c>
      <c r="B11" s="11">
        <v>3355</v>
      </c>
      <c r="C11" s="73">
        <v>14.498109584793156</v>
      </c>
      <c r="D11" s="11">
        <v>4013</v>
      </c>
      <c r="E11" s="73">
        <v>17.302247981526563</v>
      </c>
      <c r="F11" s="11">
        <v>3938</v>
      </c>
      <c r="G11" s="73">
        <v>16.922810027018482</v>
      </c>
      <c r="H11" s="11">
        <v>4357</v>
      </c>
      <c r="I11" s="32">
        <v>18.663789607302</v>
      </c>
      <c r="J11" s="67">
        <v>4650</v>
      </c>
      <c r="K11" s="53">
        <v>19.868708429267503</v>
      </c>
      <c r="L11" s="11">
        <v>4771</v>
      </c>
      <c r="M11" s="73">
        <v>20.334217650885137</v>
      </c>
      <c r="N11" s="67">
        <v>5333</v>
      </c>
      <c r="O11" s="72">
        <v>22.678229601234399</v>
      </c>
      <c r="P11" s="67">
        <v>6797</v>
      </c>
      <c r="Q11" s="72">
        <v>28.855229784336768</v>
      </c>
      <c r="R11" s="200">
        <v>7611</v>
      </c>
      <c r="S11" s="201">
        <v>32.2772448667953</v>
      </c>
      <c r="T11" s="265">
        <v>8083</v>
      </c>
      <c r="U11" s="266">
        <v>34.26</v>
      </c>
    </row>
    <row r="12" spans="1:21" ht="20.100000000000001" customHeight="1">
      <c r="A12" s="299" t="s">
        <v>142</v>
      </c>
      <c r="B12" s="11">
        <v>7893</v>
      </c>
      <c r="C12" s="73">
        <v>34.108369285476122</v>
      </c>
      <c r="D12" s="11">
        <v>8434</v>
      </c>
      <c r="E12" s="73">
        <v>36.363608142585356</v>
      </c>
      <c r="F12" s="11">
        <v>6894</v>
      </c>
      <c r="G12" s="73">
        <v>29.625660824343679</v>
      </c>
      <c r="H12" s="11">
        <v>6540</v>
      </c>
      <c r="I12" s="32">
        <v>28.014960760099857</v>
      </c>
      <c r="J12" s="67">
        <v>6389</v>
      </c>
      <c r="K12" s="53">
        <v>27.29917809776131</v>
      </c>
      <c r="L12" s="11">
        <v>5671</v>
      </c>
      <c r="M12" s="73">
        <v>24.170058846272436</v>
      </c>
      <c r="N12" s="67">
        <v>6147</v>
      </c>
      <c r="O12" s="72">
        <v>26.139710736693761</v>
      </c>
      <c r="P12" s="67">
        <v>6439</v>
      </c>
      <c r="Q12" s="72">
        <v>27.335416298564731</v>
      </c>
      <c r="R12" s="200">
        <v>7382</v>
      </c>
      <c r="S12" s="201">
        <v>31.306086139361827</v>
      </c>
      <c r="T12" s="200">
        <v>7801</v>
      </c>
      <c r="U12" s="201">
        <v>33.06</v>
      </c>
    </row>
    <row r="13" spans="1:21" ht="20.100000000000001" customHeight="1">
      <c r="A13" s="299" t="s">
        <v>143</v>
      </c>
      <c r="B13" s="11">
        <v>8687</v>
      </c>
      <c r="C13" s="73">
        <v>37.539516531474852</v>
      </c>
      <c r="D13" s="11">
        <v>9313</v>
      </c>
      <c r="E13" s="73">
        <v>40.153460117606997</v>
      </c>
      <c r="F13" s="11">
        <v>7521</v>
      </c>
      <c r="G13" s="73">
        <v>32.320074711327074</v>
      </c>
      <c r="H13" s="11">
        <v>6013</v>
      </c>
      <c r="I13" s="32">
        <v>25.757486093345637</v>
      </c>
      <c r="J13" s="67">
        <v>5932</v>
      </c>
      <c r="K13" s="53">
        <v>25.346489979013942</v>
      </c>
      <c r="L13" s="11">
        <v>5304</v>
      </c>
      <c r="M13" s="73">
        <v>22.605887742673396</v>
      </c>
      <c r="N13" s="67">
        <v>5335</v>
      </c>
      <c r="O13" s="72">
        <v>22.686734468889089</v>
      </c>
      <c r="P13" s="67">
        <v>5298</v>
      </c>
      <c r="Q13" s="72">
        <v>22.491541473799646</v>
      </c>
      <c r="R13" s="200">
        <v>5439</v>
      </c>
      <c r="S13" s="201">
        <v>23.066079993496203</v>
      </c>
      <c r="T13" s="200">
        <v>5403</v>
      </c>
      <c r="U13" s="201">
        <v>22.9</v>
      </c>
    </row>
    <row r="14" spans="1:21" ht="20.100000000000001" customHeight="1">
      <c r="A14" s="299" t="s">
        <v>144</v>
      </c>
      <c r="B14" s="11">
        <v>6155</v>
      </c>
      <c r="C14" s="73">
        <v>26.597873172698023</v>
      </c>
      <c r="D14" s="11">
        <v>6837</v>
      </c>
      <c r="E14" s="73">
        <v>29.47806365554376</v>
      </c>
      <c r="F14" s="11">
        <v>6943</v>
      </c>
      <c r="G14" s="73">
        <v>29.836229054745893</v>
      </c>
      <c r="H14" s="11">
        <v>6417</v>
      </c>
      <c r="I14" s="32">
        <v>27.488073883419084</v>
      </c>
      <c r="J14" s="67">
        <v>6204</v>
      </c>
      <c r="K14" s="53">
        <v>26.508702601113033</v>
      </c>
      <c r="L14" s="11">
        <v>6969</v>
      </c>
      <c r="M14" s="73">
        <v>29.702193634221938</v>
      </c>
      <c r="N14" s="67">
        <v>6798</v>
      </c>
      <c r="O14" s="72">
        <v>28.908045158295785</v>
      </c>
      <c r="P14" s="67">
        <v>6447</v>
      </c>
      <c r="Q14" s="72">
        <v>27.369378611095946</v>
      </c>
      <c r="R14" s="200">
        <v>4542</v>
      </c>
      <c r="S14" s="201">
        <v>19.262021572064672</v>
      </c>
      <c r="T14" s="200">
        <v>4858</v>
      </c>
      <c r="U14" s="201">
        <v>20.59</v>
      </c>
    </row>
    <row r="15" spans="1:21" ht="20.100000000000001" customHeight="1">
      <c r="A15" s="299" t="s">
        <v>146</v>
      </c>
      <c r="B15" s="11">
        <v>1688</v>
      </c>
      <c r="C15" s="73">
        <v>7.2944289058512206</v>
      </c>
      <c r="D15" s="11">
        <v>2258</v>
      </c>
      <c r="E15" s="73">
        <v>9.7354786798621937</v>
      </c>
      <c r="F15" s="11">
        <v>2730</v>
      </c>
      <c r="G15" s="73">
        <v>11.73165855098031</v>
      </c>
      <c r="H15" s="11">
        <v>2733</v>
      </c>
      <c r="I15" s="32">
        <v>11.707169381858243</v>
      </c>
      <c r="J15" s="67">
        <v>2822</v>
      </c>
      <c r="K15" s="53">
        <v>12.057955954278043</v>
      </c>
      <c r="L15" s="11">
        <v>2903</v>
      </c>
      <c r="M15" s="73">
        <v>12.372717480290756</v>
      </c>
      <c r="N15" s="67">
        <v>3091</v>
      </c>
      <c r="O15" s="72">
        <v>13.144272960325431</v>
      </c>
      <c r="P15" s="67">
        <v>2850</v>
      </c>
      <c r="Q15" s="72">
        <v>12.099073839246696</v>
      </c>
      <c r="R15" s="200">
        <v>2867</v>
      </c>
      <c r="S15" s="201">
        <v>12.158567998042585</v>
      </c>
      <c r="T15" s="200">
        <v>3033</v>
      </c>
      <c r="U15" s="201">
        <v>12.85</v>
      </c>
    </row>
    <row r="16" spans="1:21" ht="20.100000000000001" customHeight="1">
      <c r="A16" s="300" t="s">
        <v>145</v>
      </c>
      <c r="B16" s="11">
        <v>3919</v>
      </c>
      <c r="C16" s="73">
        <v>16.935347678928281</v>
      </c>
      <c r="D16" s="11">
        <v>3409</v>
      </c>
      <c r="E16" s="73">
        <v>14.698072107905322</v>
      </c>
      <c r="F16" s="11">
        <v>3314</v>
      </c>
      <c r="G16" s="73">
        <v>14.241288072508699</v>
      </c>
      <c r="H16" s="11">
        <v>3379</v>
      </c>
      <c r="I16" s="32">
        <v>14.474396392718262</v>
      </c>
      <c r="J16" s="67">
        <v>3515</v>
      </c>
      <c r="K16" s="53">
        <v>15.019034436317263</v>
      </c>
      <c r="L16" s="11">
        <v>3406</v>
      </c>
      <c r="M16" s="73">
        <v>14.516525952403013</v>
      </c>
      <c r="N16" s="67">
        <v>3424</v>
      </c>
      <c r="O16" s="72">
        <v>14.560333424831533</v>
      </c>
      <c r="P16" s="67">
        <v>3438</v>
      </c>
      <c r="Q16" s="72">
        <v>14.595303810291277</v>
      </c>
      <c r="R16" s="200">
        <v>3091</v>
      </c>
      <c r="S16" s="201">
        <v>13.10852238644912</v>
      </c>
      <c r="T16" s="265">
        <v>2964</v>
      </c>
      <c r="U16" s="266">
        <v>12.56</v>
      </c>
    </row>
    <row r="17" spans="1:21" ht="20.100000000000001" customHeight="1">
      <c r="A17" s="299" t="s">
        <v>147</v>
      </c>
      <c r="B17" s="11">
        <v>3851</v>
      </c>
      <c r="C17" s="73">
        <v>16.641496277507731</v>
      </c>
      <c r="D17" s="11">
        <v>8587</v>
      </c>
      <c r="E17" s="73">
        <v>37.02327520990994</v>
      </c>
      <c r="F17" s="11">
        <v>4387</v>
      </c>
      <c r="G17" s="73">
        <v>18.852302587234657</v>
      </c>
      <c r="H17" s="11">
        <v>3115</v>
      </c>
      <c r="I17" s="32">
        <v>13.343517242769275</v>
      </c>
      <c r="J17" s="67">
        <v>7843</v>
      </c>
      <c r="K17" s="53">
        <v>33.511888217364522</v>
      </c>
      <c r="L17" s="11">
        <v>2959</v>
      </c>
      <c r="M17" s="73">
        <v>12.611392016596744</v>
      </c>
      <c r="N17" s="67">
        <v>2472</v>
      </c>
      <c r="O17" s="72">
        <v>10.512016421198467</v>
      </c>
      <c r="P17" s="67">
        <v>2196</v>
      </c>
      <c r="Q17" s="72">
        <v>9.3226547898195591</v>
      </c>
      <c r="R17" s="200">
        <v>1928</v>
      </c>
      <c r="S17" s="201">
        <v>8.176393128784829</v>
      </c>
      <c r="T17" s="200">
        <v>1847</v>
      </c>
      <c r="U17" s="201">
        <v>7.83</v>
      </c>
    </row>
    <row r="18" spans="1:21" ht="16.5">
      <c r="A18" s="299" t="s">
        <v>148</v>
      </c>
      <c r="B18" s="11">
        <v>857</v>
      </c>
      <c r="C18" s="73">
        <v>3.7033919267265976</v>
      </c>
      <c r="D18" s="11">
        <v>1083</v>
      </c>
      <c r="E18" s="73">
        <v>4.6694080647877572</v>
      </c>
      <c r="F18" s="11">
        <v>1231</v>
      </c>
      <c r="G18" s="73">
        <v>5.2899896250024758</v>
      </c>
      <c r="H18" s="11">
        <v>1132</v>
      </c>
      <c r="I18" s="32">
        <v>4.8490727187206488</v>
      </c>
      <c r="J18" s="67">
        <v>1029</v>
      </c>
      <c r="K18" s="53">
        <v>4.3967528975733901</v>
      </c>
      <c r="L18" s="11">
        <v>1287</v>
      </c>
      <c r="M18" s="73">
        <v>5.4852521728545742</v>
      </c>
      <c r="N18" s="67">
        <v>1474</v>
      </c>
      <c r="O18" s="72">
        <v>6.2680874615075002</v>
      </c>
      <c r="P18" s="67">
        <v>1573</v>
      </c>
      <c r="Q18" s="72">
        <v>6.6778397014508961</v>
      </c>
      <c r="R18" s="200">
        <v>1622</v>
      </c>
      <c r="S18" s="201">
        <v>6.8786875803366136</v>
      </c>
      <c r="T18" s="200">
        <v>1572</v>
      </c>
      <c r="U18" s="201">
        <v>6.66</v>
      </c>
    </row>
    <row r="19" spans="1:21" ht="20.100000000000001" customHeight="1">
      <c r="A19" s="299" t="s">
        <v>149</v>
      </c>
      <c r="B19" s="11">
        <v>2462</v>
      </c>
      <c r="C19" s="73">
        <v>10.63914926907921</v>
      </c>
      <c r="D19" s="11">
        <v>2215</v>
      </c>
      <c r="E19" s="73">
        <v>9.5500820530977659</v>
      </c>
      <c r="F19" s="11">
        <v>1986</v>
      </c>
      <c r="G19" s="73">
        <v>8.5344592975263343</v>
      </c>
      <c r="H19" s="11">
        <v>2092</v>
      </c>
      <c r="I19" s="32">
        <v>8.961360536716958</v>
      </c>
      <c r="J19" s="67">
        <v>1845</v>
      </c>
      <c r="K19" s="53">
        <v>7.8833907638706551</v>
      </c>
      <c r="L19" s="11">
        <v>2220</v>
      </c>
      <c r="M19" s="73">
        <v>9.4617403447841131</v>
      </c>
      <c r="N19" s="67">
        <v>1622</v>
      </c>
      <c r="O19" s="72">
        <v>6.8974476679546575</v>
      </c>
      <c r="P19" s="67">
        <v>1537</v>
      </c>
      <c r="Q19" s="72">
        <v>6.5250092950604106</v>
      </c>
      <c r="R19" s="200">
        <v>1540</v>
      </c>
      <c r="S19" s="201">
        <v>6.5309364202949354</v>
      </c>
      <c r="T19" s="200">
        <v>1218</v>
      </c>
      <c r="U19" s="201">
        <v>5.16</v>
      </c>
    </row>
    <row r="20" spans="1:21" ht="20.100000000000001" customHeight="1">
      <c r="A20" s="299" t="s">
        <v>150</v>
      </c>
      <c r="B20" s="11">
        <v>406</v>
      </c>
      <c r="C20" s="73">
        <v>1.7544657202462062</v>
      </c>
      <c r="D20" s="11">
        <v>464</v>
      </c>
      <c r="E20" s="73">
        <v>2.0005589492719476</v>
      </c>
      <c r="F20" s="11">
        <v>515</v>
      </c>
      <c r="G20" s="73">
        <v>2.2131150746354797</v>
      </c>
      <c r="H20" s="11">
        <v>762</v>
      </c>
      <c r="I20" s="32">
        <v>3.2641284555345704</v>
      </c>
      <c r="J20" s="67">
        <v>760</v>
      </c>
      <c r="K20" s="53">
        <v>3.2473587970415707</v>
      </c>
      <c r="L20" s="11">
        <v>653</v>
      </c>
      <c r="M20" s="73">
        <v>2.7831155751394641</v>
      </c>
      <c r="N20" s="67">
        <v>819</v>
      </c>
      <c r="O20" s="72">
        <v>3.4827433045960943</v>
      </c>
      <c r="P20" s="67">
        <v>934</v>
      </c>
      <c r="Q20" s="72">
        <v>3.9650999880197939</v>
      </c>
      <c r="R20" s="200">
        <v>1115</v>
      </c>
      <c r="S20" s="201">
        <v>4.7285676030057484</v>
      </c>
      <c r="T20" s="200">
        <v>995</v>
      </c>
      <c r="U20" s="201">
        <v>4.22</v>
      </c>
    </row>
    <row r="21" spans="1:21" ht="20.100000000000001" customHeight="1">
      <c r="A21" s="299" t="s">
        <v>152</v>
      </c>
      <c r="B21" s="11">
        <v>287</v>
      </c>
      <c r="C21" s="73">
        <v>1.2402257677602491</v>
      </c>
      <c r="D21" s="11">
        <v>356</v>
      </c>
      <c r="E21" s="73">
        <v>1.5349116076310629</v>
      </c>
      <c r="F21" s="11">
        <v>375</v>
      </c>
      <c r="G21" s="73">
        <v>1.6114915592005918</v>
      </c>
      <c r="H21" s="11">
        <v>358</v>
      </c>
      <c r="I21" s="32">
        <v>1.5335406654611239</v>
      </c>
      <c r="J21" s="67">
        <v>446</v>
      </c>
      <c r="K21" s="53">
        <v>1.9056868730007113</v>
      </c>
      <c r="L21" s="11">
        <v>531</v>
      </c>
      <c r="M21" s="73">
        <v>2.2631460013875513</v>
      </c>
      <c r="N21" s="67">
        <v>532</v>
      </c>
      <c r="O21" s="72">
        <v>2.2622947961478905</v>
      </c>
      <c r="P21" s="67">
        <v>570</v>
      </c>
      <c r="Q21" s="72">
        <v>2.4198147678493389</v>
      </c>
      <c r="R21" s="200">
        <v>660</v>
      </c>
      <c r="S21" s="201">
        <v>2.7989727515549725</v>
      </c>
      <c r="T21" s="200">
        <v>725</v>
      </c>
      <c r="U21" s="201">
        <v>3.07</v>
      </c>
    </row>
    <row r="22" spans="1:21" ht="20.100000000000001" customHeight="1">
      <c r="A22" s="299" t="s">
        <v>155</v>
      </c>
      <c r="B22" s="11">
        <v>2942</v>
      </c>
      <c r="C22" s="73">
        <v>12.713394455577188</v>
      </c>
      <c r="D22" s="11">
        <v>2604</v>
      </c>
      <c r="E22" s="73">
        <v>11.227274792896877</v>
      </c>
      <c r="F22" s="11">
        <v>2216</v>
      </c>
      <c r="G22" s="73">
        <v>9.5228407871693648</v>
      </c>
      <c r="H22" s="11">
        <v>2038</v>
      </c>
      <c r="I22" s="32">
        <v>8.7300443469546654</v>
      </c>
      <c r="J22" s="67">
        <v>1771</v>
      </c>
      <c r="K22" s="53">
        <v>7.5672005652113441</v>
      </c>
      <c r="L22" s="11">
        <v>1909</v>
      </c>
      <c r="M22" s="73">
        <v>8.1362444608594764</v>
      </c>
      <c r="N22" s="67">
        <v>1347</v>
      </c>
      <c r="O22" s="72">
        <v>5.7280283654346018</v>
      </c>
      <c r="P22" s="67">
        <v>857</v>
      </c>
      <c r="Q22" s="72">
        <v>3.6382127299068134</v>
      </c>
      <c r="R22" s="200">
        <v>473</v>
      </c>
      <c r="S22" s="201">
        <v>2.0059304719477304</v>
      </c>
      <c r="T22" s="200">
        <v>669</v>
      </c>
      <c r="U22" s="201">
        <v>2.84</v>
      </c>
    </row>
    <row r="23" spans="1:21" ht="20.100000000000001" customHeight="1">
      <c r="A23" s="299" t="s">
        <v>153</v>
      </c>
      <c r="B23" s="11">
        <v>564</v>
      </c>
      <c r="C23" s="73">
        <v>2.4372380941351239</v>
      </c>
      <c r="D23" s="11">
        <v>638</v>
      </c>
      <c r="E23" s="73">
        <v>2.7507685552489276</v>
      </c>
      <c r="F23" s="11">
        <v>686</v>
      </c>
      <c r="G23" s="73">
        <v>2.9479552256309494</v>
      </c>
      <c r="H23" s="11">
        <v>654</v>
      </c>
      <c r="I23" s="32">
        <v>2.8014960760099856</v>
      </c>
      <c r="J23" s="67">
        <v>634</v>
      </c>
      <c r="K23" s="53">
        <v>2.7089808912162576</v>
      </c>
      <c r="L23" s="11">
        <v>647</v>
      </c>
      <c r="M23" s="73">
        <v>2.7575432446285233</v>
      </c>
      <c r="N23" s="67">
        <v>622</v>
      </c>
      <c r="O23" s="72">
        <v>2.6450138406089994</v>
      </c>
      <c r="P23" s="67">
        <v>591</v>
      </c>
      <c r="Q23" s="72">
        <v>2.5089658382437885</v>
      </c>
      <c r="R23" s="200">
        <v>616</v>
      </c>
      <c r="S23" s="201">
        <v>2.6123745681179744</v>
      </c>
      <c r="T23" s="200">
        <v>649</v>
      </c>
      <c r="U23" s="201">
        <v>2.75</v>
      </c>
    </row>
    <row r="24" spans="1:21" ht="20.100000000000001" customHeight="1">
      <c r="A24" s="299" t="s">
        <v>151</v>
      </c>
      <c r="B24" s="11">
        <v>1903</v>
      </c>
      <c r="C24" s="73">
        <v>8.2235178956367729</v>
      </c>
      <c r="D24" s="11">
        <v>1735</v>
      </c>
      <c r="E24" s="73">
        <v>7.480538312471614</v>
      </c>
      <c r="F24" s="11">
        <v>1188</v>
      </c>
      <c r="G24" s="73">
        <v>5.1052052595474757</v>
      </c>
      <c r="H24" s="11">
        <v>1138</v>
      </c>
      <c r="I24" s="32">
        <v>4.8747745175831252</v>
      </c>
      <c r="J24" s="67">
        <v>995</v>
      </c>
      <c r="K24" s="53">
        <v>4.2514763198110037</v>
      </c>
      <c r="L24" s="11">
        <v>1126</v>
      </c>
      <c r="M24" s="73">
        <v>4.7990629978668249</v>
      </c>
      <c r="N24" s="67">
        <v>885</v>
      </c>
      <c r="O24" s="72">
        <v>3.7634039372009078</v>
      </c>
      <c r="P24" s="67">
        <v>806</v>
      </c>
      <c r="Q24" s="72">
        <v>3.4217029875202933</v>
      </c>
      <c r="R24" s="200">
        <v>685</v>
      </c>
      <c r="S24" s="201">
        <v>2.9049944466896305</v>
      </c>
      <c r="T24" s="200">
        <v>575</v>
      </c>
      <c r="U24" s="201">
        <v>2.44</v>
      </c>
    </row>
    <row r="25" spans="1:21" ht="20.100000000000001" customHeight="1">
      <c r="A25" s="299" t="s">
        <v>154</v>
      </c>
      <c r="B25" s="11">
        <v>718</v>
      </c>
      <c r="C25" s="73">
        <v>3.1027250914698916</v>
      </c>
      <c r="D25" s="11">
        <v>700</v>
      </c>
      <c r="E25" s="73">
        <v>3.0180846217464725</v>
      </c>
      <c r="F25" s="11">
        <v>749</v>
      </c>
      <c r="G25" s="73">
        <v>3.2186858075766489</v>
      </c>
      <c r="H25" s="11">
        <v>747</v>
      </c>
      <c r="I25" s="32">
        <v>3.1998739583783782</v>
      </c>
      <c r="J25" s="67">
        <v>916</v>
      </c>
      <c r="K25" s="53">
        <v>3.913921918539577</v>
      </c>
      <c r="L25" s="11">
        <v>741</v>
      </c>
      <c r="M25" s="73">
        <v>3.1581754934617243</v>
      </c>
      <c r="N25" s="67">
        <v>684</v>
      </c>
      <c r="O25" s="72">
        <v>2.9086647379044304</v>
      </c>
      <c r="P25" s="67">
        <v>634</v>
      </c>
      <c r="Q25" s="72">
        <v>2.6915132680990896</v>
      </c>
      <c r="R25" s="200">
        <v>595</v>
      </c>
      <c r="S25" s="201">
        <v>2.5233163442048614</v>
      </c>
      <c r="T25" s="200">
        <v>559</v>
      </c>
      <c r="U25" s="201">
        <v>2.37</v>
      </c>
    </row>
    <row r="26" spans="1:21" ht="20.100000000000001" customHeight="1">
      <c r="A26" s="299" t="s">
        <v>156</v>
      </c>
      <c r="B26" s="11">
        <v>561</v>
      </c>
      <c r="C26" s="73">
        <v>2.4242740617195109</v>
      </c>
      <c r="D26" s="11">
        <v>525</v>
      </c>
      <c r="E26" s="73">
        <v>2.2635634663098543</v>
      </c>
      <c r="F26" s="11">
        <v>473</v>
      </c>
      <c r="G26" s="73">
        <v>2.0326280200050131</v>
      </c>
      <c r="H26" s="11">
        <v>515</v>
      </c>
      <c r="I26" s="32">
        <v>2.2060710690292704</v>
      </c>
      <c r="J26" s="67">
        <v>432</v>
      </c>
      <c r="K26" s="53">
        <v>1.8458671056867875</v>
      </c>
      <c r="L26" s="11">
        <v>474</v>
      </c>
      <c r="M26" s="73">
        <v>2.0202094249674185</v>
      </c>
      <c r="N26" s="67">
        <v>461</v>
      </c>
      <c r="O26" s="205">
        <v>1.9603719944063485</v>
      </c>
      <c r="P26" s="67">
        <v>457</v>
      </c>
      <c r="Q26" s="205">
        <v>1.9400971033458736</v>
      </c>
      <c r="R26" s="200">
        <v>459</v>
      </c>
      <c r="S26" s="201">
        <v>1.9465583226723218</v>
      </c>
      <c r="T26" s="200">
        <v>446</v>
      </c>
      <c r="U26" s="201">
        <v>1.89</v>
      </c>
    </row>
    <row r="27" spans="1:21" ht="20.100000000000001" customHeight="1">
      <c r="A27" s="299" t="s">
        <v>157</v>
      </c>
      <c r="B27" s="11">
        <v>743</v>
      </c>
      <c r="C27" s="73">
        <v>3.2107586949333276</v>
      </c>
      <c r="D27" s="11">
        <v>686</v>
      </c>
      <c r="E27" s="73">
        <v>2.9577229293115432</v>
      </c>
      <c r="F27" s="11">
        <v>624</v>
      </c>
      <c r="G27" s="73">
        <v>2.681521954509785</v>
      </c>
      <c r="H27" s="11">
        <v>469</v>
      </c>
      <c r="I27" s="32">
        <v>2.0090239444169469</v>
      </c>
      <c r="J27" s="67">
        <v>474</v>
      </c>
      <c r="K27" s="53">
        <v>2.0253264076285586</v>
      </c>
      <c r="L27" s="11">
        <v>442</v>
      </c>
      <c r="M27" s="73">
        <v>1.8838240187008319</v>
      </c>
      <c r="N27" s="67">
        <v>405</v>
      </c>
      <c r="O27" s="72">
        <v>1.7222357000749917</v>
      </c>
      <c r="P27" s="67">
        <v>399</v>
      </c>
      <c r="Q27" s="72">
        <v>1.6938703374945374</v>
      </c>
      <c r="R27" s="200">
        <v>323</v>
      </c>
      <c r="S27" s="201">
        <v>1.3698003011397819</v>
      </c>
      <c r="T27" s="200">
        <v>302</v>
      </c>
      <c r="U27" s="201">
        <v>1.28</v>
      </c>
    </row>
    <row r="28" spans="1:21" ht="20.100000000000001" customHeight="1">
      <c r="A28" s="299" t="s">
        <v>158</v>
      </c>
      <c r="B28" s="11">
        <v>52</v>
      </c>
      <c r="C28" s="73">
        <v>0.22470989520394757</v>
      </c>
      <c r="D28" s="11">
        <v>39</v>
      </c>
      <c r="E28" s="73">
        <v>0.1681504289258749</v>
      </c>
      <c r="F28" s="11">
        <v>43</v>
      </c>
      <c r="G28" s="73">
        <v>0.18478436545500121</v>
      </c>
      <c r="H28" s="11">
        <v>33</v>
      </c>
      <c r="I28" s="32">
        <v>0.14135989374362315</v>
      </c>
      <c r="J28" s="67">
        <v>137</v>
      </c>
      <c r="K28" s="53">
        <v>0.5853791515719674</v>
      </c>
      <c r="L28" s="11">
        <v>117</v>
      </c>
      <c r="M28" s="73">
        <v>0.49865928844132484</v>
      </c>
      <c r="N28" s="67">
        <v>92</v>
      </c>
      <c r="O28" s="72">
        <v>0.3912239121158006</v>
      </c>
      <c r="P28" s="67">
        <v>201</v>
      </c>
      <c r="Q28" s="72">
        <v>0.85330310234687223</v>
      </c>
      <c r="R28" s="200">
        <v>249</v>
      </c>
      <c r="S28" s="201">
        <v>1.0559760835411942</v>
      </c>
      <c r="T28" s="200">
        <v>249</v>
      </c>
      <c r="U28" s="201">
        <v>1.0559760835411942</v>
      </c>
    </row>
    <row r="29" spans="1:21" ht="20.100000000000001" customHeight="1">
      <c r="A29" s="299" t="s">
        <v>159</v>
      </c>
      <c r="B29" s="11">
        <v>1558</v>
      </c>
      <c r="C29" s="73">
        <v>6.7326541678413516</v>
      </c>
      <c r="D29" s="11">
        <v>1351</v>
      </c>
      <c r="E29" s="73">
        <v>5.8249033199706917</v>
      </c>
      <c r="F29" s="11">
        <v>1179</v>
      </c>
      <c r="G29" s="73">
        <v>5.0665294621266614</v>
      </c>
      <c r="H29" s="11">
        <v>854</v>
      </c>
      <c r="I29" s="32">
        <v>3.6582227047592171</v>
      </c>
      <c r="J29" s="67">
        <v>813</v>
      </c>
      <c r="K29" s="53">
        <v>3.4738193447299963</v>
      </c>
      <c r="L29" s="11">
        <v>629</v>
      </c>
      <c r="M29" s="73">
        <v>2.6808264881511836</v>
      </c>
      <c r="N29" s="67">
        <v>473</v>
      </c>
      <c r="O29" s="72">
        <v>2.0114012003344963</v>
      </c>
      <c r="P29" s="67">
        <v>302</v>
      </c>
      <c r="Q29" s="72">
        <v>1.2820772980535093</v>
      </c>
      <c r="R29" s="200">
        <v>228</v>
      </c>
      <c r="S29" s="201">
        <v>0.96691785962808141</v>
      </c>
      <c r="T29" s="200">
        <v>194</v>
      </c>
      <c r="U29" s="201">
        <v>0.82</v>
      </c>
    </row>
    <row r="30" spans="1:21" ht="20.100000000000001" customHeight="1">
      <c r="A30" s="299" t="s">
        <v>160</v>
      </c>
      <c r="B30" s="11">
        <v>871</v>
      </c>
      <c r="C30" s="73">
        <v>3.7638907446661216</v>
      </c>
      <c r="D30" s="11">
        <v>651</v>
      </c>
      <c r="E30" s="73">
        <v>2.8068186982242191</v>
      </c>
      <c r="F30" s="11">
        <v>564</v>
      </c>
      <c r="G30" s="73">
        <v>2.4236833050376902</v>
      </c>
      <c r="H30" s="11">
        <v>465</v>
      </c>
      <c r="I30" s="32">
        <v>1.9918894118419623</v>
      </c>
      <c r="J30" s="67">
        <v>388</v>
      </c>
      <c r="K30" s="53">
        <v>1.6578621227001704</v>
      </c>
      <c r="L30" s="11">
        <v>381</v>
      </c>
      <c r="M30" s="73">
        <v>1.6238392559389521</v>
      </c>
      <c r="N30" s="67">
        <v>320</v>
      </c>
      <c r="O30" s="72">
        <v>1.3607788247506105</v>
      </c>
      <c r="P30" s="67">
        <v>289</v>
      </c>
      <c r="Q30" s="72">
        <v>1.2268885401902789</v>
      </c>
      <c r="R30" s="200">
        <v>207</v>
      </c>
      <c r="S30" s="201">
        <v>0.87785963571496872</v>
      </c>
      <c r="T30" s="200">
        <v>192</v>
      </c>
      <c r="U30" s="201">
        <v>0.81</v>
      </c>
    </row>
    <row r="31" spans="1:21" ht="20.100000000000001" customHeight="1">
      <c r="A31" s="299" t="s">
        <v>163</v>
      </c>
      <c r="B31" s="11">
        <v>401</v>
      </c>
      <c r="C31" s="73">
        <v>1.7328589995535186</v>
      </c>
      <c r="D31" s="11">
        <v>449</v>
      </c>
      <c r="E31" s="73">
        <v>1.9358857073773803</v>
      </c>
      <c r="F31" s="11">
        <v>336</v>
      </c>
      <c r="G31" s="73">
        <v>1.4438964370437304</v>
      </c>
      <c r="H31" s="11">
        <v>165</v>
      </c>
      <c r="I31" s="32">
        <v>0.70679946871811572</v>
      </c>
      <c r="J31" s="67">
        <v>137</v>
      </c>
      <c r="K31" s="53">
        <v>0.5853791515719674</v>
      </c>
      <c r="L31" s="11">
        <v>116</v>
      </c>
      <c r="M31" s="73">
        <v>0.49439725377668886</v>
      </c>
      <c r="N31" s="67">
        <v>78</v>
      </c>
      <c r="O31" s="72">
        <v>0.33168983853296136</v>
      </c>
      <c r="P31" s="67">
        <v>201</v>
      </c>
      <c r="Q31" s="72">
        <v>0.85330310234687223</v>
      </c>
      <c r="R31" s="200">
        <v>168</v>
      </c>
      <c r="S31" s="201">
        <v>0.71246579130490206</v>
      </c>
      <c r="T31" s="200">
        <v>150</v>
      </c>
      <c r="U31" s="201">
        <v>0.64</v>
      </c>
    </row>
    <row r="32" spans="1:21" ht="20.100000000000001" customHeight="1">
      <c r="A32" s="299" t="s">
        <v>161</v>
      </c>
      <c r="B32" s="11">
        <v>1686</v>
      </c>
      <c r="C32" s="73">
        <v>7.2857862175741452</v>
      </c>
      <c r="D32" s="11">
        <v>1010</v>
      </c>
      <c r="E32" s="73">
        <v>4.3546649542341953</v>
      </c>
      <c r="F32" s="11">
        <v>711</v>
      </c>
      <c r="G32" s="73">
        <v>3.0553879962443222</v>
      </c>
      <c r="H32" s="11">
        <v>536</v>
      </c>
      <c r="I32" s="32">
        <v>2.2960273650479395</v>
      </c>
      <c r="J32" s="67">
        <v>447</v>
      </c>
      <c r="K32" s="53">
        <v>1.9099597135231341</v>
      </c>
      <c r="L32" s="11">
        <v>359</v>
      </c>
      <c r="M32" s="73">
        <v>1.5300742595330286</v>
      </c>
      <c r="N32" s="67">
        <v>323</v>
      </c>
      <c r="O32" s="72">
        <v>1.3735361262326478</v>
      </c>
      <c r="P32" s="67">
        <v>234</v>
      </c>
      <c r="Q32" s="72">
        <v>0.9933976415381498</v>
      </c>
      <c r="R32" s="200">
        <v>192</v>
      </c>
      <c r="S32" s="201">
        <v>0.8142466186341738</v>
      </c>
      <c r="T32" s="200">
        <v>137</v>
      </c>
      <c r="U32" s="201">
        <v>0.57999999999999996</v>
      </c>
    </row>
    <row r="33" spans="1:21" ht="20.100000000000001" customHeight="1">
      <c r="A33" s="299" t="s">
        <v>162</v>
      </c>
      <c r="B33" s="11">
        <v>1223</v>
      </c>
      <c r="C33" s="73">
        <v>5.2850038814313054</v>
      </c>
      <c r="D33" s="11">
        <v>1387</v>
      </c>
      <c r="E33" s="73">
        <v>5.9801191005176531</v>
      </c>
      <c r="F33" s="11">
        <v>1133</v>
      </c>
      <c r="G33" s="73">
        <v>4.8688531641980557</v>
      </c>
      <c r="H33" s="11">
        <v>1023</v>
      </c>
      <c r="I33" s="32">
        <v>4.3821567060523172</v>
      </c>
      <c r="J33" s="67">
        <v>1111</v>
      </c>
      <c r="K33" s="53">
        <v>4.7471258204120854</v>
      </c>
      <c r="L33" s="11">
        <v>666</v>
      </c>
      <c r="M33" s="73">
        <v>2.8385221639247828</v>
      </c>
      <c r="N33" s="67">
        <v>295</v>
      </c>
      <c r="O33" s="72">
        <v>1.2544679790669693</v>
      </c>
      <c r="P33" s="67">
        <v>246</v>
      </c>
      <c r="Q33" s="72">
        <v>1.0443411103349778</v>
      </c>
      <c r="R33" s="200">
        <v>173</v>
      </c>
      <c r="S33" s="201">
        <v>0.7336701303318337</v>
      </c>
      <c r="T33" s="200">
        <v>115</v>
      </c>
      <c r="U33" s="201">
        <v>0.49</v>
      </c>
    </row>
    <row r="34" spans="1:21" ht="20.100000000000001" customHeight="1">
      <c r="A34" s="299" t="s">
        <v>164</v>
      </c>
      <c r="B34" s="11">
        <v>154</v>
      </c>
      <c r="C34" s="73">
        <v>0.66548699733476779</v>
      </c>
      <c r="D34" s="11">
        <v>127</v>
      </c>
      <c r="E34" s="73">
        <v>0.54756678137400294</v>
      </c>
      <c r="F34" s="11">
        <v>146</v>
      </c>
      <c r="G34" s="73">
        <v>0.62740738038209709</v>
      </c>
      <c r="H34" s="11">
        <v>149</v>
      </c>
      <c r="I34" s="32">
        <v>0.63826133841817723</v>
      </c>
      <c r="J34" s="67">
        <v>124</v>
      </c>
      <c r="K34" s="53">
        <v>0.52983222478046688</v>
      </c>
      <c r="L34" s="11">
        <v>137</v>
      </c>
      <c r="M34" s="73">
        <v>0.58390019244838898</v>
      </c>
      <c r="N34" s="67">
        <v>115</v>
      </c>
      <c r="O34" s="72">
        <v>0.48902989014475073</v>
      </c>
      <c r="P34" s="67">
        <v>104</v>
      </c>
      <c r="Q34" s="72">
        <v>0.44151006290584432</v>
      </c>
      <c r="R34" s="200">
        <v>114</v>
      </c>
      <c r="S34" s="201">
        <v>0.48345892981404071</v>
      </c>
      <c r="T34" s="200">
        <v>100</v>
      </c>
      <c r="U34" s="201">
        <v>0.42</v>
      </c>
    </row>
    <row r="35" spans="1:21" ht="20.100000000000001" customHeight="1">
      <c r="A35" s="299" t="s">
        <v>165</v>
      </c>
      <c r="B35" s="11">
        <v>25</v>
      </c>
      <c r="C35" s="73">
        <v>0.10803360346343632</v>
      </c>
      <c r="D35" s="11">
        <v>28</v>
      </c>
      <c r="E35" s="73">
        <v>0.1207233848698589</v>
      </c>
      <c r="F35" s="11">
        <v>35</v>
      </c>
      <c r="G35" s="73">
        <v>0.15040587885872192</v>
      </c>
      <c r="H35" s="11">
        <v>28</v>
      </c>
      <c r="I35" s="32">
        <v>0.11994172802489236</v>
      </c>
      <c r="J35" s="67">
        <v>25</v>
      </c>
      <c r="K35" s="53">
        <v>0.10682101306057798</v>
      </c>
      <c r="L35" s="11">
        <v>22</v>
      </c>
      <c r="M35" s="73">
        <v>9.3764996405923756E-2</v>
      </c>
      <c r="N35" s="67">
        <v>23</v>
      </c>
      <c r="O35" s="205">
        <v>9.780597802895015E-2</v>
      </c>
      <c r="P35" s="67">
        <v>33</v>
      </c>
      <c r="Q35" s="205">
        <v>0.14009453919127751</v>
      </c>
      <c r="R35" s="200">
        <v>35</v>
      </c>
      <c r="S35" s="201">
        <v>0.14843037318852129</v>
      </c>
      <c r="T35" s="200">
        <v>20</v>
      </c>
      <c r="U35" s="201">
        <v>0.08</v>
      </c>
    </row>
    <row r="36" spans="1:21" ht="20.100000000000001" customHeight="1">
      <c r="A36" s="390" t="s">
        <v>384</v>
      </c>
      <c r="B36" s="12">
        <v>570</v>
      </c>
      <c r="C36" s="74">
        <v>2.4631661589663483</v>
      </c>
      <c r="D36" s="12">
        <v>399</v>
      </c>
      <c r="E36" s="74">
        <v>1.7203082343954892</v>
      </c>
      <c r="F36" s="12">
        <v>422</v>
      </c>
      <c r="G36" s="74">
        <v>1.8134651679537328</v>
      </c>
      <c r="H36" s="12">
        <v>321</v>
      </c>
      <c r="I36" s="33">
        <v>1.375046239142516</v>
      </c>
      <c r="J36" s="68">
        <v>730</v>
      </c>
      <c r="K36" s="54">
        <v>3.1191735813688775</v>
      </c>
      <c r="L36" s="12">
        <v>627</v>
      </c>
      <c r="M36" s="74">
        <v>2.6723023406214592</v>
      </c>
      <c r="N36" s="68">
        <v>416</v>
      </c>
      <c r="O36" s="204">
        <v>1.769012472175794</v>
      </c>
      <c r="P36" s="68">
        <v>401</v>
      </c>
      <c r="Q36" s="204">
        <v>1.702360915627342</v>
      </c>
      <c r="R36" s="202">
        <v>1026</v>
      </c>
      <c r="S36" s="203">
        <v>4.3511303683263662</v>
      </c>
      <c r="T36" s="202">
        <v>467</v>
      </c>
      <c r="U36" s="203">
        <v>1.9791467855827336</v>
      </c>
    </row>
    <row r="37" spans="1:21" ht="15.75" customHeight="1">
      <c r="A37" s="8" t="s">
        <v>124</v>
      </c>
      <c r="B37" s="6"/>
      <c r="C37" s="6"/>
      <c r="D37" s="6"/>
      <c r="E37" s="6"/>
      <c r="F37" s="6"/>
      <c r="G37" s="6"/>
      <c r="H37" s="6"/>
      <c r="I37" s="6"/>
      <c r="J37" s="6"/>
      <c r="K37" s="6"/>
      <c r="L37" s="6"/>
      <c r="M37" s="6"/>
      <c r="N37" s="10"/>
      <c r="O37" s="10"/>
      <c r="R37" s="389"/>
    </row>
    <row r="38" spans="1:21" ht="51.75" customHeight="1">
      <c r="A38" s="2840" t="s">
        <v>388</v>
      </c>
      <c r="B38" s="2841"/>
      <c r="C38" s="2841"/>
      <c r="D38" s="2841"/>
      <c r="E38" s="2841"/>
      <c r="F38" s="2841"/>
      <c r="G38" s="2841"/>
      <c r="H38" s="2841"/>
      <c r="I38" s="2841"/>
      <c r="J38" s="2841"/>
      <c r="K38" s="2841"/>
      <c r="L38" s="2841"/>
      <c r="M38" s="2841"/>
      <c r="N38" s="2841"/>
      <c r="O38" s="2841"/>
      <c r="P38" s="2841"/>
      <c r="Q38" s="2841"/>
      <c r="R38" s="2841"/>
      <c r="S38" s="2841"/>
      <c r="T38" s="2841"/>
      <c r="U38" s="2841"/>
    </row>
    <row r="39" spans="1:21" s="48" customFormat="1" ht="15.75" customHeight="1">
      <c r="A39" s="2838" t="s">
        <v>385</v>
      </c>
      <c r="B39" s="2838"/>
      <c r="C39" s="2838"/>
      <c r="D39" s="2838"/>
      <c r="E39" s="2838"/>
      <c r="F39" s="2838"/>
      <c r="G39" s="2838"/>
      <c r="H39" s="2838"/>
      <c r="I39" s="2838"/>
      <c r="J39" s="2838"/>
      <c r="K39" s="2838"/>
      <c r="L39" s="2838"/>
      <c r="M39" s="2838"/>
      <c r="N39" s="2838"/>
      <c r="O39" s="2838"/>
      <c r="P39" s="2838"/>
      <c r="Q39" s="2838"/>
      <c r="R39" s="2838"/>
      <c r="S39" s="2838"/>
      <c r="T39" s="2838"/>
      <c r="U39" s="2838"/>
    </row>
    <row r="40" spans="1:21" ht="15.75" customHeight="1">
      <c r="A40" s="2838" t="s">
        <v>386</v>
      </c>
      <c r="B40" s="2838"/>
      <c r="C40" s="2838"/>
      <c r="D40" s="2838"/>
      <c r="E40" s="2838"/>
      <c r="F40" s="2838"/>
      <c r="G40" s="2838"/>
      <c r="H40" s="2838"/>
      <c r="I40" s="2838"/>
      <c r="J40" s="2838"/>
      <c r="K40" s="2838"/>
      <c r="L40" s="2838"/>
      <c r="M40" s="2838"/>
      <c r="N40" s="2838"/>
      <c r="O40" s="2838"/>
      <c r="P40" s="2838"/>
      <c r="Q40" s="2838"/>
      <c r="R40" s="2838"/>
      <c r="S40" s="2838"/>
      <c r="T40" s="2838"/>
      <c r="U40" s="2838"/>
    </row>
    <row r="41" spans="1:21">
      <c r="A41" s="2838" t="s">
        <v>387</v>
      </c>
      <c r="B41" s="2838"/>
      <c r="C41" s="2838"/>
      <c r="D41" s="2838"/>
      <c r="E41" s="2838"/>
      <c r="F41" s="2838"/>
      <c r="G41" s="2838"/>
      <c r="H41" s="2838"/>
      <c r="I41" s="2838"/>
      <c r="J41" s="2838"/>
      <c r="K41" s="2838"/>
      <c r="L41" s="2838"/>
      <c r="M41" s="2838"/>
      <c r="N41" s="2838"/>
      <c r="O41" s="2838"/>
      <c r="P41" s="2838"/>
      <c r="Q41" s="2838"/>
      <c r="R41" s="2838"/>
      <c r="S41" s="2838"/>
      <c r="T41" s="2838"/>
      <c r="U41" s="2838"/>
    </row>
  </sheetData>
  <sortState ref="A6:U35">
    <sortCondition descending="1" ref="T6:T35"/>
  </sortState>
  <mergeCells count="17">
    <mergeCell ref="A41:U41"/>
    <mergeCell ref="S2:U2"/>
    <mergeCell ref="A38:U38"/>
    <mergeCell ref="D3:E3"/>
    <mergeCell ref="F3:G3"/>
    <mergeCell ref="H3:I3"/>
    <mergeCell ref="J3:K3"/>
    <mergeCell ref="A3:A4"/>
    <mergeCell ref="N3:O3"/>
    <mergeCell ref="L3:M3"/>
    <mergeCell ref="B3:C3"/>
    <mergeCell ref="T3:U3"/>
    <mergeCell ref="R3:S3"/>
    <mergeCell ref="P3:Q3"/>
    <mergeCell ref="A39:U39"/>
    <mergeCell ref="A40:U40"/>
    <mergeCell ref="A1:U1"/>
  </mergeCells>
  <phoneticPr fontId="72" type="noConversion"/>
  <printOptions horizontalCentered="1" verticalCentered="1"/>
  <pageMargins left="0.70866141732283472" right="0.70866141732283472" top="0.74803149606299213" bottom="0.74803149606299213" header="0.31496062992125984" footer="0.31496062992125984"/>
  <pageSetup paperSize="11" scale="40" orientation="landscape" r:id="rId1"/>
  <headerFooter differentOddEven="1" scaleWithDoc="0">
    <oddHeader>&amp;L&amp;"Times New Roman,標準"&amp;8 107&amp;"標楷體,標準"年犯罪狀況及其分析</oddHeader>
    <evenHeader>&amp;R&amp;"標楷體,標準"&amp;8第一篇　&amp;"Times New Roman,標準"107&amp;"標楷體,標準"年犯罪狀況及近&amp;"Times New Roman,標準"10&amp;"標楷體,標準"年犯罪趨勢分析</even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W26"/>
  <sheetViews>
    <sheetView showGridLines="0" workbookViewId="0">
      <selection activeCell="B16" sqref="B16"/>
    </sheetView>
  </sheetViews>
  <sheetFormatPr defaultColWidth="9" defaultRowHeight="15.75"/>
  <cols>
    <col min="1" max="1" width="6.375" style="905" customWidth="1"/>
    <col min="2" max="2" width="3.125" style="905" customWidth="1"/>
    <col min="3" max="6" width="10" style="905" customWidth="1"/>
    <col min="7" max="7" width="11.125" style="905" customWidth="1"/>
    <col min="8" max="10" width="10" style="905" customWidth="1"/>
    <col min="11" max="11" width="9.375" style="905" hidden="1" customWidth="1"/>
    <col min="12" max="23" width="8.875" style="903" customWidth="1"/>
    <col min="24" max="16384" width="9" style="905"/>
  </cols>
  <sheetData>
    <row r="1" spans="1:23" s="904" customFormat="1" ht="30" customHeight="1">
      <c r="A1" s="3072" t="s">
        <v>1096</v>
      </c>
      <c r="B1" s="3072"/>
      <c r="C1" s="3072"/>
      <c r="D1" s="3072"/>
      <c r="E1" s="3072"/>
      <c r="F1" s="3072"/>
      <c r="G1" s="3072"/>
      <c r="H1" s="3072"/>
      <c r="I1" s="3072"/>
      <c r="J1" s="3072"/>
      <c r="K1" s="3072"/>
      <c r="L1" s="903"/>
      <c r="M1" s="903"/>
      <c r="N1" s="903"/>
      <c r="O1" s="903"/>
      <c r="P1" s="903"/>
      <c r="Q1" s="903"/>
      <c r="R1" s="903"/>
      <c r="S1" s="903"/>
      <c r="T1" s="903"/>
      <c r="U1" s="903"/>
      <c r="V1" s="903"/>
      <c r="W1" s="903"/>
    </row>
    <row r="2" spans="1:23">
      <c r="J2" s="906" t="s">
        <v>1097</v>
      </c>
    </row>
    <row r="3" spans="1:23" s="907" customFormat="1" ht="24.6" customHeight="1">
      <c r="A3" s="3073"/>
      <c r="B3" s="3073"/>
      <c r="C3" s="3076" t="s">
        <v>1098</v>
      </c>
      <c r="D3" s="3079" t="s">
        <v>1099</v>
      </c>
      <c r="E3" s="3079" t="s">
        <v>1100</v>
      </c>
      <c r="F3" s="3082" t="s">
        <v>1101</v>
      </c>
      <c r="G3" s="3085" t="s">
        <v>1102</v>
      </c>
      <c r="H3" s="3082" t="s">
        <v>1103</v>
      </c>
      <c r="I3" s="3079" t="s">
        <v>1104</v>
      </c>
      <c r="J3" s="3079" t="s">
        <v>1105</v>
      </c>
      <c r="K3" s="3079" t="s">
        <v>1106</v>
      </c>
      <c r="L3" s="903"/>
      <c r="M3" s="903"/>
      <c r="N3" s="903"/>
      <c r="O3" s="903"/>
      <c r="P3" s="903"/>
      <c r="Q3" s="903"/>
      <c r="R3" s="903"/>
      <c r="S3" s="903"/>
      <c r="T3" s="903"/>
      <c r="U3" s="903"/>
      <c r="V3" s="903"/>
      <c r="W3" s="903"/>
    </row>
    <row r="4" spans="1:23" s="907" customFormat="1" ht="24.6" customHeight="1">
      <c r="A4" s="3074"/>
      <c r="B4" s="3074"/>
      <c r="C4" s="3077"/>
      <c r="D4" s="3080"/>
      <c r="E4" s="3080"/>
      <c r="F4" s="3083"/>
      <c r="G4" s="3086"/>
      <c r="H4" s="3083"/>
      <c r="I4" s="3080"/>
      <c r="J4" s="3080"/>
      <c r="K4" s="3080"/>
      <c r="L4" s="903"/>
      <c r="M4" s="903"/>
      <c r="N4" s="903"/>
      <c r="O4" s="903"/>
      <c r="P4" s="903"/>
      <c r="Q4" s="903"/>
      <c r="R4" s="903"/>
      <c r="S4" s="903"/>
      <c r="T4" s="903"/>
      <c r="U4" s="903"/>
      <c r="V4" s="903"/>
      <c r="W4" s="903"/>
    </row>
    <row r="5" spans="1:23" s="907" customFormat="1" ht="24.6" customHeight="1">
      <c r="A5" s="3074"/>
      <c r="B5" s="3074"/>
      <c r="C5" s="3077"/>
      <c r="D5" s="3080"/>
      <c r="E5" s="3080"/>
      <c r="F5" s="3083"/>
      <c r="G5" s="3086"/>
      <c r="H5" s="3083"/>
      <c r="I5" s="3080"/>
      <c r="J5" s="3080"/>
      <c r="K5" s="3080"/>
      <c r="L5" s="903"/>
      <c r="M5" s="903"/>
      <c r="N5" s="903"/>
      <c r="O5" s="903"/>
      <c r="P5" s="903"/>
      <c r="Q5" s="903"/>
      <c r="R5" s="903"/>
      <c r="S5" s="903"/>
      <c r="T5" s="903"/>
      <c r="U5" s="903"/>
      <c r="V5" s="903"/>
      <c r="W5" s="903"/>
    </row>
    <row r="6" spans="1:23" s="907" customFormat="1" ht="24.6" customHeight="1">
      <c r="A6" s="3074"/>
      <c r="B6" s="3074"/>
      <c r="C6" s="3077"/>
      <c r="D6" s="3080"/>
      <c r="E6" s="3080"/>
      <c r="F6" s="3083"/>
      <c r="G6" s="3086"/>
      <c r="H6" s="3083"/>
      <c r="I6" s="3080"/>
      <c r="J6" s="3080"/>
      <c r="K6" s="3080"/>
      <c r="L6" s="903"/>
      <c r="M6" s="903"/>
      <c r="N6" s="903"/>
      <c r="O6" s="903"/>
      <c r="P6" s="903"/>
      <c r="Q6" s="903"/>
      <c r="R6" s="903"/>
      <c r="S6" s="903"/>
      <c r="T6" s="903"/>
      <c r="U6" s="903"/>
      <c r="V6" s="903"/>
      <c r="W6" s="903"/>
    </row>
    <row r="7" spans="1:23" s="907" customFormat="1" ht="80.099999999999994" customHeight="1">
      <c r="A7" s="3075"/>
      <c r="B7" s="3075"/>
      <c r="C7" s="3078"/>
      <c r="D7" s="3081"/>
      <c r="E7" s="3081"/>
      <c r="F7" s="3084"/>
      <c r="G7" s="3087"/>
      <c r="H7" s="3084"/>
      <c r="I7" s="3081"/>
      <c r="J7" s="3088"/>
      <c r="K7" s="3088"/>
      <c r="L7" s="903"/>
      <c r="M7" s="903"/>
      <c r="N7" s="903"/>
      <c r="O7" s="903"/>
      <c r="P7" s="903"/>
      <c r="Q7" s="903"/>
      <c r="R7" s="903"/>
      <c r="S7" s="903"/>
      <c r="T7" s="903"/>
      <c r="U7" s="903"/>
      <c r="V7" s="903"/>
      <c r="W7" s="903"/>
    </row>
    <row r="8" spans="1:23" s="907" customFormat="1" ht="21.95" customHeight="1">
      <c r="A8" s="3070" t="s">
        <v>1058</v>
      </c>
      <c r="B8" s="3071"/>
      <c r="C8" s="908">
        <v>231</v>
      </c>
      <c r="D8" s="908">
        <v>7479</v>
      </c>
      <c r="E8" s="908">
        <v>686</v>
      </c>
      <c r="F8" s="908">
        <v>28362</v>
      </c>
      <c r="G8" s="908">
        <v>6173</v>
      </c>
      <c r="H8" s="908">
        <v>2419</v>
      </c>
      <c r="I8" s="908">
        <v>1538</v>
      </c>
      <c r="J8" s="909">
        <v>18453</v>
      </c>
      <c r="K8" s="910">
        <v>0</v>
      </c>
      <c r="L8" s="903"/>
      <c r="M8" s="903"/>
      <c r="N8" s="903"/>
      <c r="O8" s="903"/>
      <c r="P8" s="903"/>
      <c r="Q8" s="903"/>
      <c r="R8" s="903"/>
      <c r="S8" s="903"/>
      <c r="T8" s="903"/>
      <c r="U8" s="903"/>
      <c r="V8" s="903"/>
      <c r="W8" s="903"/>
    </row>
    <row r="9" spans="1:23" s="907" customFormat="1" ht="21.95" customHeight="1">
      <c r="A9" s="3070" t="s">
        <v>1107</v>
      </c>
      <c r="B9" s="3071"/>
      <c r="C9" s="908">
        <v>285</v>
      </c>
      <c r="D9" s="908">
        <v>8107</v>
      </c>
      <c r="E9" s="908">
        <v>727</v>
      </c>
      <c r="F9" s="908">
        <v>32463</v>
      </c>
      <c r="G9" s="908">
        <v>4954</v>
      </c>
      <c r="H9" s="908">
        <v>3533</v>
      </c>
      <c r="I9" s="908">
        <v>207</v>
      </c>
      <c r="J9" s="909">
        <v>16769</v>
      </c>
      <c r="K9" s="910">
        <v>0</v>
      </c>
      <c r="L9" s="903"/>
      <c r="M9" s="903"/>
      <c r="N9" s="903"/>
      <c r="O9" s="903"/>
      <c r="P9" s="903"/>
      <c r="Q9" s="903"/>
      <c r="R9" s="903"/>
      <c r="S9" s="903"/>
      <c r="T9" s="903"/>
      <c r="U9" s="903"/>
      <c r="V9" s="903"/>
      <c r="W9" s="903"/>
    </row>
    <row r="10" spans="1:23" s="907" customFormat="1" ht="21.95" customHeight="1">
      <c r="A10" s="3070" t="s">
        <v>1060</v>
      </c>
      <c r="B10" s="3071"/>
      <c r="C10" s="908">
        <v>275</v>
      </c>
      <c r="D10" s="908">
        <v>6772</v>
      </c>
      <c r="E10" s="908">
        <v>1253</v>
      </c>
      <c r="F10" s="908">
        <v>35835</v>
      </c>
      <c r="G10" s="908">
        <v>4218</v>
      </c>
      <c r="H10" s="908">
        <v>3687</v>
      </c>
      <c r="I10" s="908">
        <v>200</v>
      </c>
      <c r="J10" s="909">
        <v>18861</v>
      </c>
      <c r="K10" s="910">
        <v>0</v>
      </c>
      <c r="L10" s="903"/>
      <c r="M10" s="903"/>
      <c r="N10" s="903"/>
      <c r="O10" s="903"/>
      <c r="P10" s="903"/>
      <c r="Q10" s="903"/>
      <c r="R10" s="903"/>
      <c r="S10" s="903"/>
      <c r="T10" s="903"/>
      <c r="U10" s="903"/>
      <c r="V10" s="903"/>
      <c r="W10" s="903"/>
    </row>
    <row r="11" spans="1:23" s="907" customFormat="1" ht="21.95" customHeight="1">
      <c r="A11" s="3070" t="s">
        <v>1061</v>
      </c>
      <c r="B11" s="3071"/>
      <c r="C11" s="908">
        <v>253</v>
      </c>
      <c r="D11" s="908">
        <v>6666</v>
      </c>
      <c r="E11" s="908">
        <v>1252</v>
      </c>
      <c r="F11" s="908">
        <v>35694</v>
      </c>
      <c r="G11" s="908">
        <v>3113</v>
      </c>
      <c r="H11" s="908">
        <v>2886</v>
      </c>
      <c r="I11" s="908">
        <v>165</v>
      </c>
      <c r="J11" s="909">
        <v>17256</v>
      </c>
      <c r="K11" s="910">
        <v>0</v>
      </c>
      <c r="L11" s="903"/>
      <c r="M11" s="903"/>
      <c r="N11" s="903"/>
      <c r="O11" s="903"/>
      <c r="P11" s="903"/>
      <c r="Q11" s="903"/>
      <c r="R11" s="903"/>
      <c r="S11" s="903"/>
      <c r="T11" s="903"/>
      <c r="U11" s="903"/>
      <c r="V11" s="903"/>
      <c r="W11" s="903"/>
    </row>
    <row r="12" spans="1:23" s="907" customFormat="1" ht="21.95" customHeight="1">
      <c r="A12" s="3070" t="s">
        <v>1062</v>
      </c>
      <c r="B12" s="3071"/>
      <c r="C12" s="908">
        <v>164</v>
      </c>
      <c r="D12" s="908">
        <v>5003</v>
      </c>
      <c r="E12" s="908">
        <v>854</v>
      </c>
      <c r="F12" s="908">
        <v>41844</v>
      </c>
      <c r="G12" s="908">
        <v>2448</v>
      </c>
      <c r="H12" s="908">
        <v>2457</v>
      </c>
      <c r="I12" s="908">
        <v>115</v>
      </c>
      <c r="J12" s="909">
        <v>18166</v>
      </c>
      <c r="K12" s="910">
        <v>0</v>
      </c>
      <c r="L12" s="903"/>
      <c r="M12" s="903"/>
      <c r="N12" s="903"/>
      <c r="O12" s="903"/>
      <c r="P12" s="903"/>
      <c r="Q12" s="903"/>
      <c r="R12" s="903"/>
      <c r="S12" s="903"/>
      <c r="T12" s="903"/>
      <c r="U12" s="903"/>
      <c r="V12" s="903"/>
      <c r="W12" s="903"/>
    </row>
    <row r="13" spans="1:23" s="907" customFormat="1" ht="21.95" customHeight="1">
      <c r="A13" s="3070" t="s">
        <v>1063</v>
      </c>
      <c r="B13" s="3071"/>
      <c r="C13" s="908">
        <v>136</v>
      </c>
      <c r="D13" s="908">
        <v>3955</v>
      </c>
      <c r="E13" s="908">
        <v>825</v>
      </c>
      <c r="F13" s="908">
        <v>35238</v>
      </c>
      <c r="G13" s="908">
        <v>1839</v>
      </c>
      <c r="H13" s="908">
        <v>2396</v>
      </c>
      <c r="I13" s="908">
        <v>105</v>
      </c>
      <c r="J13" s="909">
        <v>17287</v>
      </c>
      <c r="K13" s="910">
        <v>0</v>
      </c>
      <c r="L13" s="903"/>
      <c r="M13" s="903"/>
      <c r="N13" s="903"/>
      <c r="O13" s="903"/>
      <c r="P13" s="903"/>
      <c r="Q13" s="903"/>
      <c r="R13" s="903"/>
      <c r="S13" s="903"/>
      <c r="T13" s="903"/>
      <c r="U13" s="903"/>
      <c r="V13" s="903"/>
      <c r="W13" s="903"/>
    </row>
    <row r="14" spans="1:23" s="907" customFormat="1" ht="21.95" customHeight="1">
      <c r="A14" s="3070" t="s">
        <v>1064</v>
      </c>
      <c r="B14" s="3071"/>
      <c r="C14" s="908">
        <v>138</v>
      </c>
      <c r="D14" s="908">
        <v>3378</v>
      </c>
      <c r="E14" s="908">
        <v>728</v>
      </c>
      <c r="F14" s="908">
        <v>32429</v>
      </c>
      <c r="G14" s="908">
        <v>1660</v>
      </c>
      <c r="H14" s="908">
        <v>3397</v>
      </c>
      <c r="I14" s="908">
        <v>96</v>
      </c>
      <c r="J14" s="909">
        <v>16759</v>
      </c>
      <c r="K14" s="910">
        <v>0</v>
      </c>
      <c r="L14" s="903"/>
      <c r="M14" s="903"/>
      <c r="N14" s="903"/>
      <c r="O14" s="903"/>
      <c r="P14" s="903"/>
      <c r="Q14" s="903"/>
      <c r="R14" s="903"/>
      <c r="S14" s="903"/>
      <c r="T14" s="903"/>
      <c r="U14" s="903"/>
      <c r="V14" s="903"/>
      <c r="W14" s="903"/>
    </row>
    <row r="15" spans="1:23" s="907" customFormat="1" ht="21.95" customHeight="1">
      <c r="A15" s="3070" t="s">
        <v>1065</v>
      </c>
      <c r="B15" s="3071"/>
      <c r="C15" s="908">
        <v>135</v>
      </c>
      <c r="D15" s="908">
        <v>2588</v>
      </c>
      <c r="E15" s="908">
        <v>790</v>
      </c>
      <c r="F15" s="908">
        <v>31478</v>
      </c>
      <c r="G15" s="908">
        <v>1478</v>
      </c>
      <c r="H15" s="908">
        <v>6815</v>
      </c>
      <c r="I15" s="908">
        <v>89</v>
      </c>
      <c r="J15" s="909">
        <v>19149</v>
      </c>
      <c r="K15" s="910">
        <v>0</v>
      </c>
      <c r="L15" s="903"/>
      <c r="M15" s="903"/>
      <c r="N15" s="903"/>
      <c r="O15" s="903"/>
      <c r="P15" s="903"/>
      <c r="Q15" s="903"/>
      <c r="R15" s="903"/>
      <c r="S15" s="903"/>
      <c r="T15" s="903"/>
      <c r="U15" s="903"/>
      <c r="V15" s="903"/>
      <c r="W15" s="903"/>
    </row>
    <row r="16" spans="1:23" s="907" customFormat="1" ht="21.95" customHeight="1">
      <c r="A16" s="3070" t="s">
        <v>1066</v>
      </c>
      <c r="B16" s="3071"/>
      <c r="C16" s="908">
        <v>89</v>
      </c>
      <c r="D16" s="908">
        <v>2330</v>
      </c>
      <c r="E16" s="908">
        <v>764</v>
      </c>
      <c r="F16" s="908">
        <v>30004</v>
      </c>
      <c r="G16" s="908">
        <v>1151</v>
      </c>
      <c r="H16" s="908">
        <v>8076</v>
      </c>
      <c r="I16" s="908">
        <v>81</v>
      </c>
      <c r="J16" s="909">
        <v>19959</v>
      </c>
      <c r="K16" s="910">
        <v>0</v>
      </c>
      <c r="L16" s="903"/>
      <c r="M16" s="903"/>
      <c r="N16" s="903"/>
      <c r="O16" s="903"/>
      <c r="P16" s="903"/>
      <c r="Q16" s="903"/>
      <c r="R16" s="903"/>
      <c r="S16" s="903"/>
      <c r="T16" s="903"/>
      <c r="U16" s="903"/>
      <c r="V16" s="903"/>
      <c r="W16" s="903"/>
    </row>
    <row r="17" spans="1:23" s="907" customFormat="1" ht="21.95" customHeight="1">
      <c r="A17" s="3091" t="s">
        <v>1067</v>
      </c>
      <c r="B17" s="3092"/>
      <c r="C17" s="911">
        <v>76</v>
      </c>
      <c r="D17" s="911">
        <v>2486</v>
      </c>
      <c r="E17" s="911">
        <v>816</v>
      </c>
      <c r="F17" s="911">
        <v>29162</v>
      </c>
      <c r="G17" s="911">
        <v>1081</v>
      </c>
      <c r="H17" s="911">
        <v>7381</v>
      </c>
      <c r="I17" s="911">
        <v>78</v>
      </c>
      <c r="J17" s="912">
        <v>19455</v>
      </c>
      <c r="K17" s="910">
        <v>0</v>
      </c>
      <c r="L17" s="903"/>
      <c r="M17" s="903"/>
      <c r="N17" s="903"/>
      <c r="O17" s="903"/>
      <c r="P17" s="903"/>
      <c r="Q17" s="903"/>
      <c r="R17" s="903"/>
      <c r="S17" s="903"/>
      <c r="T17" s="903"/>
      <c r="U17" s="903"/>
      <c r="V17" s="903"/>
      <c r="W17" s="903"/>
    </row>
    <row r="18" spans="1:23" s="907" customFormat="1">
      <c r="A18" s="3093" t="s">
        <v>1108</v>
      </c>
      <c r="B18" s="3093"/>
      <c r="C18" s="3093"/>
      <c r="D18" s="3093"/>
      <c r="E18" s="3093"/>
      <c r="F18" s="3093"/>
      <c r="G18" s="3093"/>
      <c r="H18" s="3093"/>
      <c r="I18" s="3093"/>
      <c r="J18" s="3093"/>
      <c r="K18" s="913"/>
      <c r="L18" s="903"/>
      <c r="M18" s="903"/>
      <c r="N18" s="903"/>
      <c r="O18" s="903"/>
      <c r="P18" s="903"/>
      <c r="Q18" s="903"/>
      <c r="R18" s="903"/>
      <c r="S18" s="903"/>
      <c r="T18" s="903"/>
      <c r="U18" s="903"/>
      <c r="V18" s="903"/>
      <c r="W18" s="903"/>
    </row>
    <row r="19" spans="1:23" s="903" customFormat="1" ht="61.9" customHeight="1">
      <c r="A19" s="3089" t="s">
        <v>1109</v>
      </c>
      <c r="B19" s="3090"/>
      <c r="C19" s="3090"/>
      <c r="D19" s="3090"/>
      <c r="E19" s="3090"/>
      <c r="F19" s="3090"/>
      <c r="G19" s="3090"/>
      <c r="H19" s="3090"/>
      <c r="I19" s="3090"/>
      <c r="J19" s="3090"/>
    </row>
    <row r="20" spans="1:23" s="903" customFormat="1" ht="29.25" customHeight="1">
      <c r="A20" s="3090"/>
      <c r="B20" s="3090"/>
      <c r="C20" s="3090"/>
      <c r="D20" s="3090"/>
      <c r="E20" s="3090"/>
      <c r="F20" s="3090"/>
      <c r="G20" s="3090"/>
      <c r="H20" s="3090"/>
      <c r="I20" s="3090"/>
      <c r="J20" s="3090"/>
    </row>
    <row r="21" spans="1:23" s="903" customFormat="1"/>
    <row r="22" spans="1:23" s="903" customFormat="1"/>
    <row r="23" spans="1:23" s="903" customFormat="1"/>
    <row r="24" spans="1:23" s="903" customFormat="1"/>
    <row r="25" spans="1:23" s="903" customFormat="1"/>
    <row r="26" spans="1:23" s="903" customFormat="1"/>
  </sheetData>
  <mergeCells count="24">
    <mergeCell ref="A19:J19"/>
    <mergeCell ref="A20:J20"/>
    <mergeCell ref="A13:B13"/>
    <mergeCell ref="A14:B14"/>
    <mergeCell ref="A15:B15"/>
    <mergeCell ref="A16:B16"/>
    <mergeCell ref="A17:B17"/>
    <mergeCell ref="A18:J18"/>
    <mergeCell ref="A12:B12"/>
    <mergeCell ref="A1:K1"/>
    <mergeCell ref="A3:B7"/>
    <mergeCell ref="C3:C7"/>
    <mergeCell ref="D3:D7"/>
    <mergeCell ref="E3:E7"/>
    <mergeCell ref="F3:F7"/>
    <mergeCell ref="G3:G7"/>
    <mergeCell ref="H3:H7"/>
    <mergeCell ref="I3:I7"/>
    <mergeCell ref="J3:J7"/>
    <mergeCell ref="K3:K7"/>
    <mergeCell ref="A8:B8"/>
    <mergeCell ref="A9:B9"/>
    <mergeCell ref="A10:B10"/>
    <mergeCell ref="A11:B11"/>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3" orientation="landscape" r:id="rId1"/>
  <headerFooter differentOddEven="1" scaleWithDoc="0">
    <oddHeader>&amp;L&amp;"Times New Roman,標準"&amp;8 107&amp;"標楷體,標準"年犯罪狀況及其分析</oddHeader>
    <evenHeader>&amp;R&amp;"標楷體,標準"&amp;8第二篇　犯罪之處理</even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J20"/>
  <sheetViews>
    <sheetView showGridLines="0" workbookViewId="0">
      <selection activeCell="B16" sqref="B16"/>
    </sheetView>
  </sheetViews>
  <sheetFormatPr defaultColWidth="8.875" defaultRowHeight="15.75"/>
  <cols>
    <col min="1" max="1" width="10.75" style="925" customWidth="1"/>
    <col min="2" max="2" width="10.5" style="925" customWidth="1"/>
    <col min="3" max="3" width="12.25" style="925" customWidth="1"/>
    <col min="4" max="7" width="10.5" style="925" customWidth="1"/>
    <col min="8" max="9" width="10.375" style="925" customWidth="1"/>
    <col min="10" max="16384" width="8.875" style="925"/>
  </cols>
  <sheetData>
    <row r="1" spans="1:10" s="914" customFormat="1" ht="30" customHeight="1">
      <c r="A1" s="3096" t="s">
        <v>1110</v>
      </c>
      <c r="B1" s="3096"/>
      <c r="C1" s="3096"/>
      <c r="D1" s="3096"/>
      <c r="E1" s="3096"/>
      <c r="F1" s="3096"/>
      <c r="G1" s="3096"/>
      <c r="H1" s="3096"/>
      <c r="I1" s="3096"/>
    </row>
    <row r="2" spans="1:10" s="915" customFormat="1" ht="42" customHeight="1">
      <c r="A2" s="3097"/>
      <c r="B2" s="3100" t="s">
        <v>1072</v>
      </c>
      <c r="C2" s="3101"/>
      <c r="D2" s="3101" t="s">
        <v>1111</v>
      </c>
      <c r="E2" s="3101"/>
      <c r="F2" s="3102" t="s">
        <v>1112</v>
      </c>
      <c r="G2" s="3103"/>
      <c r="H2" s="3102" t="s">
        <v>1113</v>
      </c>
      <c r="I2" s="3106"/>
    </row>
    <row r="3" spans="1:10" s="915" customFormat="1" ht="47.45" customHeight="1">
      <c r="A3" s="3098"/>
      <c r="B3" s="3100"/>
      <c r="C3" s="3101"/>
      <c r="D3" s="3101"/>
      <c r="E3" s="3101"/>
      <c r="F3" s="3104"/>
      <c r="G3" s="3105"/>
      <c r="H3" s="3104"/>
      <c r="I3" s="3107"/>
    </row>
    <row r="4" spans="1:10" s="915" customFormat="1" ht="29.1" customHeight="1">
      <c r="A4" s="3099"/>
      <c r="B4" s="916" t="s">
        <v>1114</v>
      </c>
      <c r="C4" s="917" t="s">
        <v>1115</v>
      </c>
      <c r="D4" s="918" t="s">
        <v>1114</v>
      </c>
      <c r="E4" s="917" t="s">
        <v>1115</v>
      </c>
      <c r="F4" s="918" t="s">
        <v>1114</v>
      </c>
      <c r="G4" s="917" t="s">
        <v>1116</v>
      </c>
      <c r="H4" s="918" t="s">
        <v>1114</v>
      </c>
      <c r="I4" s="919" t="s">
        <v>1115</v>
      </c>
      <c r="J4" s="920"/>
    </row>
    <row r="5" spans="1:10" ht="27.95" customHeight="1">
      <c r="A5" s="921" t="s">
        <v>1058</v>
      </c>
      <c r="B5" s="922">
        <v>28298</v>
      </c>
      <c r="C5" s="922">
        <v>102008.4471</v>
      </c>
      <c r="D5" s="923">
        <v>12497</v>
      </c>
      <c r="E5" s="923">
        <v>44495.752899999999</v>
      </c>
      <c r="F5" s="923">
        <v>14867</v>
      </c>
      <c r="G5" s="923">
        <v>52776.214200000002</v>
      </c>
      <c r="H5" s="923">
        <v>934</v>
      </c>
      <c r="I5" s="924">
        <v>4736.4799999999996</v>
      </c>
    </row>
    <row r="6" spans="1:10" ht="27.95" customHeight="1">
      <c r="A6" s="921" t="s">
        <v>1107</v>
      </c>
      <c r="B6" s="922">
        <v>32284</v>
      </c>
      <c r="C6" s="922">
        <v>123092.85950000001</v>
      </c>
      <c r="D6" s="923">
        <v>15576</v>
      </c>
      <c r="E6" s="923">
        <v>60643.529499999997</v>
      </c>
      <c r="F6" s="923">
        <v>15067</v>
      </c>
      <c r="G6" s="923">
        <v>55923.51</v>
      </c>
      <c r="H6" s="923">
        <v>1641</v>
      </c>
      <c r="I6" s="924">
        <v>6525.82</v>
      </c>
    </row>
    <row r="7" spans="1:10" ht="27.95" customHeight="1">
      <c r="A7" s="921" t="s">
        <v>1060</v>
      </c>
      <c r="B7" s="922">
        <v>35914</v>
      </c>
      <c r="C7" s="922">
        <v>169265.47870000001</v>
      </c>
      <c r="D7" s="923">
        <v>18884</v>
      </c>
      <c r="E7" s="923">
        <v>95565.968699999998</v>
      </c>
      <c r="F7" s="923">
        <v>15776</v>
      </c>
      <c r="G7" s="923">
        <v>68280.06</v>
      </c>
      <c r="H7" s="923">
        <v>1254</v>
      </c>
      <c r="I7" s="924">
        <v>5419.45</v>
      </c>
    </row>
    <row r="8" spans="1:10" ht="27.95" customHeight="1">
      <c r="A8" s="921" t="s">
        <v>1061</v>
      </c>
      <c r="B8" s="922">
        <v>35627</v>
      </c>
      <c r="C8" s="922">
        <v>182452.09030000001</v>
      </c>
      <c r="D8" s="923">
        <v>23776</v>
      </c>
      <c r="E8" s="923">
        <v>123602.8737</v>
      </c>
      <c r="F8" s="923">
        <v>11175</v>
      </c>
      <c r="G8" s="923">
        <v>55499.876600000003</v>
      </c>
      <c r="H8" s="923">
        <v>676</v>
      </c>
      <c r="I8" s="924">
        <v>3349.34</v>
      </c>
    </row>
    <row r="9" spans="1:10" ht="27.95" customHeight="1">
      <c r="A9" s="921" t="s">
        <v>1062</v>
      </c>
      <c r="B9" s="922">
        <v>41841</v>
      </c>
      <c r="C9" s="922">
        <v>218287.58</v>
      </c>
      <c r="D9" s="923">
        <v>33318</v>
      </c>
      <c r="E9" s="923">
        <v>176755.51</v>
      </c>
      <c r="F9" s="923">
        <v>8363</v>
      </c>
      <c r="G9" s="923">
        <v>40723.07</v>
      </c>
      <c r="H9" s="923">
        <v>160</v>
      </c>
      <c r="I9" s="924">
        <v>809</v>
      </c>
    </row>
    <row r="10" spans="1:10" ht="27.95" customHeight="1">
      <c r="A10" s="921" t="s">
        <v>1063</v>
      </c>
      <c r="B10" s="922">
        <v>35126</v>
      </c>
      <c r="C10" s="922">
        <v>184530.89490000001</v>
      </c>
      <c r="D10" s="923">
        <v>35123</v>
      </c>
      <c r="E10" s="923">
        <v>184515.79490000001</v>
      </c>
      <c r="F10" s="923">
        <v>3</v>
      </c>
      <c r="G10" s="923">
        <v>15.1</v>
      </c>
      <c r="H10" s="923" t="s">
        <v>1</v>
      </c>
      <c r="I10" s="924" t="s">
        <v>1</v>
      </c>
    </row>
    <row r="11" spans="1:10" ht="27.95" customHeight="1">
      <c r="A11" s="921" t="s">
        <v>1064</v>
      </c>
      <c r="B11" s="922">
        <v>31989</v>
      </c>
      <c r="C11" s="922">
        <v>167291.20000000001</v>
      </c>
      <c r="D11" s="923">
        <v>31989</v>
      </c>
      <c r="E11" s="923">
        <v>167291.20000000001</v>
      </c>
      <c r="F11" s="923" t="s">
        <v>1</v>
      </c>
      <c r="G11" s="923" t="s">
        <v>1</v>
      </c>
      <c r="H11" s="923" t="s">
        <v>1</v>
      </c>
      <c r="I11" s="924" t="s">
        <v>1</v>
      </c>
    </row>
    <row r="12" spans="1:10" ht="27.95" customHeight="1">
      <c r="A12" s="921" t="s">
        <v>1065</v>
      </c>
      <c r="B12" s="922">
        <v>31282</v>
      </c>
      <c r="C12" s="922">
        <v>175103.1678</v>
      </c>
      <c r="D12" s="923">
        <v>31282</v>
      </c>
      <c r="E12" s="923">
        <v>175103.1678</v>
      </c>
      <c r="F12" s="923" t="s">
        <v>1</v>
      </c>
      <c r="G12" s="923" t="s">
        <v>1</v>
      </c>
      <c r="H12" s="923" t="s">
        <v>1</v>
      </c>
      <c r="I12" s="924" t="s">
        <v>1</v>
      </c>
    </row>
    <row r="13" spans="1:10" ht="27.95" customHeight="1">
      <c r="A13" s="921" t="s">
        <v>1066</v>
      </c>
      <c r="B13" s="922">
        <v>29873</v>
      </c>
      <c r="C13" s="922">
        <v>154498.76809999999</v>
      </c>
      <c r="D13" s="923">
        <v>29873</v>
      </c>
      <c r="E13" s="923">
        <v>154498.76809999999</v>
      </c>
      <c r="F13" s="923" t="s">
        <v>1</v>
      </c>
      <c r="G13" s="923" t="s">
        <v>1</v>
      </c>
      <c r="H13" s="923" t="s">
        <v>1</v>
      </c>
      <c r="I13" s="924" t="s">
        <v>1</v>
      </c>
    </row>
    <row r="14" spans="1:10" ht="27.95" customHeight="1">
      <c r="A14" s="926" t="s">
        <v>1067</v>
      </c>
      <c r="B14" s="927">
        <v>29124</v>
      </c>
      <c r="C14" s="927">
        <v>144834.53</v>
      </c>
      <c r="D14" s="928">
        <v>29124</v>
      </c>
      <c r="E14" s="928">
        <v>144834.53</v>
      </c>
      <c r="F14" s="928" t="s">
        <v>1</v>
      </c>
      <c r="G14" s="928" t="s">
        <v>1</v>
      </c>
      <c r="H14" s="928" t="s">
        <v>1</v>
      </c>
      <c r="I14" s="929" t="s">
        <v>1</v>
      </c>
    </row>
    <row r="15" spans="1:10">
      <c r="A15" s="930" t="s">
        <v>1117</v>
      </c>
      <c r="B15" s="931"/>
      <c r="C15" s="931"/>
      <c r="D15" s="931"/>
      <c r="E15" s="931"/>
      <c r="F15" s="931"/>
      <c r="G15" s="931"/>
      <c r="H15" s="931"/>
      <c r="I15" s="931"/>
    </row>
    <row r="16" spans="1:10" ht="74.25" customHeight="1">
      <c r="A16" s="3094" t="s">
        <v>1118</v>
      </c>
      <c r="B16" s="3094"/>
      <c r="C16" s="3094"/>
      <c r="D16" s="3094"/>
      <c r="E16" s="3094"/>
      <c r="F16" s="3094"/>
      <c r="G16" s="3094"/>
      <c r="H16" s="3094"/>
      <c r="I16" s="3094"/>
    </row>
    <row r="17" spans="2:9" ht="15.6" customHeight="1">
      <c r="B17" s="3095"/>
      <c r="C17" s="3095"/>
      <c r="D17" s="3095"/>
      <c r="E17" s="3095"/>
      <c r="F17" s="3095"/>
      <c r="G17" s="3095"/>
      <c r="H17" s="3095"/>
      <c r="I17" s="3095"/>
    </row>
    <row r="18" spans="2:9" ht="31.15" customHeight="1">
      <c r="B18" s="3095"/>
      <c r="C18" s="3095"/>
      <c r="D18" s="3095"/>
      <c r="E18" s="3095"/>
      <c r="F18" s="3095"/>
      <c r="G18" s="3095"/>
      <c r="H18" s="3095"/>
      <c r="I18" s="3095"/>
    </row>
    <row r="19" spans="2:9" ht="46.15" customHeight="1">
      <c r="B19" s="3095"/>
      <c r="C19" s="3095"/>
      <c r="D19" s="3095"/>
      <c r="E19" s="3095"/>
      <c r="F19" s="3095"/>
      <c r="G19" s="3095"/>
      <c r="H19" s="3095"/>
      <c r="I19" s="3095"/>
    </row>
    <row r="20" spans="2:9">
      <c r="C20" s="931"/>
    </row>
  </sheetData>
  <mergeCells count="10">
    <mergeCell ref="A16:I16"/>
    <mergeCell ref="B17:I17"/>
    <mergeCell ref="B18:I18"/>
    <mergeCell ref="B19:I19"/>
    <mergeCell ref="A1:I1"/>
    <mergeCell ref="A2:A4"/>
    <mergeCell ref="B2:C3"/>
    <mergeCell ref="D2:E3"/>
    <mergeCell ref="F2:G3"/>
    <mergeCell ref="H2:I3"/>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3"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N17"/>
  <sheetViews>
    <sheetView showGridLines="0" workbookViewId="0">
      <selection activeCell="B16" sqref="B16"/>
    </sheetView>
  </sheetViews>
  <sheetFormatPr defaultColWidth="9" defaultRowHeight="15.75"/>
  <cols>
    <col min="1" max="1" width="13" style="659" customWidth="1"/>
    <col min="2" max="2" width="3.125" style="659" customWidth="1"/>
    <col min="3" max="11" width="11.625" style="659" customWidth="1"/>
    <col min="12" max="16384" width="9" style="659"/>
  </cols>
  <sheetData>
    <row r="1" spans="1:14" ht="30.6" customHeight="1">
      <c r="A1" s="2964" t="s">
        <v>1119</v>
      </c>
      <c r="B1" s="2964"/>
      <c r="C1" s="2964"/>
      <c r="D1" s="2964"/>
      <c r="E1" s="2964"/>
      <c r="F1" s="2964"/>
      <c r="G1" s="2964"/>
      <c r="H1" s="2964"/>
      <c r="I1" s="2964"/>
      <c r="J1" s="2964"/>
      <c r="K1" s="2964"/>
    </row>
    <row r="2" spans="1:14" s="688" customFormat="1" ht="21.75" customHeight="1">
      <c r="H2" s="932"/>
      <c r="I2" s="933"/>
      <c r="J2" s="933"/>
      <c r="K2" s="934" t="s">
        <v>1052</v>
      </c>
    </row>
    <row r="3" spans="1:14" ht="27" customHeight="1">
      <c r="A3" s="2981"/>
      <c r="B3" s="2981"/>
      <c r="C3" s="3110" t="s">
        <v>1120</v>
      </c>
      <c r="D3" s="3110"/>
      <c r="E3" s="3110"/>
      <c r="F3" s="3111"/>
      <c r="G3" s="3112" t="s">
        <v>1121</v>
      </c>
      <c r="H3" s="3110"/>
      <c r="I3" s="3110"/>
      <c r="J3" s="3110"/>
      <c r="K3" s="3110"/>
    </row>
    <row r="4" spans="1:14" ht="24" customHeight="1">
      <c r="A4" s="2982"/>
      <c r="B4" s="2982"/>
      <c r="C4" s="3113" t="s">
        <v>1122</v>
      </c>
      <c r="D4" s="3115" t="s">
        <v>1123</v>
      </c>
      <c r="E4" s="3115" t="s">
        <v>1124</v>
      </c>
      <c r="F4" s="3115" t="s">
        <v>1125</v>
      </c>
      <c r="G4" s="3117" t="s">
        <v>1122</v>
      </c>
      <c r="H4" s="935"/>
      <c r="I4" s="3115" t="s">
        <v>1123</v>
      </c>
      <c r="J4" s="3115" t="s">
        <v>1126</v>
      </c>
      <c r="K4" s="3117" t="s">
        <v>1125</v>
      </c>
    </row>
    <row r="5" spans="1:14" ht="50.1" customHeight="1">
      <c r="A5" s="2983"/>
      <c r="B5" s="2983"/>
      <c r="C5" s="3114"/>
      <c r="D5" s="3116"/>
      <c r="E5" s="3116"/>
      <c r="F5" s="3116"/>
      <c r="G5" s="3116"/>
      <c r="H5" s="936" t="s">
        <v>1127</v>
      </c>
      <c r="I5" s="3116"/>
      <c r="J5" s="3116"/>
      <c r="K5" s="3118"/>
    </row>
    <row r="6" spans="1:14" ht="29.25" customHeight="1">
      <c r="A6" s="3108" t="s">
        <v>1058</v>
      </c>
      <c r="B6" s="3109"/>
      <c r="C6" s="922">
        <v>121820</v>
      </c>
      <c r="D6" s="922">
        <v>34476</v>
      </c>
      <c r="E6" s="922">
        <v>81991</v>
      </c>
      <c r="F6" s="922">
        <v>5353</v>
      </c>
      <c r="G6" s="922">
        <v>51126</v>
      </c>
      <c r="H6" s="937">
        <v>41.968478082416681</v>
      </c>
      <c r="I6" s="922">
        <v>32580</v>
      </c>
      <c r="J6" s="922">
        <v>18176</v>
      </c>
      <c r="K6" s="938">
        <v>370</v>
      </c>
      <c r="M6" s="939"/>
      <c r="N6" s="940"/>
    </row>
    <row r="7" spans="1:14" ht="29.25" customHeight="1">
      <c r="A7" s="3108" t="s">
        <v>1107</v>
      </c>
      <c r="B7" s="3109"/>
      <c r="C7" s="922">
        <v>128333</v>
      </c>
      <c r="D7" s="922">
        <v>39638</v>
      </c>
      <c r="E7" s="922">
        <v>82622</v>
      </c>
      <c r="F7" s="922">
        <v>6073</v>
      </c>
      <c r="G7" s="922">
        <v>56277</v>
      </c>
      <c r="H7" s="937">
        <v>43.852321694342059</v>
      </c>
      <c r="I7" s="922">
        <v>37405</v>
      </c>
      <c r="J7" s="922">
        <v>18417</v>
      </c>
      <c r="K7" s="941">
        <v>455</v>
      </c>
      <c r="M7" s="939"/>
      <c r="N7" s="940"/>
    </row>
    <row r="8" spans="1:14" ht="29.25" customHeight="1">
      <c r="A8" s="3108" t="s">
        <v>1060</v>
      </c>
      <c r="B8" s="3109"/>
      <c r="C8" s="922">
        <v>132320</v>
      </c>
      <c r="D8" s="922">
        <v>38446</v>
      </c>
      <c r="E8" s="922">
        <v>86203</v>
      </c>
      <c r="F8" s="922">
        <v>7671</v>
      </c>
      <c r="G8" s="922">
        <v>56465</v>
      </c>
      <c r="H8" s="937">
        <v>42.673065296251508</v>
      </c>
      <c r="I8" s="922">
        <v>37109</v>
      </c>
      <c r="J8" s="922">
        <v>18779</v>
      </c>
      <c r="K8" s="941">
        <v>577</v>
      </c>
      <c r="M8" s="939"/>
      <c r="N8" s="940"/>
    </row>
    <row r="9" spans="1:14" ht="29.25" customHeight="1">
      <c r="A9" s="3108" t="s">
        <v>1061</v>
      </c>
      <c r="B9" s="3109"/>
      <c r="C9" s="922">
        <v>132067</v>
      </c>
      <c r="D9" s="922">
        <v>38358</v>
      </c>
      <c r="E9" s="922">
        <v>87025</v>
      </c>
      <c r="F9" s="922">
        <v>6684</v>
      </c>
      <c r="G9" s="922">
        <v>56433</v>
      </c>
      <c r="H9" s="937">
        <v>42.730583718869966</v>
      </c>
      <c r="I9" s="922">
        <v>36698</v>
      </c>
      <c r="J9" s="922">
        <v>19238</v>
      </c>
      <c r="K9" s="941">
        <v>497</v>
      </c>
      <c r="M9" s="939"/>
      <c r="N9" s="940"/>
    </row>
    <row r="10" spans="1:14" ht="29.25" customHeight="1">
      <c r="A10" s="3108" t="s">
        <v>1062</v>
      </c>
      <c r="B10" s="3109"/>
      <c r="C10" s="922">
        <v>139141</v>
      </c>
      <c r="D10" s="922">
        <v>41534</v>
      </c>
      <c r="E10" s="922">
        <v>89687</v>
      </c>
      <c r="F10" s="922">
        <v>7920</v>
      </c>
      <c r="G10" s="922">
        <v>60389</v>
      </c>
      <c r="H10" s="937">
        <v>43.401297963935868</v>
      </c>
      <c r="I10" s="922">
        <v>40338</v>
      </c>
      <c r="J10" s="922">
        <v>19446</v>
      </c>
      <c r="K10" s="941">
        <v>605</v>
      </c>
      <c r="M10" s="939"/>
      <c r="N10" s="940"/>
    </row>
    <row r="11" spans="1:14" ht="29.25" customHeight="1">
      <c r="A11" s="3108" t="s">
        <v>1063</v>
      </c>
      <c r="B11" s="3109"/>
      <c r="C11" s="922">
        <v>138972</v>
      </c>
      <c r="D11" s="922">
        <v>37567</v>
      </c>
      <c r="E11" s="922">
        <v>94579</v>
      </c>
      <c r="F11" s="922">
        <v>6826</v>
      </c>
      <c r="G11" s="922">
        <v>57464</v>
      </c>
      <c r="H11" s="937">
        <v>41.349336557004293</v>
      </c>
      <c r="I11" s="922">
        <v>35957</v>
      </c>
      <c r="J11" s="922">
        <v>21064</v>
      </c>
      <c r="K11" s="941">
        <v>443</v>
      </c>
      <c r="M11" s="939"/>
      <c r="N11" s="940"/>
    </row>
    <row r="12" spans="1:14" ht="29.25" customHeight="1">
      <c r="A12" s="3108" t="s">
        <v>1064</v>
      </c>
      <c r="B12" s="3109"/>
      <c r="C12" s="922">
        <v>140520</v>
      </c>
      <c r="D12" s="922">
        <v>35350</v>
      </c>
      <c r="E12" s="922">
        <v>99088</v>
      </c>
      <c r="F12" s="922">
        <v>6082</v>
      </c>
      <c r="G12" s="922">
        <v>54095</v>
      </c>
      <c r="H12" s="937">
        <v>38.496299459151722</v>
      </c>
      <c r="I12" s="922">
        <v>33405</v>
      </c>
      <c r="J12" s="922">
        <v>20342</v>
      </c>
      <c r="K12" s="941">
        <v>348</v>
      </c>
      <c r="M12" s="939"/>
      <c r="N12" s="940"/>
    </row>
    <row r="13" spans="1:14" ht="29.25" customHeight="1">
      <c r="A13" s="3108" t="s">
        <v>1065</v>
      </c>
      <c r="B13" s="3109"/>
      <c r="C13" s="922">
        <v>156206</v>
      </c>
      <c r="D13" s="922">
        <v>39439</v>
      </c>
      <c r="E13" s="922">
        <v>110457</v>
      </c>
      <c r="F13" s="922">
        <v>6310</v>
      </c>
      <c r="G13" s="922">
        <v>57830</v>
      </c>
      <c r="H13" s="937">
        <v>37.021625289681573</v>
      </c>
      <c r="I13" s="922">
        <v>36263</v>
      </c>
      <c r="J13" s="922">
        <v>21250</v>
      </c>
      <c r="K13" s="941">
        <v>317</v>
      </c>
      <c r="M13" s="939"/>
      <c r="N13" s="940"/>
    </row>
    <row r="14" spans="1:14" ht="29.25" customHeight="1">
      <c r="A14" s="3108" t="s">
        <v>1066</v>
      </c>
      <c r="B14" s="3109"/>
      <c r="C14" s="922">
        <v>163507</v>
      </c>
      <c r="D14" s="922">
        <v>38189</v>
      </c>
      <c r="E14" s="922">
        <v>117491</v>
      </c>
      <c r="F14" s="922">
        <v>7827</v>
      </c>
      <c r="G14" s="922">
        <v>57636</v>
      </c>
      <c r="H14" s="937">
        <v>35.249866978172193</v>
      </c>
      <c r="I14" s="922">
        <v>35294</v>
      </c>
      <c r="J14" s="922">
        <v>21866</v>
      </c>
      <c r="K14" s="941">
        <v>476</v>
      </c>
      <c r="M14" s="939"/>
      <c r="N14" s="940"/>
    </row>
    <row r="15" spans="1:14" ht="29.25" customHeight="1">
      <c r="A15" s="3120" t="s">
        <v>1067</v>
      </c>
      <c r="B15" s="3121"/>
      <c r="C15" s="927">
        <v>168311</v>
      </c>
      <c r="D15" s="927">
        <v>35094</v>
      </c>
      <c r="E15" s="927">
        <v>125231</v>
      </c>
      <c r="F15" s="927">
        <v>7986</v>
      </c>
      <c r="G15" s="927">
        <v>56506</v>
      </c>
      <c r="H15" s="942">
        <v>33.572374948755581</v>
      </c>
      <c r="I15" s="927">
        <v>32686</v>
      </c>
      <c r="J15" s="927">
        <v>23255</v>
      </c>
      <c r="K15" s="943">
        <v>565</v>
      </c>
      <c r="M15" s="939"/>
      <c r="N15" s="940"/>
    </row>
    <row r="16" spans="1:14" s="703" customFormat="1" ht="31.5" customHeight="1">
      <c r="A16" s="3119" t="s">
        <v>1128</v>
      </c>
      <c r="B16" s="3119"/>
      <c r="C16" s="3119"/>
      <c r="D16" s="3119"/>
      <c r="E16" s="3119"/>
      <c r="F16" s="3119"/>
      <c r="G16" s="3119"/>
      <c r="H16" s="3119"/>
      <c r="I16" s="3119"/>
      <c r="J16" s="3119"/>
      <c r="K16" s="3119"/>
    </row>
    <row r="17" spans="1:2">
      <c r="A17" s="665"/>
      <c r="B17" s="665"/>
    </row>
  </sheetData>
  <mergeCells count="23">
    <mergeCell ref="A16:K16"/>
    <mergeCell ref="A10:B10"/>
    <mergeCell ref="A11:B11"/>
    <mergeCell ref="A12:B12"/>
    <mergeCell ref="A13:B13"/>
    <mergeCell ref="A14:B14"/>
    <mergeCell ref="A15:B15"/>
    <mergeCell ref="A9:B9"/>
    <mergeCell ref="A1:K1"/>
    <mergeCell ref="A3:B5"/>
    <mergeCell ref="C3:F3"/>
    <mergeCell ref="G3:K3"/>
    <mergeCell ref="C4:C5"/>
    <mergeCell ref="D4:D5"/>
    <mergeCell ref="E4:E5"/>
    <mergeCell ref="F4:F5"/>
    <mergeCell ref="G4:G5"/>
    <mergeCell ref="I4:I5"/>
    <mergeCell ref="J4:J5"/>
    <mergeCell ref="K4:K5"/>
    <mergeCell ref="A6:B6"/>
    <mergeCell ref="A7:B7"/>
    <mergeCell ref="A8:B8"/>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8"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R34"/>
  <sheetViews>
    <sheetView showGridLines="0" zoomScaleNormal="100" workbookViewId="0">
      <selection activeCell="B16" sqref="B16"/>
    </sheetView>
  </sheetViews>
  <sheetFormatPr defaultColWidth="9" defaultRowHeight="15.75"/>
  <cols>
    <col min="1" max="1" width="5.375" style="659" customWidth="1"/>
    <col min="2" max="2" width="4.875" style="961" customWidth="1"/>
    <col min="3" max="10" width="10.5" style="659" customWidth="1"/>
    <col min="11" max="15" width="10.5" style="962" customWidth="1"/>
    <col min="16" max="16384" width="9" style="659"/>
  </cols>
  <sheetData>
    <row r="1" spans="1:18" s="944" customFormat="1" ht="20.25">
      <c r="A1" s="2964" t="s">
        <v>1129</v>
      </c>
      <c r="B1" s="2964"/>
      <c r="C1" s="2964"/>
      <c r="D1" s="2964"/>
      <c r="E1" s="2964"/>
      <c r="F1" s="2964"/>
      <c r="G1" s="2964"/>
      <c r="H1" s="2964"/>
      <c r="I1" s="2964"/>
      <c r="J1" s="2964"/>
      <c r="K1" s="2964"/>
      <c r="L1" s="2964"/>
      <c r="M1" s="2964"/>
      <c r="N1" s="2964"/>
      <c r="O1" s="2964"/>
    </row>
    <row r="2" spans="1:18" s="688" customFormat="1" ht="16.5" customHeight="1">
      <c r="B2" s="945"/>
      <c r="J2" s="946"/>
      <c r="K2" s="947"/>
      <c r="L2" s="948"/>
      <c r="M2" s="3122" t="s">
        <v>1130</v>
      </c>
      <c r="N2" s="3122"/>
      <c r="O2" s="3122"/>
    </row>
    <row r="3" spans="1:18" ht="22.7" customHeight="1">
      <c r="A3" s="3123"/>
      <c r="B3" s="3123"/>
      <c r="C3" s="3126" t="s">
        <v>1131</v>
      </c>
      <c r="D3" s="3069" t="s">
        <v>1132</v>
      </c>
      <c r="E3" s="3069"/>
      <c r="F3" s="3069"/>
      <c r="G3" s="3069"/>
      <c r="H3" s="3069"/>
      <c r="I3" s="3069"/>
      <c r="J3" s="3069"/>
      <c r="K3" s="3129" t="s">
        <v>1133</v>
      </c>
      <c r="L3" s="3129"/>
      <c r="M3" s="3129"/>
      <c r="N3" s="3129"/>
      <c r="O3" s="3130"/>
      <c r="P3" s="694"/>
    </row>
    <row r="4" spans="1:18" ht="18" customHeight="1">
      <c r="A4" s="3124"/>
      <c r="B4" s="3124"/>
      <c r="C4" s="3127"/>
      <c r="D4" s="3131" t="s">
        <v>1134</v>
      </c>
      <c r="E4" s="3069" t="s">
        <v>1135</v>
      </c>
      <c r="F4" s="3069"/>
      <c r="G4" s="3069"/>
      <c r="H4" s="3069"/>
      <c r="I4" s="3069"/>
      <c r="J4" s="3131" t="s">
        <v>1136</v>
      </c>
      <c r="K4" s="3134" t="s">
        <v>1134</v>
      </c>
      <c r="L4" s="3134" t="s">
        <v>1137</v>
      </c>
      <c r="M4" s="3134" t="s">
        <v>1138</v>
      </c>
      <c r="N4" s="3134" t="s">
        <v>1139</v>
      </c>
      <c r="O4" s="3137" t="s">
        <v>1140</v>
      </c>
      <c r="P4" s="694"/>
    </row>
    <row r="5" spans="1:18" ht="18" customHeight="1">
      <c r="A5" s="3124"/>
      <c r="B5" s="3124"/>
      <c r="C5" s="3127"/>
      <c r="D5" s="3132"/>
      <c r="E5" s="3131" t="s">
        <v>1141</v>
      </c>
      <c r="F5" s="3131" t="s">
        <v>1142</v>
      </c>
      <c r="G5" s="3131" t="s">
        <v>1143</v>
      </c>
      <c r="H5" s="3131" t="s">
        <v>1144</v>
      </c>
      <c r="I5" s="3131" t="s">
        <v>1140</v>
      </c>
      <c r="J5" s="3132"/>
      <c r="K5" s="3135"/>
      <c r="L5" s="3135"/>
      <c r="M5" s="3135"/>
      <c r="N5" s="3135"/>
      <c r="O5" s="3138"/>
      <c r="P5" s="694"/>
    </row>
    <row r="6" spans="1:18" ht="18" customHeight="1">
      <c r="A6" s="3124"/>
      <c r="B6" s="3124"/>
      <c r="C6" s="3127"/>
      <c r="D6" s="3132"/>
      <c r="E6" s="3132"/>
      <c r="F6" s="3132"/>
      <c r="G6" s="3132"/>
      <c r="H6" s="3132"/>
      <c r="I6" s="3132"/>
      <c r="J6" s="3132"/>
      <c r="K6" s="3135"/>
      <c r="L6" s="3135"/>
      <c r="M6" s="3135"/>
      <c r="N6" s="3135"/>
      <c r="O6" s="3138"/>
      <c r="P6" s="694"/>
    </row>
    <row r="7" spans="1:18" ht="18" customHeight="1">
      <c r="A7" s="3124"/>
      <c r="B7" s="3124"/>
      <c r="C7" s="3127"/>
      <c r="D7" s="3132"/>
      <c r="E7" s="3132"/>
      <c r="F7" s="3132"/>
      <c r="G7" s="3132"/>
      <c r="H7" s="3132"/>
      <c r="I7" s="3132"/>
      <c r="J7" s="3132"/>
      <c r="K7" s="3135"/>
      <c r="L7" s="3135"/>
      <c r="M7" s="3135"/>
      <c r="N7" s="3135"/>
      <c r="O7" s="3138"/>
      <c r="P7" s="694"/>
    </row>
    <row r="8" spans="1:18" ht="18" customHeight="1">
      <c r="A8" s="3124"/>
      <c r="B8" s="3124"/>
      <c r="C8" s="3127"/>
      <c r="D8" s="3132"/>
      <c r="E8" s="3132"/>
      <c r="F8" s="3132"/>
      <c r="G8" s="3132"/>
      <c r="H8" s="3132"/>
      <c r="I8" s="3132"/>
      <c r="J8" s="3132"/>
      <c r="K8" s="3135"/>
      <c r="L8" s="3135"/>
      <c r="M8" s="3135"/>
      <c r="N8" s="3135"/>
      <c r="O8" s="3138"/>
      <c r="P8" s="694"/>
    </row>
    <row r="9" spans="1:18" ht="18" customHeight="1">
      <c r="A9" s="3124"/>
      <c r="B9" s="3124"/>
      <c r="C9" s="3127"/>
      <c r="D9" s="3132"/>
      <c r="E9" s="3132"/>
      <c r="F9" s="3132"/>
      <c r="G9" s="3132"/>
      <c r="H9" s="3132"/>
      <c r="I9" s="3132"/>
      <c r="J9" s="3132"/>
      <c r="K9" s="3135"/>
      <c r="L9" s="3135"/>
      <c r="M9" s="3135"/>
      <c r="N9" s="3135"/>
      <c r="O9" s="3138"/>
      <c r="P9" s="694"/>
    </row>
    <row r="10" spans="1:18">
      <c r="A10" s="3125"/>
      <c r="B10" s="3125"/>
      <c r="C10" s="3128"/>
      <c r="D10" s="3133"/>
      <c r="E10" s="3133"/>
      <c r="F10" s="3133"/>
      <c r="G10" s="3133"/>
      <c r="H10" s="3133"/>
      <c r="I10" s="3133"/>
      <c r="J10" s="3133"/>
      <c r="K10" s="3136"/>
      <c r="L10" s="3136"/>
      <c r="M10" s="3136"/>
      <c r="N10" s="3136"/>
      <c r="O10" s="3139"/>
      <c r="P10" s="694"/>
    </row>
    <row r="11" spans="1:18" ht="15" customHeight="1">
      <c r="A11" s="3108" t="s">
        <v>1145</v>
      </c>
      <c r="B11" s="949" t="s">
        <v>773</v>
      </c>
      <c r="C11" s="950">
        <v>121820</v>
      </c>
      <c r="D11" s="950">
        <v>51558</v>
      </c>
      <c r="E11" s="950">
        <v>2</v>
      </c>
      <c r="F11" s="950">
        <v>173</v>
      </c>
      <c r="G11" s="950">
        <v>3</v>
      </c>
      <c r="H11" s="950">
        <v>50857</v>
      </c>
      <c r="I11" s="950">
        <v>32</v>
      </c>
      <c r="J11" s="950">
        <v>491</v>
      </c>
      <c r="K11" s="950">
        <v>50402</v>
      </c>
      <c r="L11" s="951">
        <v>43004.68</v>
      </c>
      <c r="M11" s="951">
        <v>5877.86</v>
      </c>
      <c r="N11" s="951">
        <v>3</v>
      </c>
      <c r="O11" s="952">
        <v>1516.46</v>
      </c>
      <c r="P11" s="694"/>
    </row>
    <row r="12" spans="1:18" ht="15" customHeight="1">
      <c r="A12" s="3108"/>
      <c r="B12" s="953" t="s">
        <v>1146</v>
      </c>
      <c r="C12" s="954"/>
      <c r="D12" s="951" t="s">
        <v>1147</v>
      </c>
      <c r="E12" s="951">
        <v>3.8791264207300516E-3</v>
      </c>
      <c r="F12" s="951">
        <v>0.33554443539314949</v>
      </c>
      <c r="G12" s="951">
        <v>5.8186896310950774E-3</v>
      </c>
      <c r="H12" s="951">
        <v>98.640366189534106</v>
      </c>
      <c r="I12" s="951">
        <v>6.2066022731680826E-2</v>
      </c>
      <c r="J12" s="951">
        <v>0.95232553628922767</v>
      </c>
      <c r="K12" s="951">
        <v>100</v>
      </c>
      <c r="L12" s="951">
        <v>85.323360184119679</v>
      </c>
      <c r="M12" s="951">
        <v>11.661957858815125</v>
      </c>
      <c r="N12" s="951">
        <v>5.9521447561604697E-3</v>
      </c>
      <c r="O12" s="955">
        <v>3.0087298123090358</v>
      </c>
      <c r="P12" s="694"/>
    </row>
    <row r="13" spans="1:18" ht="15" customHeight="1">
      <c r="A13" s="3108" t="s">
        <v>1107</v>
      </c>
      <c r="B13" s="949" t="s">
        <v>773</v>
      </c>
      <c r="C13" s="950">
        <v>128333</v>
      </c>
      <c r="D13" s="950">
        <v>56773</v>
      </c>
      <c r="E13" s="950">
        <v>9</v>
      </c>
      <c r="F13" s="950">
        <v>138</v>
      </c>
      <c r="G13" s="950">
        <v>3</v>
      </c>
      <c r="H13" s="950">
        <v>55992</v>
      </c>
      <c r="I13" s="950">
        <v>30</v>
      </c>
      <c r="J13" s="950">
        <v>601</v>
      </c>
      <c r="K13" s="950">
        <v>55246</v>
      </c>
      <c r="L13" s="951">
        <v>48276.36</v>
      </c>
      <c r="M13" s="951">
        <v>5392.76</v>
      </c>
      <c r="N13" s="951">
        <v>9.5</v>
      </c>
      <c r="O13" s="955">
        <v>1567.38</v>
      </c>
      <c r="P13" s="694"/>
      <c r="Q13" s="956"/>
      <c r="R13" s="957"/>
    </row>
    <row r="14" spans="1:18" ht="15" customHeight="1">
      <c r="A14" s="3108"/>
      <c r="B14" s="953" t="s">
        <v>400</v>
      </c>
      <c r="C14" s="954"/>
      <c r="D14" s="951" t="s">
        <v>1148</v>
      </c>
      <c r="E14" s="951">
        <v>1.5852605992285065E-2</v>
      </c>
      <c r="F14" s="951">
        <v>0.24307329188170435</v>
      </c>
      <c r="G14" s="951">
        <v>5.2842019974283548E-3</v>
      </c>
      <c r="H14" s="951">
        <v>98.624346080002823</v>
      </c>
      <c r="I14" s="951">
        <v>5.2842019974283547E-2</v>
      </c>
      <c r="J14" s="951">
        <v>1.0586018001514805</v>
      </c>
      <c r="K14" s="951">
        <v>100</v>
      </c>
      <c r="L14" s="951">
        <v>87.384353618361516</v>
      </c>
      <c r="M14" s="951">
        <v>9.7613582883828691</v>
      </c>
      <c r="N14" s="951">
        <v>1.7195815081634869E-2</v>
      </c>
      <c r="O14" s="955">
        <v>2.8370922781739858</v>
      </c>
      <c r="P14" s="694"/>
      <c r="Q14" s="956"/>
      <c r="R14" s="958"/>
    </row>
    <row r="15" spans="1:18" ht="15" customHeight="1">
      <c r="A15" s="3108" t="s">
        <v>1060</v>
      </c>
      <c r="B15" s="949" t="s">
        <v>1149</v>
      </c>
      <c r="C15" s="950">
        <v>132320</v>
      </c>
      <c r="D15" s="950">
        <v>57067</v>
      </c>
      <c r="E15" s="950">
        <v>9</v>
      </c>
      <c r="F15" s="950">
        <v>119</v>
      </c>
      <c r="G15" s="950">
        <v>0</v>
      </c>
      <c r="H15" s="950">
        <v>56405</v>
      </c>
      <c r="I15" s="950">
        <v>30</v>
      </c>
      <c r="J15" s="950">
        <v>504</v>
      </c>
      <c r="K15" s="950">
        <v>55996</v>
      </c>
      <c r="L15" s="951">
        <v>49274.879999999997</v>
      </c>
      <c r="M15" s="951">
        <v>5128.25</v>
      </c>
      <c r="N15" s="951">
        <v>6.7</v>
      </c>
      <c r="O15" s="955">
        <v>1586.17</v>
      </c>
      <c r="P15" s="694"/>
      <c r="Q15" s="956"/>
      <c r="R15" s="957"/>
    </row>
    <row r="16" spans="1:18" ht="15" customHeight="1">
      <c r="A16" s="3108"/>
      <c r="B16" s="953" t="s">
        <v>1146</v>
      </c>
      <c r="C16" s="954"/>
      <c r="D16" s="951" t="s">
        <v>1148</v>
      </c>
      <c r="E16" s="951">
        <v>1.5770935917430388E-2</v>
      </c>
      <c r="F16" s="951">
        <v>0.20852681935269071</v>
      </c>
      <c r="G16" s="951">
        <v>0</v>
      </c>
      <c r="H16" s="951">
        <v>98.839960046962332</v>
      </c>
      <c r="I16" s="951">
        <v>5.2569786391434628E-2</v>
      </c>
      <c r="J16" s="951">
        <v>0.8831724113761017</v>
      </c>
      <c r="K16" s="951">
        <v>100</v>
      </c>
      <c r="L16" s="951">
        <v>87.997142653046652</v>
      </c>
      <c r="M16" s="951">
        <v>9.1582434459604265</v>
      </c>
      <c r="N16" s="951">
        <v>1.1965140367169084E-2</v>
      </c>
      <c r="O16" s="955">
        <v>2.8326487606257591</v>
      </c>
      <c r="P16" s="694"/>
      <c r="Q16" s="956"/>
      <c r="R16" s="958"/>
    </row>
    <row r="17" spans="1:18" ht="15" customHeight="1">
      <c r="A17" s="3108" t="s">
        <v>1061</v>
      </c>
      <c r="B17" s="949" t="s">
        <v>1149</v>
      </c>
      <c r="C17" s="950">
        <v>132067</v>
      </c>
      <c r="D17" s="950">
        <v>56938</v>
      </c>
      <c r="E17" s="950">
        <v>12</v>
      </c>
      <c r="F17" s="950">
        <v>140</v>
      </c>
      <c r="G17" s="950">
        <v>2</v>
      </c>
      <c r="H17" s="950">
        <v>56229</v>
      </c>
      <c r="I17" s="950">
        <v>28</v>
      </c>
      <c r="J17" s="950">
        <v>527</v>
      </c>
      <c r="K17" s="950">
        <v>55123</v>
      </c>
      <c r="L17" s="951">
        <v>48095.83</v>
      </c>
      <c r="M17" s="951">
        <v>5337.14</v>
      </c>
      <c r="N17" s="951">
        <v>6.5</v>
      </c>
      <c r="O17" s="955">
        <v>1683.53</v>
      </c>
      <c r="P17" s="694"/>
      <c r="Q17" s="956"/>
      <c r="R17" s="957"/>
    </row>
    <row r="18" spans="1:18" ht="15" customHeight="1">
      <c r="A18" s="3108"/>
      <c r="B18" s="953" t="s">
        <v>1150</v>
      </c>
      <c r="C18" s="954"/>
      <c r="D18" s="951" t="s">
        <v>1148</v>
      </c>
      <c r="E18" s="951">
        <v>2.1075555867786012E-2</v>
      </c>
      <c r="F18" s="951">
        <v>0.24588148512417013</v>
      </c>
      <c r="G18" s="951">
        <v>3.5125926446310024E-3</v>
      </c>
      <c r="H18" s="951">
        <v>98.754785907478322</v>
      </c>
      <c r="I18" s="951">
        <v>4.9176297024834031E-2</v>
      </c>
      <c r="J18" s="951">
        <v>0.92556816186026902</v>
      </c>
      <c r="K18" s="951">
        <v>100</v>
      </c>
      <c r="L18" s="951">
        <v>87.251836801335202</v>
      </c>
      <c r="M18" s="951">
        <v>9.6822379043230598</v>
      </c>
      <c r="N18" s="951">
        <v>1.1791811040763383E-2</v>
      </c>
      <c r="O18" s="955">
        <v>3.0541334833009812</v>
      </c>
      <c r="P18" s="694"/>
      <c r="Q18" s="956"/>
      <c r="R18" s="958"/>
    </row>
    <row r="19" spans="1:18" ht="15" customHeight="1">
      <c r="A19" s="3108" t="s">
        <v>1062</v>
      </c>
      <c r="B19" s="949" t="s">
        <v>773</v>
      </c>
      <c r="C19" s="950">
        <v>139141</v>
      </c>
      <c r="D19" s="950">
        <v>60917</v>
      </c>
      <c r="E19" s="950">
        <v>9</v>
      </c>
      <c r="F19" s="950">
        <v>122</v>
      </c>
      <c r="G19" s="950">
        <v>2</v>
      </c>
      <c r="H19" s="950">
        <v>60169</v>
      </c>
      <c r="I19" s="950">
        <v>25</v>
      </c>
      <c r="J19" s="950">
        <v>590</v>
      </c>
      <c r="K19" s="950">
        <v>59778</v>
      </c>
      <c r="L19" s="951">
        <v>52858.42</v>
      </c>
      <c r="M19" s="951">
        <v>5165.29</v>
      </c>
      <c r="N19" s="951">
        <v>14.2</v>
      </c>
      <c r="O19" s="955">
        <v>1740.09</v>
      </c>
      <c r="P19" s="694"/>
      <c r="Q19" s="956"/>
      <c r="R19" s="957"/>
    </row>
    <row r="20" spans="1:18" ht="15" customHeight="1">
      <c r="A20" s="3108"/>
      <c r="B20" s="953" t="s">
        <v>1150</v>
      </c>
      <c r="C20" s="954"/>
      <c r="D20" s="951" t="s">
        <v>1151</v>
      </c>
      <c r="E20" s="951">
        <v>1.4774200961964641E-2</v>
      </c>
      <c r="F20" s="951">
        <v>0.20027250192885404</v>
      </c>
      <c r="G20" s="951">
        <v>3.2831557693254756E-3</v>
      </c>
      <c r="H20" s="951">
        <v>98.772099742272275</v>
      </c>
      <c r="I20" s="951">
        <v>4.1039447116568442E-2</v>
      </c>
      <c r="J20" s="951">
        <v>0.96853095195101535</v>
      </c>
      <c r="K20" s="951">
        <v>100</v>
      </c>
      <c r="L20" s="951">
        <v>88.424537455251098</v>
      </c>
      <c r="M20" s="951">
        <v>8.6407875807153136</v>
      </c>
      <c r="N20" s="951">
        <v>2.3754558533239652E-2</v>
      </c>
      <c r="O20" s="955">
        <v>2.910920405500351</v>
      </c>
      <c r="P20" s="694"/>
      <c r="Q20" s="956"/>
      <c r="R20" s="958"/>
    </row>
    <row r="21" spans="1:18" ht="15" customHeight="1">
      <c r="A21" s="3108" t="s">
        <v>1063</v>
      </c>
      <c r="B21" s="949" t="s">
        <v>1152</v>
      </c>
      <c r="C21" s="950">
        <v>138972</v>
      </c>
      <c r="D21" s="950">
        <v>58054</v>
      </c>
      <c r="E21" s="950">
        <v>8</v>
      </c>
      <c r="F21" s="950">
        <v>103</v>
      </c>
      <c r="G21" s="950">
        <v>3</v>
      </c>
      <c r="H21" s="950">
        <v>57184</v>
      </c>
      <c r="I21" s="950">
        <v>26</v>
      </c>
      <c r="J21" s="950">
        <v>730</v>
      </c>
      <c r="K21" s="950">
        <v>54212</v>
      </c>
      <c r="L21" s="951">
        <v>48158.36</v>
      </c>
      <c r="M21" s="951">
        <v>4427.37</v>
      </c>
      <c r="N21" s="951">
        <v>20.59</v>
      </c>
      <c r="O21" s="955">
        <v>1605.68</v>
      </c>
      <c r="P21" s="694"/>
      <c r="Q21" s="956"/>
      <c r="R21" s="957"/>
    </row>
    <row r="22" spans="1:18" ht="15" customHeight="1">
      <c r="A22" s="3108"/>
      <c r="B22" s="953" t="s">
        <v>934</v>
      </c>
      <c r="C22" s="954"/>
      <c r="D22" s="951" t="s">
        <v>1153</v>
      </c>
      <c r="E22" s="951">
        <v>1.3780273538429737E-2</v>
      </c>
      <c r="F22" s="951">
        <v>0.17742102180728286</v>
      </c>
      <c r="G22" s="951">
        <v>5.167602576911152E-3</v>
      </c>
      <c r="H22" s="951">
        <v>98.501395252695772</v>
      </c>
      <c r="I22" s="951">
        <v>4.4785888999896648E-2</v>
      </c>
      <c r="J22" s="951">
        <v>1.2574499603817135</v>
      </c>
      <c r="K22" s="951">
        <v>100</v>
      </c>
      <c r="L22" s="951">
        <v>88.833394820334988</v>
      </c>
      <c r="M22" s="951">
        <v>8.1667711945694688</v>
      </c>
      <c r="N22" s="951">
        <v>3.7980520917877958E-2</v>
      </c>
      <c r="O22" s="955">
        <v>2.9618534641776733</v>
      </c>
      <c r="P22" s="694"/>
      <c r="Q22" s="956"/>
      <c r="R22" s="958"/>
    </row>
    <row r="23" spans="1:18" ht="15" customHeight="1">
      <c r="A23" s="3108" t="s">
        <v>1064</v>
      </c>
      <c r="B23" s="949" t="s">
        <v>836</v>
      </c>
      <c r="C23" s="950">
        <v>140520</v>
      </c>
      <c r="D23" s="950">
        <v>54825</v>
      </c>
      <c r="E23" s="950">
        <v>5</v>
      </c>
      <c r="F23" s="950">
        <v>132</v>
      </c>
      <c r="G23" s="950">
        <v>0</v>
      </c>
      <c r="H23" s="950">
        <v>53731</v>
      </c>
      <c r="I23" s="950">
        <v>26</v>
      </c>
      <c r="J23" s="950">
        <v>931</v>
      </c>
      <c r="K23" s="950">
        <v>53662</v>
      </c>
      <c r="L23" s="951">
        <v>46939.77</v>
      </c>
      <c r="M23" s="951">
        <v>4823.08</v>
      </c>
      <c r="N23" s="951">
        <v>28.51</v>
      </c>
      <c r="O23" s="955">
        <v>1870.64</v>
      </c>
      <c r="P23" s="694"/>
      <c r="Q23" s="956"/>
      <c r="R23" s="957"/>
    </row>
    <row r="24" spans="1:18" ht="15" customHeight="1">
      <c r="A24" s="3108"/>
      <c r="B24" s="953" t="s">
        <v>1154</v>
      </c>
      <c r="C24" s="954"/>
      <c r="D24" s="951" t="s">
        <v>1153</v>
      </c>
      <c r="E24" s="951">
        <v>9.1199270405836752E-3</v>
      </c>
      <c r="F24" s="951">
        <v>0.24076607387140903</v>
      </c>
      <c r="G24" s="951">
        <v>0</v>
      </c>
      <c r="H24" s="951">
        <v>98.004559963520293</v>
      </c>
      <c r="I24" s="951">
        <v>4.7423620611035111E-2</v>
      </c>
      <c r="J24" s="951">
        <v>1.6981304149566803</v>
      </c>
      <c r="K24" s="951">
        <v>100</v>
      </c>
      <c r="L24" s="951">
        <v>87.473016287130562</v>
      </c>
      <c r="M24" s="951">
        <v>8.9878871454660647</v>
      </c>
      <c r="N24" s="951">
        <v>5.3128843501919425E-2</v>
      </c>
      <c r="O24" s="955">
        <v>3.4859677239014579</v>
      </c>
      <c r="P24" s="694"/>
      <c r="Q24" s="956"/>
      <c r="R24" s="958"/>
    </row>
    <row r="25" spans="1:18" ht="15" customHeight="1">
      <c r="A25" s="3108" t="s">
        <v>1065</v>
      </c>
      <c r="B25" s="949" t="s">
        <v>836</v>
      </c>
      <c r="C25" s="950">
        <v>156206</v>
      </c>
      <c r="D25" s="950">
        <v>58762</v>
      </c>
      <c r="E25" s="950">
        <v>9</v>
      </c>
      <c r="F25" s="950">
        <v>122</v>
      </c>
      <c r="G25" s="950">
        <v>1</v>
      </c>
      <c r="H25" s="950">
        <v>57767</v>
      </c>
      <c r="I25" s="950">
        <v>28</v>
      </c>
      <c r="J25" s="950">
        <v>835</v>
      </c>
      <c r="K25" s="950">
        <v>57301</v>
      </c>
      <c r="L25" s="951">
        <v>51489.54</v>
      </c>
      <c r="M25" s="951">
        <v>3907.79</v>
      </c>
      <c r="N25" s="951">
        <v>30.82</v>
      </c>
      <c r="O25" s="955">
        <v>1872.85</v>
      </c>
      <c r="P25" s="694"/>
      <c r="Q25" s="956"/>
      <c r="R25" s="957"/>
    </row>
    <row r="26" spans="1:18" ht="15" customHeight="1">
      <c r="A26" s="3108"/>
      <c r="B26" s="953" t="s">
        <v>934</v>
      </c>
      <c r="C26" s="954"/>
      <c r="D26" s="951" t="s">
        <v>1153</v>
      </c>
      <c r="E26" s="951">
        <v>1.5316020557503147E-2</v>
      </c>
      <c r="F26" s="951">
        <v>0.20761716755726489</v>
      </c>
      <c r="G26" s="951">
        <v>1.7017800619447943E-3</v>
      </c>
      <c r="H26" s="951">
        <v>98.306728838364933</v>
      </c>
      <c r="I26" s="951">
        <v>4.7649841734454239E-2</v>
      </c>
      <c r="J26" s="951">
        <v>1.4209863517239032</v>
      </c>
      <c r="K26" s="951">
        <v>100</v>
      </c>
      <c r="L26" s="951">
        <v>89.858012949163196</v>
      </c>
      <c r="M26" s="951">
        <v>6.8197588174726445</v>
      </c>
      <c r="N26" s="951">
        <v>5.3786146838624108E-2</v>
      </c>
      <c r="O26" s="955">
        <v>3.2684420865255399</v>
      </c>
      <c r="P26" s="694"/>
      <c r="Q26" s="956"/>
      <c r="R26" s="958"/>
    </row>
    <row r="27" spans="1:18" ht="15" customHeight="1">
      <c r="A27" s="3108" t="s">
        <v>1066</v>
      </c>
      <c r="B27" s="949" t="s">
        <v>1155</v>
      </c>
      <c r="C27" s="950">
        <v>163507</v>
      </c>
      <c r="D27" s="950">
        <v>58470</v>
      </c>
      <c r="E27" s="950">
        <v>9</v>
      </c>
      <c r="F27" s="950">
        <v>145</v>
      </c>
      <c r="G27" s="950">
        <v>2</v>
      </c>
      <c r="H27" s="950">
        <v>57334</v>
      </c>
      <c r="I27" s="950">
        <v>32</v>
      </c>
      <c r="J27" s="950">
        <v>948</v>
      </c>
      <c r="K27" s="950">
        <v>57197</v>
      </c>
      <c r="L27" s="951">
        <v>52297.25</v>
      </c>
      <c r="M27" s="951">
        <v>3115.26</v>
      </c>
      <c r="N27" s="951">
        <v>40.64</v>
      </c>
      <c r="O27" s="955">
        <v>1743.85</v>
      </c>
      <c r="P27" s="694"/>
      <c r="Q27" s="956"/>
      <c r="R27" s="957"/>
    </row>
    <row r="28" spans="1:18" ht="15" customHeight="1">
      <c r="A28" s="3108"/>
      <c r="B28" s="953" t="s">
        <v>934</v>
      </c>
      <c r="C28" s="954"/>
      <c r="D28" s="951" t="s">
        <v>1153</v>
      </c>
      <c r="E28" s="951">
        <v>1.5392508978963571E-2</v>
      </c>
      <c r="F28" s="951">
        <v>0.24799042243885752</v>
      </c>
      <c r="G28" s="951">
        <v>3.4205575508807935E-3</v>
      </c>
      <c r="H28" s="951">
        <v>98.057123311099716</v>
      </c>
      <c r="I28" s="951">
        <v>5.4728920814092696E-2</v>
      </c>
      <c r="J28" s="951">
        <v>1.6213442791174961</v>
      </c>
      <c r="K28" s="951">
        <v>100</v>
      </c>
      <c r="L28" s="951">
        <v>91.433554207388497</v>
      </c>
      <c r="M28" s="951">
        <v>5.4465443991817759</v>
      </c>
      <c r="N28" s="951">
        <v>7.1052677587985377E-2</v>
      </c>
      <c r="O28" s="955">
        <v>3.0488487158417401</v>
      </c>
      <c r="P28" s="694"/>
      <c r="Q28" s="956"/>
      <c r="R28" s="958"/>
    </row>
    <row r="29" spans="1:18" ht="15" customHeight="1">
      <c r="A29" s="3108" t="s">
        <v>1067</v>
      </c>
      <c r="B29" s="949" t="s">
        <v>1155</v>
      </c>
      <c r="C29" s="950">
        <v>168311</v>
      </c>
      <c r="D29" s="950">
        <v>57458</v>
      </c>
      <c r="E29" s="950">
        <v>7</v>
      </c>
      <c r="F29" s="950">
        <v>153</v>
      </c>
      <c r="G29" s="950">
        <v>1</v>
      </c>
      <c r="H29" s="950">
        <v>56442</v>
      </c>
      <c r="I29" s="950">
        <v>22</v>
      </c>
      <c r="J29" s="950">
        <v>833</v>
      </c>
      <c r="K29" s="950">
        <v>55505</v>
      </c>
      <c r="L29" s="951">
        <v>50151.7</v>
      </c>
      <c r="M29" s="951">
        <v>3533.07</v>
      </c>
      <c r="N29" s="951">
        <v>32.380000000000003</v>
      </c>
      <c r="O29" s="955">
        <v>1787.85</v>
      </c>
      <c r="P29" s="694"/>
      <c r="Q29" s="956"/>
      <c r="R29" s="957"/>
    </row>
    <row r="30" spans="1:18" ht="15" customHeight="1">
      <c r="A30" s="3108"/>
      <c r="B30" s="953" t="s">
        <v>934</v>
      </c>
      <c r="C30" s="954"/>
      <c r="D30" s="951" t="s">
        <v>1153</v>
      </c>
      <c r="E30" s="951">
        <v>1.2182811792961816E-2</v>
      </c>
      <c r="F30" s="951">
        <v>0.26628145776045109</v>
      </c>
      <c r="G30" s="951">
        <v>1.7404016847088308E-3</v>
      </c>
      <c r="H30" s="951">
        <v>98.231751888335822</v>
      </c>
      <c r="I30" s="951">
        <v>3.8288837063594282E-2</v>
      </c>
      <c r="J30" s="951">
        <v>1.449754603362456</v>
      </c>
      <c r="K30" s="951">
        <v>100</v>
      </c>
      <c r="L30" s="951">
        <v>90.355283307810097</v>
      </c>
      <c r="M30" s="951">
        <v>6.3653184397802001</v>
      </c>
      <c r="N30" s="951">
        <v>5.8337086748941544E-2</v>
      </c>
      <c r="O30" s="955">
        <v>3.2210611656607511</v>
      </c>
      <c r="P30" s="694"/>
      <c r="Q30" s="956"/>
      <c r="R30" s="958"/>
    </row>
    <row r="31" spans="1:18" s="703" customFormat="1" ht="14.25">
      <c r="A31" s="3142" t="s">
        <v>846</v>
      </c>
      <c r="B31" s="3142"/>
      <c r="C31" s="3142"/>
      <c r="D31" s="3142"/>
      <c r="E31" s="3142"/>
      <c r="F31" s="3142"/>
      <c r="G31" s="3142"/>
      <c r="H31" s="3142"/>
      <c r="I31" s="3142"/>
      <c r="J31" s="3142"/>
      <c r="K31" s="3142"/>
      <c r="L31" s="3142"/>
      <c r="M31" s="3142"/>
      <c r="N31" s="3142"/>
      <c r="O31" s="3142"/>
      <c r="P31" s="959"/>
    </row>
    <row r="32" spans="1:18" s="703" customFormat="1" ht="27.75" customHeight="1">
      <c r="A32" s="3143" t="s">
        <v>1156</v>
      </c>
      <c r="B32" s="3144"/>
      <c r="C32" s="3144"/>
      <c r="D32" s="3144"/>
      <c r="E32" s="3144"/>
      <c r="F32" s="3144"/>
      <c r="G32" s="3144"/>
      <c r="H32" s="3144"/>
      <c r="I32" s="3144"/>
      <c r="J32" s="3144"/>
      <c r="K32" s="3144"/>
      <c r="L32" s="3144"/>
      <c r="M32" s="3144"/>
      <c r="N32" s="3144"/>
      <c r="O32" s="3144"/>
      <c r="P32" s="959"/>
    </row>
    <row r="33" spans="1:16">
      <c r="A33" s="3140"/>
      <c r="B33" s="3140"/>
      <c r="C33" s="3140"/>
      <c r="D33" s="3140"/>
      <c r="E33" s="3140"/>
      <c r="F33" s="3140"/>
      <c r="G33" s="3140"/>
      <c r="H33" s="3140"/>
      <c r="I33" s="3140"/>
      <c r="J33" s="3140"/>
      <c r="K33" s="3140"/>
      <c r="L33" s="3140"/>
      <c r="M33" s="3140"/>
      <c r="N33" s="3140"/>
      <c r="O33" s="3140"/>
      <c r="P33" s="960"/>
    </row>
    <row r="34" spans="1:16">
      <c r="A34" s="3141" t="s">
        <v>1157</v>
      </c>
      <c r="B34" s="3141"/>
      <c r="C34" s="3141"/>
      <c r="D34" s="3141"/>
      <c r="E34" s="3141"/>
      <c r="F34" s="3141"/>
      <c r="G34" s="3141"/>
      <c r="H34" s="3141"/>
      <c r="I34" s="3141"/>
      <c r="J34" s="3141"/>
      <c r="K34" s="3141"/>
      <c r="L34" s="3141"/>
      <c r="M34" s="3141"/>
      <c r="N34" s="3141"/>
      <c r="O34" s="3141"/>
    </row>
  </sheetData>
  <mergeCells count="33">
    <mergeCell ref="A33:O33"/>
    <mergeCell ref="A34:O34"/>
    <mergeCell ref="A23:A24"/>
    <mergeCell ref="A25:A26"/>
    <mergeCell ref="A27:A28"/>
    <mergeCell ref="A29:A30"/>
    <mergeCell ref="A31:O31"/>
    <mergeCell ref="A32:O32"/>
    <mergeCell ref="A21:A22"/>
    <mergeCell ref="L4:L10"/>
    <mergeCell ref="M4:M10"/>
    <mergeCell ref="N4:N10"/>
    <mergeCell ref="O4:O10"/>
    <mergeCell ref="E5:E10"/>
    <mergeCell ref="F5:F10"/>
    <mergeCell ref="G5:G10"/>
    <mergeCell ref="H5:H10"/>
    <mergeCell ref="I5:I10"/>
    <mergeCell ref="A11:A12"/>
    <mergeCell ref="A13:A14"/>
    <mergeCell ref="A15:A16"/>
    <mergeCell ref="A17:A18"/>
    <mergeCell ref="A19:A20"/>
    <mergeCell ref="A1:O1"/>
    <mergeCell ref="M2:O2"/>
    <mergeCell ref="A3:B10"/>
    <mergeCell ref="C3:C10"/>
    <mergeCell ref="D3:J3"/>
    <mergeCell ref="K3:O3"/>
    <mergeCell ref="D4:D10"/>
    <mergeCell ref="E4:I4"/>
    <mergeCell ref="J4:J10"/>
    <mergeCell ref="K4:K10"/>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2" orientation="landscape" r:id="rId1"/>
  <headerFooter differentOddEven="1" scaleWithDoc="0">
    <oddHeader>&amp;L&amp;"Times New Roman,標準"&amp;8 107&amp;"標楷體,標準"年犯罪狀況及其分析</oddHeader>
    <evenHeader>&amp;R&amp;"標楷體,標準"&amp;8第二篇　犯罪之處理</even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FU19"/>
  <sheetViews>
    <sheetView showGridLines="0" workbookViewId="0">
      <selection activeCell="B16" sqref="B16"/>
    </sheetView>
  </sheetViews>
  <sheetFormatPr defaultColWidth="13" defaultRowHeight="15.75"/>
  <cols>
    <col min="1" max="1" width="7.5" style="659" customWidth="1"/>
    <col min="2" max="2" width="3.125" style="659" customWidth="1"/>
    <col min="3" max="3" width="10.375" style="659" customWidth="1"/>
    <col min="4" max="4" width="10" style="659" customWidth="1"/>
    <col min="5" max="6" width="9.375" style="659" customWidth="1"/>
    <col min="7" max="7" width="10.375" style="659" customWidth="1"/>
    <col min="8" max="8" width="10.125" style="659" customWidth="1"/>
    <col min="9" max="10" width="9.625" style="659" customWidth="1"/>
    <col min="11" max="11" width="9.75" style="659" customWidth="1"/>
    <col min="12" max="12" width="11.5" style="659" customWidth="1"/>
    <col min="13" max="13" width="9.875" style="659" customWidth="1"/>
    <col min="14" max="177" width="13" style="694" customWidth="1"/>
    <col min="178" max="16384" width="13" style="659"/>
  </cols>
  <sheetData>
    <row r="1" spans="1:177" s="944" customFormat="1" ht="30.6" customHeight="1">
      <c r="A1" s="3145" t="s">
        <v>1158</v>
      </c>
      <c r="B1" s="3145"/>
      <c r="C1" s="3145"/>
      <c r="D1" s="3145"/>
      <c r="E1" s="3145"/>
      <c r="F1" s="3145"/>
      <c r="G1" s="3145"/>
      <c r="H1" s="3145"/>
      <c r="I1" s="3145"/>
      <c r="J1" s="3145"/>
      <c r="K1" s="3145"/>
      <c r="L1" s="3145"/>
      <c r="M1" s="3145"/>
      <c r="N1" s="963"/>
      <c r="O1" s="963"/>
      <c r="P1" s="963"/>
      <c r="Q1" s="963"/>
      <c r="R1" s="963"/>
      <c r="S1" s="963"/>
      <c r="T1" s="963"/>
      <c r="U1" s="963"/>
      <c r="V1" s="963"/>
      <c r="W1" s="963"/>
      <c r="X1" s="963"/>
      <c r="Y1" s="963"/>
      <c r="Z1" s="963"/>
      <c r="AA1" s="963"/>
      <c r="AB1" s="963"/>
      <c r="AC1" s="963"/>
      <c r="AD1" s="963"/>
      <c r="AE1" s="963"/>
      <c r="AF1" s="963"/>
      <c r="AG1" s="963"/>
      <c r="AH1" s="963"/>
      <c r="AI1" s="963"/>
      <c r="AJ1" s="963"/>
      <c r="AK1" s="963"/>
      <c r="AL1" s="963"/>
      <c r="AM1" s="963"/>
      <c r="AN1" s="963"/>
      <c r="AO1" s="963"/>
      <c r="AP1" s="963"/>
      <c r="AQ1" s="963"/>
      <c r="AR1" s="963"/>
      <c r="AS1" s="963"/>
      <c r="AT1" s="963"/>
      <c r="AU1" s="963"/>
      <c r="AV1" s="963"/>
      <c r="AW1" s="963"/>
      <c r="AX1" s="963"/>
      <c r="AY1" s="963"/>
      <c r="AZ1" s="963"/>
      <c r="BA1" s="963"/>
      <c r="BB1" s="963"/>
      <c r="BC1" s="963"/>
      <c r="BD1" s="963"/>
      <c r="BE1" s="963"/>
      <c r="BF1" s="963"/>
      <c r="BG1" s="963"/>
      <c r="BH1" s="963"/>
      <c r="BI1" s="963"/>
      <c r="BJ1" s="963"/>
      <c r="BK1" s="963"/>
      <c r="BL1" s="963"/>
      <c r="BM1" s="963"/>
      <c r="BN1" s="963"/>
      <c r="BO1" s="963"/>
      <c r="BP1" s="963"/>
      <c r="BQ1" s="963"/>
      <c r="BR1" s="963"/>
      <c r="BS1" s="963"/>
      <c r="BT1" s="963"/>
      <c r="BU1" s="963"/>
      <c r="BV1" s="963"/>
      <c r="BW1" s="963"/>
      <c r="BX1" s="963"/>
      <c r="BY1" s="963"/>
      <c r="BZ1" s="963"/>
      <c r="CA1" s="963"/>
      <c r="CB1" s="963"/>
      <c r="CC1" s="963"/>
      <c r="CD1" s="963"/>
      <c r="CE1" s="963"/>
      <c r="CF1" s="963"/>
      <c r="CG1" s="963"/>
      <c r="CH1" s="963"/>
      <c r="CI1" s="963"/>
      <c r="CJ1" s="963"/>
      <c r="CK1" s="963"/>
      <c r="CL1" s="963"/>
      <c r="CM1" s="963"/>
      <c r="CN1" s="963"/>
      <c r="CO1" s="963"/>
      <c r="CP1" s="963"/>
      <c r="CQ1" s="963"/>
      <c r="CR1" s="963"/>
      <c r="CS1" s="963"/>
      <c r="CT1" s="963"/>
      <c r="CU1" s="963"/>
      <c r="CV1" s="963"/>
      <c r="CW1" s="963"/>
      <c r="CX1" s="963"/>
      <c r="CY1" s="963"/>
      <c r="CZ1" s="963"/>
      <c r="DA1" s="963"/>
      <c r="DB1" s="963"/>
      <c r="DC1" s="963"/>
      <c r="DD1" s="963"/>
      <c r="DE1" s="963"/>
      <c r="DF1" s="963"/>
      <c r="DG1" s="963"/>
      <c r="DH1" s="963"/>
      <c r="DI1" s="963"/>
      <c r="DJ1" s="963"/>
      <c r="DK1" s="963"/>
      <c r="DL1" s="963"/>
      <c r="DM1" s="963"/>
      <c r="DN1" s="963"/>
      <c r="DO1" s="963"/>
      <c r="DP1" s="963"/>
      <c r="DQ1" s="963"/>
      <c r="DR1" s="963"/>
      <c r="DS1" s="963"/>
      <c r="DT1" s="963"/>
      <c r="DU1" s="963"/>
      <c r="DV1" s="963"/>
      <c r="DW1" s="963"/>
      <c r="DX1" s="963"/>
      <c r="DY1" s="963"/>
      <c r="DZ1" s="963"/>
      <c r="EA1" s="963"/>
      <c r="EB1" s="963"/>
      <c r="EC1" s="963"/>
      <c r="ED1" s="963"/>
      <c r="EE1" s="963"/>
      <c r="EF1" s="963"/>
      <c r="EG1" s="963"/>
      <c r="EH1" s="963"/>
      <c r="EI1" s="963"/>
      <c r="EJ1" s="963"/>
      <c r="EK1" s="963"/>
      <c r="EL1" s="963"/>
      <c r="EM1" s="963"/>
      <c r="EN1" s="963"/>
      <c r="EO1" s="963"/>
      <c r="EP1" s="963"/>
      <c r="EQ1" s="963"/>
      <c r="ER1" s="963"/>
      <c r="ES1" s="963"/>
      <c r="ET1" s="963"/>
      <c r="EU1" s="963"/>
      <c r="EV1" s="963"/>
      <c r="EW1" s="963"/>
      <c r="EX1" s="963"/>
      <c r="EY1" s="963"/>
      <c r="EZ1" s="963"/>
      <c r="FA1" s="963"/>
      <c r="FB1" s="963"/>
      <c r="FC1" s="963"/>
      <c r="FD1" s="963"/>
      <c r="FE1" s="963"/>
      <c r="FF1" s="963"/>
      <c r="FG1" s="963"/>
      <c r="FH1" s="963"/>
      <c r="FI1" s="963"/>
      <c r="FJ1" s="963"/>
      <c r="FK1" s="963"/>
      <c r="FL1" s="963"/>
      <c r="FM1" s="963"/>
      <c r="FN1" s="963"/>
      <c r="FO1" s="963"/>
      <c r="FP1" s="963"/>
      <c r="FQ1" s="963"/>
      <c r="FR1" s="963"/>
      <c r="FS1" s="963"/>
      <c r="FT1" s="963"/>
      <c r="FU1" s="963"/>
    </row>
    <row r="2" spans="1:177" s="966" customFormat="1" ht="16.5" thickBot="1">
      <c r="A2" s="946"/>
      <c r="B2" s="946"/>
      <c r="C2" s="946"/>
      <c r="D2" s="946"/>
      <c r="E2" s="946"/>
      <c r="F2" s="946"/>
      <c r="G2" s="946"/>
      <c r="H2" s="964" t="s">
        <v>1050</v>
      </c>
      <c r="I2" s="965"/>
      <c r="J2" s="946"/>
      <c r="K2" s="946"/>
      <c r="L2" s="946"/>
      <c r="M2" s="932" t="s">
        <v>1159</v>
      </c>
      <c r="N2" s="965"/>
      <c r="O2" s="965"/>
      <c r="P2" s="965"/>
      <c r="Q2" s="965"/>
      <c r="R2" s="965"/>
      <c r="S2" s="965"/>
      <c r="T2" s="965"/>
      <c r="U2" s="965"/>
      <c r="V2" s="965"/>
      <c r="W2" s="965"/>
      <c r="X2" s="965"/>
      <c r="Y2" s="965"/>
      <c r="Z2" s="965"/>
      <c r="AA2" s="965"/>
      <c r="AB2" s="965"/>
      <c r="AC2" s="965"/>
      <c r="AD2" s="965"/>
      <c r="AE2" s="965"/>
      <c r="AF2" s="965"/>
      <c r="AG2" s="965"/>
      <c r="AH2" s="965"/>
      <c r="AI2" s="965"/>
      <c r="AJ2" s="965"/>
      <c r="AK2" s="965"/>
      <c r="AL2" s="965"/>
      <c r="AM2" s="965"/>
      <c r="AN2" s="965"/>
      <c r="AO2" s="965"/>
      <c r="AP2" s="965"/>
      <c r="AQ2" s="965"/>
      <c r="AR2" s="965"/>
      <c r="AS2" s="965"/>
      <c r="AT2" s="965"/>
      <c r="AU2" s="965"/>
      <c r="AV2" s="965"/>
      <c r="AW2" s="965"/>
      <c r="AX2" s="965"/>
      <c r="AY2" s="965"/>
      <c r="AZ2" s="965"/>
      <c r="BA2" s="965"/>
      <c r="BB2" s="965"/>
      <c r="BC2" s="965"/>
      <c r="BD2" s="965"/>
      <c r="BE2" s="965"/>
      <c r="BF2" s="965"/>
      <c r="BG2" s="965"/>
      <c r="BH2" s="965"/>
      <c r="BI2" s="965"/>
      <c r="BJ2" s="965"/>
      <c r="BK2" s="965"/>
      <c r="BL2" s="965"/>
      <c r="BM2" s="965"/>
      <c r="BN2" s="965"/>
      <c r="BO2" s="965"/>
      <c r="BP2" s="965"/>
      <c r="BQ2" s="965"/>
      <c r="BR2" s="965"/>
      <c r="BS2" s="965"/>
      <c r="BT2" s="965"/>
      <c r="BU2" s="965"/>
      <c r="BV2" s="965"/>
      <c r="BW2" s="965"/>
      <c r="BX2" s="965"/>
      <c r="BY2" s="965"/>
      <c r="BZ2" s="965"/>
      <c r="CA2" s="965"/>
      <c r="CB2" s="965"/>
      <c r="CC2" s="965"/>
      <c r="CD2" s="965"/>
      <c r="CE2" s="965"/>
      <c r="CF2" s="965"/>
      <c r="CG2" s="965"/>
      <c r="CH2" s="965"/>
      <c r="CI2" s="965"/>
      <c r="CJ2" s="965"/>
      <c r="CK2" s="965"/>
      <c r="CL2" s="965"/>
      <c r="CM2" s="965"/>
      <c r="CN2" s="965"/>
      <c r="CO2" s="965"/>
      <c r="CP2" s="965"/>
      <c r="CQ2" s="965"/>
      <c r="CR2" s="965"/>
      <c r="CS2" s="965"/>
      <c r="CT2" s="965"/>
      <c r="CU2" s="965"/>
      <c r="CV2" s="965"/>
      <c r="CW2" s="965"/>
      <c r="CX2" s="965"/>
      <c r="CY2" s="965"/>
      <c r="CZ2" s="965"/>
      <c r="DA2" s="965"/>
      <c r="DB2" s="965"/>
      <c r="DC2" s="965"/>
      <c r="DD2" s="965"/>
      <c r="DE2" s="965"/>
      <c r="DF2" s="965"/>
      <c r="DG2" s="965"/>
      <c r="DH2" s="965"/>
      <c r="DI2" s="965"/>
      <c r="DJ2" s="965"/>
      <c r="DK2" s="965"/>
      <c r="DL2" s="965"/>
      <c r="DM2" s="965"/>
      <c r="DN2" s="965"/>
      <c r="DO2" s="965"/>
      <c r="DP2" s="965"/>
      <c r="DQ2" s="965"/>
      <c r="DR2" s="965"/>
      <c r="DS2" s="965"/>
      <c r="DT2" s="965"/>
      <c r="DU2" s="965"/>
      <c r="DV2" s="965"/>
      <c r="DW2" s="965"/>
      <c r="DX2" s="965"/>
      <c r="DY2" s="965"/>
      <c r="DZ2" s="965"/>
      <c r="EA2" s="965"/>
      <c r="EB2" s="965"/>
      <c r="EC2" s="965"/>
      <c r="ED2" s="965"/>
      <c r="EE2" s="965"/>
      <c r="EF2" s="965"/>
      <c r="EG2" s="965"/>
      <c r="EH2" s="965"/>
      <c r="EI2" s="965"/>
      <c r="EJ2" s="965"/>
      <c r="EK2" s="965"/>
      <c r="EL2" s="965"/>
      <c r="EM2" s="965"/>
      <c r="EN2" s="965"/>
      <c r="EO2" s="965"/>
      <c r="EP2" s="965"/>
      <c r="EQ2" s="965"/>
      <c r="ER2" s="965"/>
      <c r="ES2" s="965"/>
      <c r="ET2" s="965"/>
      <c r="EU2" s="965"/>
      <c r="EV2" s="965"/>
      <c r="EW2" s="965"/>
      <c r="EX2" s="965"/>
      <c r="EY2" s="965"/>
      <c r="EZ2" s="965"/>
      <c r="FA2" s="965"/>
      <c r="FB2" s="965"/>
      <c r="FC2" s="965"/>
      <c r="FD2" s="965"/>
      <c r="FE2" s="965"/>
      <c r="FF2" s="965"/>
      <c r="FG2" s="965"/>
      <c r="FH2" s="965"/>
      <c r="FI2" s="965"/>
      <c r="FJ2" s="965"/>
      <c r="FK2" s="965"/>
      <c r="FL2" s="965"/>
      <c r="FM2" s="965"/>
      <c r="FN2" s="965"/>
      <c r="FO2" s="965"/>
      <c r="FP2" s="965"/>
      <c r="FQ2" s="965"/>
      <c r="FR2" s="965"/>
      <c r="FS2" s="965"/>
      <c r="FT2" s="965"/>
      <c r="FU2" s="965"/>
    </row>
    <row r="3" spans="1:177" s="967" customFormat="1" ht="27.75" customHeight="1">
      <c r="A3" s="3146"/>
      <c r="B3" s="3146"/>
      <c r="C3" s="3149" t="s">
        <v>1160</v>
      </c>
      <c r="D3" s="2966" t="s">
        <v>1161</v>
      </c>
      <c r="E3" s="2965"/>
      <c r="F3" s="2965"/>
      <c r="G3" s="2965"/>
      <c r="H3" s="3068"/>
      <c r="I3" s="3131" t="s">
        <v>1162</v>
      </c>
      <c r="J3" s="2966" t="s">
        <v>1163</v>
      </c>
      <c r="K3" s="2965"/>
      <c r="L3" s="2965"/>
      <c r="M3" s="2965"/>
      <c r="N3" s="694"/>
      <c r="O3" s="694"/>
      <c r="P3" s="694"/>
      <c r="Q3" s="694"/>
      <c r="R3" s="694"/>
      <c r="S3" s="694"/>
      <c r="T3" s="694"/>
      <c r="U3" s="694"/>
      <c r="V3" s="694"/>
      <c r="W3" s="694"/>
      <c r="X3" s="694"/>
      <c r="Y3" s="694"/>
      <c r="Z3" s="694"/>
      <c r="AA3" s="694"/>
      <c r="AB3" s="694"/>
      <c r="AC3" s="694"/>
      <c r="AD3" s="694"/>
      <c r="AE3" s="694"/>
      <c r="AF3" s="694"/>
      <c r="AG3" s="694"/>
      <c r="AH3" s="694"/>
      <c r="AI3" s="694"/>
      <c r="AJ3" s="694"/>
      <c r="AK3" s="694"/>
      <c r="AL3" s="694"/>
      <c r="AM3" s="694"/>
      <c r="AN3" s="694"/>
      <c r="AO3" s="694"/>
      <c r="AP3" s="694"/>
      <c r="AQ3" s="694"/>
      <c r="AR3" s="694"/>
      <c r="AS3" s="694"/>
      <c r="AT3" s="694"/>
      <c r="AU3" s="694"/>
      <c r="AV3" s="694"/>
      <c r="AW3" s="694"/>
      <c r="AX3" s="694"/>
      <c r="AY3" s="694"/>
      <c r="AZ3" s="694"/>
      <c r="BA3" s="694"/>
      <c r="BB3" s="694"/>
      <c r="BC3" s="694"/>
      <c r="BD3" s="694"/>
      <c r="BE3" s="694"/>
      <c r="BF3" s="694"/>
      <c r="BG3" s="694"/>
      <c r="BH3" s="694"/>
      <c r="BI3" s="694"/>
      <c r="BJ3" s="694"/>
      <c r="BK3" s="694"/>
      <c r="BL3" s="694"/>
      <c r="BM3" s="694"/>
      <c r="BN3" s="694"/>
      <c r="BO3" s="694"/>
      <c r="BP3" s="694"/>
      <c r="BQ3" s="694"/>
      <c r="BR3" s="694"/>
      <c r="BS3" s="694"/>
      <c r="BT3" s="694"/>
      <c r="BU3" s="694"/>
      <c r="BV3" s="694"/>
      <c r="BW3" s="694"/>
      <c r="BX3" s="694"/>
      <c r="BY3" s="694"/>
      <c r="BZ3" s="694"/>
      <c r="CA3" s="694"/>
      <c r="CB3" s="694"/>
      <c r="CC3" s="694"/>
      <c r="CD3" s="694"/>
      <c r="CE3" s="694"/>
      <c r="CF3" s="694"/>
      <c r="CG3" s="694"/>
      <c r="CH3" s="694"/>
      <c r="CI3" s="694"/>
      <c r="CJ3" s="694"/>
      <c r="CK3" s="694"/>
      <c r="CL3" s="694"/>
      <c r="CM3" s="694"/>
      <c r="CN3" s="694"/>
      <c r="CO3" s="694"/>
      <c r="CP3" s="694"/>
      <c r="CQ3" s="694"/>
      <c r="CR3" s="694"/>
      <c r="CS3" s="694"/>
      <c r="CT3" s="694"/>
      <c r="CU3" s="694"/>
      <c r="CV3" s="694"/>
      <c r="CW3" s="694"/>
      <c r="CX3" s="694"/>
      <c r="CY3" s="694"/>
      <c r="CZ3" s="694"/>
      <c r="DA3" s="694"/>
      <c r="DB3" s="694"/>
      <c r="DC3" s="694"/>
      <c r="DD3" s="694"/>
      <c r="DE3" s="694"/>
      <c r="DF3" s="694"/>
      <c r="DG3" s="694"/>
      <c r="DH3" s="694"/>
      <c r="DI3" s="694"/>
      <c r="DJ3" s="694"/>
      <c r="DK3" s="694"/>
      <c r="DL3" s="694"/>
      <c r="DM3" s="694"/>
      <c r="DN3" s="694"/>
      <c r="DO3" s="694"/>
      <c r="DP3" s="694"/>
      <c r="DQ3" s="694"/>
      <c r="DR3" s="694"/>
      <c r="DS3" s="694"/>
      <c r="DT3" s="694"/>
      <c r="DU3" s="694"/>
      <c r="DV3" s="694"/>
      <c r="DW3" s="694"/>
      <c r="DX3" s="694"/>
      <c r="DY3" s="694"/>
      <c r="DZ3" s="694"/>
      <c r="EA3" s="694"/>
      <c r="EB3" s="694"/>
      <c r="EC3" s="694"/>
      <c r="ED3" s="694"/>
      <c r="EE3" s="694"/>
      <c r="EF3" s="694"/>
      <c r="EG3" s="694"/>
      <c r="EH3" s="694"/>
      <c r="EI3" s="694"/>
      <c r="EJ3" s="694"/>
      <c r="EK3" s="694"/>
      <c r="EL3" s="694"/>
      <c r="EM3" s="694"/>
      <c r="EN3" s="694"/>
      <c r="EO3" s="694"/>
      <c r="EP3" s="694"/>
      <c r="EQ3" s="694"/>
      <c r="ER3" s="694"/>
      <c r="ES3" s="694"/>
      <c r="ET3" s="694"/>
      <c r="EU3" s="694"/>
      <c r="EV3" s="694"/>
      <c r="EW3" s="694"/>
      <c r="EX3" s="694"/>
      <c r="EY3" s="694"/>
      <c r="EZ3" s="694"/>
      <c r="FA3" s="694"/>
      <c r="FB3" s="694"/>
      <c r="FC3" s="694"/>
      <c r="FD3" s="694"/>
      <c r="FE3" s="694"/>
      <c r="FF3" s="694"/>
      <c r="FG3" s="694"/>
      <c r="FH3" s="694"/>
      <c r="FI3" s="694"/>
      <c r="FJ3" s="694"/>
      <c r="FK3" s="694"/>
      <c r="FL3" s="694"/>
      <c r="FM3" s="694"/>
      <c r="FN3" s="694"/>
      <c r="FO3" s="694"/>
      <c r="FP3" s="694"/>
      <c r="FQ3" s="694"/>
      <c r="FR3" s="694"/>
      <c r="FS3" s="694"/>
      <c r="FT3" s="694"/>
      <c r="FU3" s="694"/>
    </row>
    <row r="4" spans="1:177" s="967" customFormat="1" ht="22.15" customHeight="1">
      <c r="A4" s="3147"/>
      <c r="B4" s="3147"/>
      <c r="C4" s="2984"/>
      <c r="D4" s="968" t="s">
        <v>1164</v>
      </c>
      <c r="E4" s="3150" t="s">
        <v>1165</v>
      </c>
      <c r="F4" s="3151"/>
      <c r="G4" s="3156" t="s">
        <v>1166</v>
      </c>
      <c r="H4" s="3157"/>
      <c r="I4" s="3132"/>
      <c r="J4" s="968" t="s">
        <v>1164</v>
      </c>
      <c r="K4" s="3131" t="s">
        <v>1167</v>
      </c>
      <c r="L4" s="3131" t="s">
        <v>1168</v>
      </c>
      <c r="M4" s="3160" t="s">
        <v>1169</v>
      </c>
      <c r="N4" s="694"/>
      <c r="O4" s="694"/>
      <c r="P4" s="694"/>
      <c r="Q4" s="694"/>
      <c r="R4" s="694"/>
      <c r="S4" s="694"/>
      <c r="T4" s="694"/>
      <c r="U4" s="694"/>
      <c r="V4" s="694"/>
      <c r="W4" s="694"/>
      <c r="X4" s="694"/>
      <c r="Y4" s="694"/>
      <c r="Z4" s="694"/>
      <c r="AA4" s="694"/>
      <c r="AB4" s="694"/>
      <c r="AC4" s="694"/>
      <c r="AD4" s="694"/>
      <c r="AE4" s="694"/>
      <c r="AF4" s="694"/>
      <c r="AG4" s="694"/>
      <c r="AH4" s="694"/>
      <c r="AI4" s="694"/>
      <c r="AJ4" s="694"/>
      <c r="AK4" s="694"/>
      <c r="AL4" s="694"/>
      <c r="AM4" s="694"/>
      <c r="AN4" s="694"/>
      <c r="AO4" s="694"/>
      <c r="AP4" s="694"/>
      <c r="AQ4" s="694"/>
      <c r="AR4" s="694"/>
      <c r="AS4" s="694"/>
      <c r="AT4" s="694"/>
      <c r="AU4" s="694"/>
      <c r="AV4" s="694"/>
      <c r="AW4" s="694"/>
      <c r="AX4" s="694"/>
      <c r="AY4" s="694"/>
      <c r="AZ4" s="694"/>
      <c r="BA4" s="694"/>
      <c r="BB4" s="694"/>
      <c r="BC4" s="694"/>
      <c r="BD4" s="694"/>
      <c r="BE4" s="694"/>
      <c r="BF4" s="694"/>
      <c r="BG4" s="694"/>
      <c r="BH4" s="694"/>
      <c r="BI4" s="694"/>
      <c r="BJ4" s="694"/>
      <c r="BK4" s="694"/>
      <c r="BL4" s="694"/>
      <c r="BM4" s="694"/>
      <c r="BN4" s="694"/>
      <c r="BO4" s="694"/>
      <c r="BP4" s="694"/>
      <c r="BQ4" s="694"/>
      <c r="BR4" s="694"/>
      <c r="BS4" s="694"/>
      <c r="BT4" s="694"/>
      <c r="BU4" s="694"/>
      <c r="BV4" s="694"/>
      <c r="BW4" s="694"/>
      <c r="BX4" s="694"/>
      <c r="BY4" s="694"/>
      <c r="BZ4" s="694"/>
      <c r="CA4" s="694"/>
      <c r="CB4" s="694"/>
      <c r="CC4" s="694"/>
      <c r="CD4" s="694"/>
      <c r="CE4" s="694"/>
      <c r="CF4" s="694"/>
      <c r="CG4" s="694"/>
      <c r="CH4" s="694"/>
      <c r="CI4" s="694"/>
      <c r="CJ4" s="694"/>
      <c r="CK4" s="694"/>
      <c r="CL4" s="694"/>
      <c r="CM4" s="694"/>
      <c r="CN4" s="694"/>
      <c r="CO4" s="694"/>
      <c r="CP4" s="694"/>
      <c r="CQ4" s="694"/>
      <c r="CR4" s="694"/>
      <c r="CS4" s="694"/>
      <c r="CT4" s="694"/>
      <c r="CU4" s="694"/>
      <c r="CV4" s="694"/>
      <c r="CW4" s="694"/>
      <c r="CX4" s="694"/>
      <c r="CY4" s="694"/>
      <c r="CZ4" s="694"/>
      <c r="DA4" s="694"/>
      <c r="DB4" s="694"/>
      <c r="DC4" s="694"/>
      <c r="DD4" s="694"/>
      <c r="DE4" s="694"/>
      <c r="DF4" s="694"/>
      <c r="DG4" s="694"/>
      <c r="DH4" s="694"/>
      <c r="DI4" s="694"/>
      <c r="DJ4" s="694"/>
      <c r="DK4" s="694"/>
      <c r="DL4" s="694"/>
      <c r="DM4" s="694"/>
      <c r="DN4" s="694"/>
      <c r="DO4" s="694"/>
      <c r="DP4" s="694"/>
      <c r="DQ4" s="694"/>
      <c r="DR4" s="694"/>
      <c r="DS4" s="694"/>
      <c r="DT4" s="694"/>
      <c r="DU4" s="694"/>
      <c r="DV4" s="694"/>
      <c r="DW4" s="694"/>
      <c r="DX4" s="694"/>
      <c r="DY4" s="694"/>
      <c r="DZ4" s="694"/>
      <c r="EA4" s="694"/>
      <c r="EB4" s="694"/>
      <c r="EC4" s="694"/>
      <c r="ED4" s="694"/>
      <c r="EE4" s="694"/>
      <c r="EF4" s="694"/>
      <c r="EG4" s="694"/>
      <c r="EH4" s="694"/>
      <c r="EI4" s="694"/>
      <c r="EJ4" s="694"/>
      <c r="EK4" s="694"/>
      <c r="EL4" s="694"/>
      <c r="EM4" s="694"/>
      <c r="EN4" s="694"/>
      <c r="EO4" s="694"/>
      <c r="EP4" s="694"/>
      <c r="EQ4" s="694"/>
      <c r="ER4" s="694"/>
      <c r="ES4" s="694"/>
      <c r="ET4" s="694"/>
      <c r="EU4" s="694"/>
      <c r="EV4" s="694"/>
      <c r="EW4" s="694"/>
      <c r="EX4" s="694"/>
      <c r="EY4" s="694"/>
      <c r="EZ4" s="694"/>
      <c r="FA4" s="694"/>
      <c r="FB4" s="694"/>
      <c r="FC4" s="694"/>
      <c r="FD4" s="694"/>
      <c r="FE4" s="694"/>
      <c r="FF4" s="694"/>
      <c r="FG4" s="694"/>
      <c r="FH4" s="694"/>
      <c r="FI4" s="694"/>
      <c r="FJ4" s="694"/>
      <c r="FK4" s="694"/>
      <c r="FL4" s="694"/>
      <c r="FM4" s="694"/>
      <c r="FN4" s="694"/>
      <c r="FO4" s="694"/>
      <c r="FP4" s="694"/>
      <c r="FQ4" s="694"/>
      <c r="FR4" s="694"/>
      <c r="FS4" s="694"/>
      <c r="FT4" s="694"/>
      <c r="FU4" s="694"/>
    </row>
    <row r="5" spans="1:177" s="967" customFormat="1" ht="22.15" customHeight="1">
      <c r="A5" s="3147"/>
      <c r="B5" s="3147"/>
      <c r="C5" s="2984"/>
      <c r="E5" s="3152"/>
      <c r="F5" s="3153"/>
      <c r="G5" s="3158"/>
      <c r="H5" s="3159"/>
      <c r="I5" s="3132"/>
      <c r="J5" s="968"/>
      <c r="K5" s="2988"/>
      <c r="L5" s="2988"/>
      <c r="M5" s="3161"/>
      <c r="N5" s="694"/>
      <c r="O5" s="694"/>
      <c r="P5" s="694"/>
      <c r="Q5" s="694"/>
      <c r="R5" s="694"/>
      <c r="S5" s="694"/>
      <c r="T5" s="694"/>
      <c r="U5" s="694"/>
      <c r="V5" s="694"/>
      <c r="W5" s="694"/>
      <c r="X5" s="694"/>
      <c r="Y5" s="694"/>
      <c r="Z5" s="694"/>
      <c r="AA5" s="694"/>
      <c r="AB5" s="694"/>
      <c r="AC5" s="694"/>
      <c r="AD5" s="694"/>
      <c r="AE5" s="694"/>
      <c r="AF5" s="694"/>
      <c r="AG5" s="694"/>
      <c r="AH5" s="694"/>
      <c r="AI5" s="694"/>
      <c r="AJ5" s="694"/>
      <c r="AK5" s="694"/>
      <c r="AL5" s="694"/>
      <c r="AM5" s="694"/>
      <c r="AN5" s="694"/>
      <c r="AO5" s="694"/>
      <c r="AP5" s="694"/>
      <c r="AQ5" s="694"/>
      <c r="AR5" s="694"/>
      <c r="AS5" s="694"/>
      <c r="AT5" s="694"/>
      <c r="AU5" s="694"/>
      <c r="AV5" s="694"/>
      <c r="AW5" s="694"/>
      <c r="AX5" s="694"/>
      <c r="AY5" s="694"/>
      <c r="AZ5" s="694"/>
      <c r="BA5" s="694"/>
      <c r="BB5" s="694"/>
      <c r="BC5" s="694"/>
      <c r="BD5" s="694"/>
      <c r="BE5" s="694"/>
      <c r="BF5" s="694"/>
      <c r="BG5" s="694"/>
      <c r="BH5" s="694"/>
      <c r="BI5" s="694"/>
      <c r="BJ5" s="694"/>
      <c r="BK5" s="694"/>
      <c r="BL5" s="694"/>
      <c r="BM5" s="694"/>
      <c r="BN5" s="694"/>
      <c r="BO5" s="694"/>
      <c r="BP5" s="694"/>
      <c r="BQ5" s="694"/>
      <c r="BR5" s="694"/>
      <c r="BS5" s="694"/>
      <c r="BT5" s="694"/>
      <c r="BU5" s="694"/>
      <c r="BV5" s="694"/>
      <c r="BW5" s="694"/>
      <c r="BX5" s="694"/>
      <c r="BY5" s="694"/>
      <c r="BZ5" s="694"/>
      <c r="CA5" s="694"/>
      <c r="CB5" s="694"/>
      <c r="CC5" s="694"/>
      <c r="CD5" s="694"/>
      <c r="CE5" s="694"/>
      <c r="CF5" s="694"/>
      <c r="CG5" s="694"/>
      <c r="CH5" s="694"/>
      <c r="CI5" s="694"/>
      <c r="CJ5" s="694"/>
      <c r="CK5" s="694"/>
      <c r="CL5" s="694"/>
      <c r="CM5" s="694"/>
      <c r="CN5" s="694"/>
      <c r="CO5" s="694"/>
      <c r="CP5" s="694"/>
      <c r="CQ5" s="694"/>
      <c r="CR5" s="694"/>
      <c r="CS5" s="694"/>
      <c r="CT5" s="694"/>
      <c r="CU5" s="694"/>
      <c r="CV5" s="694"/>
      <c r="CW5" s="694"/>
      <c r="CX5" s="694"/>
      <c r="CY5" s="694"/>
      <c r="CZ5" s="694"/>
      <c r="DA5" s="694"/>
      <c r="DB5" s="694"/>
      <c r="DC5" s="694"/>
      <c r="DD5" s="694"/>
      <c r="DE5" s="694"/>
      <c r="DF5" s="694"/>
      <c r="DG5" s="694"/>
      <c r="DH5" s="694"/>
      <c r="DI5" s="694"/>
      <c r="DJ5" s="694"/>
      <c r="DK5" s="694"/>
      <c r="DL5" s="694"/>
      <c r="DM5" s="694"/>
      <c r="DN5" s="694"/>
      <c r="DO5" s="694"/>
      <c r="DP5" s="694"/>
      <c r="DQ5" s="694"/>
      <c r="DR5" s="694"/>
      <c r="DS5" s="694"/>
      <c r="DT5" s="694"/>
      <c r="DU5" s="694"/>
      <c r="DV5" s="694"/>
      <c r="DW5" s="694"/>
      <c r="DX5" s="694"/>
      <c r="DY5" s="694"/>
      <c r="DZ5" s="694"/>
      <c r="EA5" s="694"/>
      <c r="EB5" s="694"/>
      <c r="EC5" s="694"/>
      <c r="ED5" s="694"/>
      <c r="EE5" s="694"/>
      <c r="EF5" s="694"/>
      <c r="EG5" s="694"/>
      <c r="EH5" s="694"/>
      <c r="EI5" s="694"/>
      <c r="EJ5" s="694"/>
      <c r="EK5" s="694"/>
      <c r="EL5" s="694"/>
      <c r="EM5" s="694"/>
      <c r="EN5" s="694"/>
      <c r="EO5" s="694"/>
      <c r="EP5" s="694"/>
      <c r="EQ5" s="694"/>
      <c r="ER5" s="694"/>
      <c r="ES5" s="694"/>
      <c r="ET5" s="694"/>
      <c r="EU5" s="694"/>
      <c r="EV5" s="694"/>
      <c r="EW5" s="694"/>
      <c r="EX5" s="694"/>
      <c r="EY5" s="694"/>
      <c r="EZ5" s="694"/>
      <c r="FA5" s="694"/>
      <c r="FB5" s="694"/>
      <c r="FC5" s="694"/>
      <c r="FD5" s="694"/>
      <c r="FE5" s="694"/>
      <c r="FF5" s="694"/>
      <c r="FG5" s="694"/>
      <c r="FH5" s="694"/>
      <c r="FI5" s="694"/>
      <c r="FJ5" s="694"/>
      <c r="FK5" s="694"/>
      <c r="FL5" s="694"/>
      <c r="FM5" s="694"/>
      <c r="FN5" s="694"/>
      <c r="FO5" s="694"/>
      <c r="FP5" s="694"/>
      <c r="FQ5" s="694"/>
      <c r="FR5" s="694"/>
      <c r="FS5" s="694"/>
      <c r="FT5" s="694"/>
      <c r="FU5" s="694"/>
    </row>
    <row r="6" spans="1:177" s="967" customFormat="1" ht="22.15" customHeight="1">
      <c r="A6" s="3147"/>
      <c r="B6" s="3147"/>
      <c r="C6" s="2984"/>
      <c r="D6" s="969"/>
      <c r="E6" s="3152"/>
      <c r="F6" s="3153"/>
      <c r="G6" s="3163" t="s">
        <v>1170</v>
      </c>
      <c r="H6" s="969" t="s">
        <v>1171</v>
      </c>
      <c r="I6" s="3132"/>
      <c r="J6" s="970"/>
      <c r="K6" s="2988"/>
      <c r="L6" s="2988"/>
      <c r="M6" s="3161"/>
      <c r="N6" s="694"/>
      <c r="O6" s="694"/>
      <c r="P6" s="694"/>
      <c r="Q6" s="694"/>
      <c r="R6" s="694"/>
      <c r="S6" s="694"/>
      <c r="T6" s="694"/>
      <c r="U6" s="694"/>
      <c r="V6" s="694"/>
      <c r="W6" s="694"/>
      <c r="X6" s="694"/>
      <c r="Y6" s="694"/>
      <c r="Z6" s="694"/>
      <c r="AA6" s="694"/>
      <c r="AB6" s="694"/>
      <c r="AC6" s="694"/>
      <c r="AD6" s="694"/>
      <c r="AE6" s="694"/>
      <c r="AF6" s="694"/>
      <c r="AG6" s="694"/>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4"/>
      <c r="BK6" s="694"/>
      <c r="BL6" s="694"/>
      <c r="BM6" s="694"/>
      <c r="BN6" s="694"/>
      <c r="BO6" s="694"/>
      <c r="BP6" s="694"/>
      <c r="BQ6" s="694"/>
      <c r="BR6" s="694"/>
      <c r="BS6" s="694"/>
      <c r="BT6" s="694"/>
      <c r="BU6" s="694"/>
      <c r="BV6" s="694"/>
      <c r="BW6" s="694"/>
      <c r="BX6" s="694"/>
      <c r="BY6" s="694"/>
      <c r="BZ6" s="694"/>
      <c r="CA6" s="694"/>
      <c r="CB6" s="694"/>
      <c r="CC6" s="694"/>
      <c r="CD6" s="694"/>
      <c r="CE6" s="694"/>
      <c r="CF6" s="694"/>
      <c r="CG6" s="694"/>
      <c r="CH6" s="694"/>
      <c r="CI6" s="694"/>
      <c r="CJ6" s="694"/>
      <c r="CK6" s="694"/>
      <c r="CL6" s="694"/>
      <c r="CM6" s="694"/>
      <c r="CN6" s="694"/>
      <c r="CO6" s="694"/>
      <c r="CP6" s="694"/>
      <c r="CQ6" s="694"/>
      <c r="CR6" s="694"/>
      <c r="CS6" s="694"/>
      <c r="CT6" s="694"/>
      <c r="CU6" s="694"/>
      <c r="CV6" s="694"/>
      <c r="CW6" s="694"/>
      <c r="CX6" s="694"/>
      <c r="CY6" s="694"/>
      <c r="CZ6" s="694"/>
      <c r="DA6" s="694"/>
      <c r="DB6" s="694"/>
      <c r="DC6" s="694"/>
      <c r="DD6" s="694"/>
      <c r="DE6" s="694"/>
      <c r="DF6" s="694"/>
      <c r="DG6" s="694"/>
      <c r="DH6" s="694"/>
      <c r="DI6" s="694"/>
      <c r="DJ6" s="694"/>
      <c r="DK6" s="694"/>
      <c r="DL6" s="694"/>
      <c r="DM6" s="694"/>
      <c r="DN6" s="694"/>
      <c r="DO6" s="694"/>
      <c r="DP6" s="694"/>
      <c r="DQ6" s="694"/>
      <c r="DR6" s="694"/>
      <c r="DS6" s="694"/>
      <c r="DT6" s="694"/>
      <c r="DU6" s="694"/>
      <c r="DV6" s="694"/>
      <c r="DW6" s="694"/>
      <c r="DX6" s="694"/>
      <c r="DY6" s="694"/>
      <c r="DZ6" s="694"/>
      <c r="EA6" s="694"/>
      <c r="EB6" s="694"/>
      <c r="EC6" s="694"/>
      <c r="ED6" s="694"/>
      <c r="EE6" s="694"/>
      <c r="EF6" s="694"/>
      <c r="EG6" s="694"/>
      <c r="EH6" s="694"/>
      <c r="EI6" s="694"/>
      <c r="EJ6" s="694"/>
      <c r="EK6" s="694"/>
      <c r="EL6" s="694"/>
      <c r="EM6" s="694"/>
      <c r="EN6" s="694"/>
      <c r="EO6" s="694"/>
      <c r="EP6" s="694"/>
      <c r="EQ6" s="694"/>
      <c r="ER6" s="694"/>
      <c r="ES6" s="694"/>
      <c r="ET6" s="694"/>
      <c r="EU6" s="694"/>
      <c r="EV6" s="694"/>
      <c r="EW6" s="694"/>
      <c r="EX6" s="694"/>
      <c r="EY6" s="694"/>
      <c r="EZ6" s="694"/>
      <c r="FA6" s="694"/>
      <c r="FB6" s="694"/>
      <c r="FC6" s="694"/>
      <c r="FD6" s="694"/>
      <c r="FE6" s="694"/>
      <c r="FF6" s="694"/>
      <c r="FG6" s="694"/>
      <c r="FH6" s="694"/>
      <c r="FI6" s="694"/>
      <c r="FJ6" s="694"/>
      <c r="FK6" s="694"/>
      <c r="FL6" s="694"/>
      <c r="FM6" s="694"/>
      <c r="FN6" s="694"/>
      <c r="FO6" s="694"/>
      <c r="FP6" s="694"/>
      <c r="FQ6" s="694"/>
      <c r="FR6" s="694"/>
      <c r="FS6" s="694"/>
      <c r="FT6" s="694"/>
      <c r="FU6" s="694"/>
    </row>
    <row r="7" spans="1:177" s="967" customFormat="1" ht="22.15" customHeight="1">
      <c r="A7" s="3147"/>
      <c r="B7" s="3147"/>
      <c r="C7" s="2984"/>
      <c r="E7" s="3154"/>
      <c r="F7" s="3155"/>
      <c r="G7" s="3164"/>
      <c r="H7" s="969"/>
      <c r="I7" s="3132"/>
      <c r="J7" s="968"/>
      <c r="K7" s="2988"/>
      <c r="L7" s="2988"/>
      <c r="M7" s="3161"/>
      <c r="N7" s="694"/>
      <c r="O7" s="694"/>
      <c r="P7" s="694"/>
      <c r="Q7" s="694"/>
      <c r="R7" s="694"/>
      <c r="S7" s="694"/>
      <c r="T7" s="694"/>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c r="AT7" s="694"/>
      <c r="AU7" s="694"/>
      <c r="AV7" s="694"/>
      <c r="AW7" s="694"/>
      <c r="AX7" s="694"/>
      <c r="AY7" s="694"/>
      <c r="AZ7" s="694"/>
      <c r="BA7" s="694"/>
      <c r="BB7" s="694"/>
      <c r="BC7" s="694"/>
      <c r="BD7" s="694"/>
      <c r="BE7" s="694"/>
      <c r="BF7" s="694"/>
      <c r="BG7" s="694"/>
      <c r="BH7" s="694"/>
      <c r="BI7" s="694"/>
      <c r="BJ7" s="694"/>
      <c r="BK7" s="694"/>
      <c r="BL7" s="694"/>
      <c r="BM7" s="694"/>
      <c r="BN7" s="694"/>
      <c r="BO7" s="694"/>
      <c r="BP7" s="694"/>
      <c r="BQ7" s="694"/>
      <c r="BR7" s="694"/>
      <c r="BS7" s="694"/>
      <c r="BT7" s="694"/>
      <c r="BU7" s="694"/>
      <c r="BV7" s="694"/>
      <c r="BW7" s="694"/>
      <c r="BX7" s="694"/>
      <c r="BY7" s="694"/>
      <c r="BZ7" s="694"/>
      <c r="CA7" s="694"/>
      <c r="CB7" s="694"/>
      <c r="CC7" s="694"/>
      <c r="CD7" s="694"/>
      <c r="CE7" s="694"/>
      <c r="CF7" s="694"/>
      <c r="CG7" s="694"/>
      <c r="CH7" s="694"/>
      <c r="CI7" s="694"/>
      <c r="CJ7" s="694"/>
      <c r="CK7" s="694"/>
      <c r="CL7" s="694"/>
      <c r="CM7" s="694"/>
      <c r="CN7" s="694"/>
      <c r="CO7" s="694"/>
      <c r="CP7" s="694"/>
      <c r="CQ7" s="694"/>
      <c r="CR7" s="694"/>
      <c r="CS7" s="694"/>
      <c r="CT7" s="694"/>
      <c r="CU7" s="694"/>
      <c r="CV7" s="694"/>
      <c r="CW7" s="694"/>
      <c r="CX7" s="694"/>
      <c r="CY7" s="694"/>
      <c r="CZ7" s="694"/>
      <c r="DA7" s="694"/>
      <c r="DB7" s="694"/>
      <c r="DC7" s="694"/>
      <c r="DD7" s="694"/>
      <c r="DE7" s="694"/>
      <c r="DF7" s="694"/>
      <c r="DG7" s="694"/>
      <c r="DH7" s="694"/>
      <c r="DI7" s="694"/>
      <c r="DJ7" s="694"/>
      <c r="DK7" s="694"/>
      <c r="DL7" s="694"/>
      <c r="DM7" s="694"/>
      <c r="DN7" s="694"/>
      <c r="DO7" s="694"/>
      <c r="DP7" s="694"/>
      <c r="DQ7" s="694"/>
      <c r="DR7" s="694"/>
      <c r="DS7" s="694"/>
      <c r="DT7" s="694"/>
      <c r="DU7" s="694"/>
      <c r="DV7" s="694"/>
      <c r="DW7" s="694"/>
      <c r="DX7" s="694"/>
      <c r="DY7" s="694"/>
      <c r="DZ7" s="694"/>
      <c r="EA7" s="694"/>
      <c r="EB7" s="694"/>
      <c r="EC7" s="694"/>
      <c r="ED7" s="694"/>
      <c r="EE7" s="694"/>
      <c r="EF7" s="694"/>
      <c r="EG7" s="694"/>
      <c r="EH7" s="694"/>
      <c r="EI7" s="694"/>
      <c r="EJ7" s="694"/>
      <c r="EK7" s="694"/>
      <c r="EL7" s="694"/>
      <c r="EM7" s="694"/>
      <c r="EN7" s="694"/>
      <c r="EO7" s="694"/>
      <c r="EP7" s="694"/>
      <c r="EQ7" s="694"/>
      <c r="ER7" s="694"/>
      <c r="ES7" s="694"/>
      <c r="ET7" s="694"/>
      <c r="EU7" s="694"/>
      <c r="EV7" s="694"/>
      <c r="EW7" s="694"/>
      <c r="EX7" s="694"/>
      <c r="EY7" s="694"/>
      <c r="EZ7" s="694"/>
      <c r="FA7" s="694"/>
      <c r="FB7" s="694"/>
      <c r="FC7" s="694"/>
      <c r="FD7" s="694"/>
      <c r="FE7" s="694"/>
      <c r="FF7" s="694"/>
      <c r="FG7" s="694"/>
      <c r="FH7" s="694"/>
      <c r="FI7" s="694"/>
      <c r="FJ7" s="694"/>
      <c r="FK7" s="694"/>
      <c r="FL7" s="694"/>
      <c r="FM7" s="694"/>
      <c r="FN7" s="694"/>
      <c r="FO7" s="694"/>
      <c r="FP7" s="694"/>
      <c r="FQ7" s="694"/>
      <c r="FR7" s="694"/>
      <c r="FS7" s="694"/>
      <c r="FT7" s="694"/>
      <c r="FU7" s="694"/>
    </row>
    <row r="8" spans="1:177" s="975" customFormat="1" ht="17.25" thickBot="1">
      <c r="A8" s="3148"/>
      <c r="B8" s="3148"/>
      <c r="C8" s="2985"/>
      <c r="D8" s="971" t="s">
        <v>1172</v>
      </c>
      <c r="E8" s="972" t="s">
        <v>1173</v>
      </c>
      <c r="F8" s="972" t="s">
        <v>1174</v>
      </c>
      <c r="G8" s="3165"/>
      <c r="H8" s="973" t="s">
        <v>1175</v>
      </c>
      <c r="I8" s="3133"/>
      <c r="J8" s="974" t="s">
        <v>1172</v>
      </c>
      <c r="K8" s="2989"/>
      <c r="L8" s="2989"/>
      <c r="M8" s="3162"/>
      <c r="N8" s="694"/>
      <c r="O8" s="694"/>
      <c r="P8" s="694"/>
      <c r="Q8" s="694"/>
      <c r="R8" s="694"/>
      <c r="S8" s="694"/>
      <c r="T8" s="694"/>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c r="AT8" s="694"/>
      <c r="AU8" s="694"/>
      <c r="AV8" s="694"/>
      <c r="AW8" s="694"/>
      <c r="AX8" s="694"/>
      <c r="AY8" s="694"/>
      <c r="AZ8" s="694"/>
      <c r="BA8" s="694"/>
      <c r="BB8" s="694"/>
      <c r="BC8" s="694"/>
      <c r="BD8" s="694"/>
      <c r="BE8" s="694"/>
      <c r="BF8" s="694"/>
      <c r="BG8" s="694"/>
      <c r="BH8" s="694"/>
      <c r="BI8" s="694"/>
      <c r="BJ8" s="694"/>
      <c r="BK8" s="694"/>
      <c r="BL8" s="694"/>
      <c r="BM8" s="694"/>
      <c r="BN8" s="694"/>
      <c r="BO8" s="694"/>
      <c r="BP8" s="694"/>
      <c r="BQ8" s="694"/>
      <c r="BR8" s="694"/>
      <c r="BS8" s="694"/>
      <c r="BT8" s="694"/>
      <c r="BU8" s="694"/>
      <c r="BV8" s="694"/>
      <c r="BW8" s="694"/>
      <c r="BX8" s="694"/>
      <c r="BY8" s="694"/>
      <c r="BZ8" s="694"/>
      <c r="CA8" s="694"/>
      <c r="CB8" s="694"/>
      <c r="CC8" s="694"/>
      <c r="CD8" s="694"/>
      <c r="CE8" s="694"/>
      <c r="CF8" s="694"/>
      <c r="CG8" s="694"/>
      <c r="CH8" s="694"/>
      <c r="CI8" s="694"/>
      <c r="CJ8" s="694"/>
      <c r="CK8" s="694"/>
      <c r="CL8" s="694"/>
      <c r="CM8" s="694"/>
      <c r="CN8" s="694"/>
      <c r="CO8" s="694"/>
      <c r="CP8" s="694"/>
      <c r="CQ8" s="694"/>
      <c r="CR8" s="694"/>
      <c r="CS8" s="694"/>
      <c r="CT8" s="694"/>
      <c r="CU8" s="694"/>
      <c r="CV8" s="694"/>
      <c r="CW8" s="694"/>
      <c r="CX8" s="694"/>
      <c r="CY8" s="694"/>
      <c r="CZ8" s="694"/>
      <c r="DA8" s="694"/>
      <c r="DB8" s="694"/>
      <c r="DC8" s="694"/>
      <c r="DD8" s="694"/>
      <c r="DE8" s="694"/>
      <c r="DF8" s="694"/>
      <c r="DG8" s="694"/>
      <c r="DH8" s="694"/>
      <c r="DI8" s="694"/>
      <c r="DJ8" s="694"/>
      <c r="DK8" s="694"/>
      <c r="DL8" s="694"/>
      <c r="DM8" s="694"/>
      <c r="DN8" s="694"/>
      <c r="DO8" s="694"/>
      <c r="DP8" s="694"/>
      <c r="DQ8" s="694"/>
      <c r="DR8" s="694"/>
      <c r="DS8" s="694"/>
      <c r="DT8" s="694"/>
      <c r="DU8" s="694"/>
      <c r="DV8" s="694"/>
      <c r="DW8" s="694"/>
      <c r="DX8" s="694"/>
      <c r="DY8" s="694"/>
      <c r="DZ8" s="694"/>
      <c r="EA8" s="694"/>
      <c r="EB8" s="694"/>
      <c r="EC8" s="694"/>
      <c r="ED8" s="694"/>
      <c r="EE8" s="694"/>
      <c r="EF8" s="694"/>
      <c r="EG8" s="694"/>
      <c r="EH8" s="694"/>
      <c r="EI8" s="694"/>
      <c r="EJ8" s="694"/>
      <c r="EK8" s="694"/>
      <c r="EL8" s="694"/>
      <c r="EM8" s="694"/>
      <c r="EN8" s="694"/>
      <c r="EO8" s="694"/>
      <c r="EP8" s="694"/>
      <c r="EQ8" s="694"/>
      <c r="ER8" s="694"/>
      <c r="ES8" s="694"/>
      <c r="ET8" s="694"/>
      <c r="EU8" s="694"/>
      <c r="EV8" s="694"/>
      <c r="EW8" s="694"/>
      <c r="EX8" s="694"/>
      <c r="EY8" s="694"/>
      <c r="EZ8" s="694"/>
      <c r="FA8" s="694"/>
      <c r="FB8" s="694"/>
      <c r="FC8" s="694"/>
      <c r="FD8" s="694"/>
      <c r="FE8" s="694"/>
      <c r="FF8" s="694"/>
      <c r="FG8" s="694"/>
      <c r="FH8" s="694"/>
      <c r="FI8" s="694"/>
      <c r="FJ8" s="694"/>
      <c r="FK8" s="694"/>
      <c r="FL8" s="694"/>
      <c r="FM8" s="694"/>
      <c r="FN8" s="694"/>
      <c r="FO8" s="694"/>
      <c r="FP8" s="694"/>
      <c r="FQ8" s="694"/>
      <c r="FR8" s="694"/>
      <c r="FS8" s="694"/>
      <c r="FT8" s="694"/>
      <c r="FU8" s="694"/>
    </row>
    <row r="9" spans="1:177" ht="27.95" customHeight="1">
      <c r="A9" s="3108" t="s">
        <v>1058</v>
      </c>
      <c r="B9" s="3109"/>
      <c r="C9" s="976">
        <v>3078</v>
      </c>
      <c r="D9" s="976">
        <v>3067</v>
      </c>
      <c r="E9" s="976">
        <v>363</v>
      </c>
      <c r="F9" s="977">
        <v>11.835670035865666</v>
      </c>
      <c r="G9" s="976">
        <v>138</v>
      </c>
      <c r="H9" s="976">
        <v>2566</v>
      </c>
      <c r="I9" s="976">
        <v>46</v>
      </c>
      <c r="J9" s="976">
        <v>351</v>
      </c>
      <c r="K9" s="976">
        <v>269</v>
      </c>
      <c r="L9" s="976">
        <v>9</v>
      </c>
      <c r="M9" s="978">
        <v>73</v>
      </c>
    </row>
    <row r="10" spans="1:177" ht="27.95" customHeight="1">
      <c r="A10" s="3108" t="s">
        <v>1107</v>
      </c>
      <c r="B10" s="3109"/>
      <c r="C10" s="976">
        <v>3148</v>
      </c>
      <c r="D10" s="976">
        <v>3159</v>
      </c>
      <c r="E10" s="976">
        <v>413</v>
      </c>
      <c r="F10" s="977">
        <v>13.073757518201962</v>
      </c>
      <c r="G10" s="976">
        <v>94</v>
      </c>
      <c r="H10" s="976">
        <v>2652</v>
      </c>
      <c r="I10" s="976">
        <v>35</v>
      </c>
      <c r="J10" s="976">
        <v>405</v>
      </c>
      <c r="K10" s="976">
        <v>329</v>
      </c>
      <c r="L10" s="976">
        <v>8</v>
      </c>
      <c r="M10" s="978">
        <v>68</v>
      </c>
    </row>
    <row r="11" spans="1:177" ht="27.95" customHeight="1">
      <c r="A11" s="3108" t="s">
        <v>1060</v>
      </c>
      <c r="B11" s="3109"/>
      <c r="C11" s="976">
        <v>3508</v>
      </c>
      <c r="D11" s="976">
        <v>3510</v>
      </c>
      <c r="E11" s="976">
        <v>440</v>
      </c>
      <c r="F11" s="977">
        <v>12.535612535612536</v>
      </c>
      <c r="G11" s="976">
        <v>99</v>
      </c>
      <c r="H11" s="976">
        <v>2971</v>
      </c>
      <c r="I11" s="976">
        <v>33</v>
      </c>
      <c r="J11" s="976">
        <v>440</v>
      </c>
      <c r="K11" s="976">
        <v>377</v>
      </c>
      <c r="L11" s="976">
        <v>6</v>
      </c>
      <c r="M11" s="978">
        <v>57</v>
      </c>
    </row>
    <row r="12" spans="1:177" ht="27.95" customHeight="1">
      <c r="A12" s="3108" t="s">
        <v>1061</v>
      </c>
      <c r="B12" s="3109"/>
      <c r="C12" s="976">
        <v>3426</v>
      </c>
      <c r="D12" s="976">
        <v>3431</v>
      </c>
      <c r="E12" s="976">
        <v>506</v>
      </c>
      <c r="F12" s="977">
        <v>14.747886913436318</v>
      </c>
      <c r="G12" s="976">
        <v>95</v>
      </c>
      <c r="H12" s="976">
        <v>2830</v>
      </c>
      <c r="I12" s="976">
        <v>28</v>
      </c>
      <c r="J12" s="976">
        <v>478</v>
      </c>
      <c r="K12" s="976">
        <v>421</v>
      </c>
      <c r="L12" s="976">
        <v>7</v>
      </c>
      <c r="M12" s="978">
        <v>50</v>
      </c>
    </row>
    <row r="13" spans="1:177" ht="27.95" customHeight="1">
      <c r="A13" s="3108" t="s">
        <v>1062</v>
      </c>
      <c r="B13" s="3109"/>
      <c r="C13" s="976">
        <v>2837</v>
      </c>
      <c r="D13" s="976">
        <v>2835</v>
      </c>
      <c r="E13" s="976">
        <v>468</v>
      </c>
      <c r="F13" s="977">
        <v>16.507936507936506</v>
      </c>
      <c r="G13" s="976">
        <v>106</v>
      </c>
      <c r="H13" s="976">
        <v>2261</v>
      </c>
      <c r="I13" s="976">
        <v>30</v>
      </c>
      <c r="J13" s="976">
        <v>456</v>
      </c>
      <c r="K13" s="976">
        <v>393</v>
      </c>
      <c r="L13" s="976">
        <v>2</v>
      </c>
      <c r="M13" s="978">
        <v>61</v>
      </c>
    </row>
    <row r="14" spans="1:177" ht="27.95" customHeight="1">
      <c r="A14" s="3108" t="s">
        <v>1063</v>
      </c>
      <c r="B14" s="3109"/>
      <c r="C14" s="976">
        <v>2593</v>
      </c>
      <c r="D14" s="976">
        <v>2598</v>
      </c>
      <c r="E14" s="976">
        <v>303</v>
      </c>
      <c r="F14" s="977">
        <v>11.662817551963048</v>
      </c>
      <c r="G14" s="976">
        <v>110</v>
      </c>
      <c r="H14" s="976">
        <v>2185</v>
      </c>
      <c r="I14" s="976">
        <v>25</v>
      </c>
      <c r="J14" s="976">
        <v>304</v>
      </c>
      <c r="K14" s="976">
        <v>219</v>
      </c>
      <c r="L14" s="976">
        <v>5</v>
      </c>
      <c r="M14" s="978">
        <v>80</v>
      </c>
    </row>
    <row r="15" spans="1:177" ht="27.95" customHeight="1">
      <c r="A15" s="3108" t="s">
        <v>1064</v>
      </c>
      <c r="B15" s="3109"/>
      <c r="C15" s="976">
        <v>2323</v>
      </c>
      <c r="D15" s="976">
        <v>2338</v>
      </c>
      <c r="E15" s="976">
        <v>242</v>
      </c>
      <c r="F15" s="977">
        <v>10.350727117194184</v>
      </c>
      <c r="G15" s="976">
        <v>35</v>
      </c>
      <c r="H15" s="976">
        <v>2061</v>
      </c>
      <c r="I15" s="976">
        <v>10</v>
      </c>
      <c r="J15" s="976">
        <v>245</v>
      </c>
      <c r="K15" s="976">
        <v>194</v>
      </c>
      <c r="L15" s="976">
        <v>2</v>
      </c>
      <c r="M15" s="978">
        <v>49</v>
      </c>
    </row>
    <row r="16" spans="1:177" ht="27.95" customHeight="1">
      <c r="A16" s="3108" t="s">
        <v>1065</v>
      </c>
      <c r="B16" s="3109"/>
      <c r="C16" s="976">
        <v>2636</v>
      </c>
      <c r="D16" s="976">
        <v>2628</v>
      </c>
      <c r="E16" s="976">
        <v>274</v>
      </c>
      <c r="F16" s="977">
        <v>10.426179604261796</v>
      </c>
      <c r="G16" s="976">
        <v>45</v>
      </c>
      <c r="H16" s="976">
        <v>2309</v>
      </c>
      <c r="I16" s="976">
        <v>20</v>
      </c>
      <c r="J16" s="976">
        <v>266</v>
      </c>
      <c r="K16" s="976">
        <v>226</v>
      </c>
      <c r="L16" s="976">
        <v>5</v>
      </c>
      <c r="M16" s="978">
        <v>35</v>
      </c>
    </row>
    <row r="17" spans="1:177" ht="27.95" customHeight="1">
      <c r="A17" s="3108" t="s">
        <v>1066</v>
      </c>
      <c r="B17" s="3109"/>
      <c r="C17" s="976">
        <v>2433</v>
      </c>
      <c r="D17" s="976">
        <v>2434</v>
      </c>
      <c r="E17" s="976">
        <v>273</v>
      </c>
      <c r="F17" s="977">
        <v>11.216105176663929</v>
      </c>
      <c r="G17" s="976">
        <v>40</v>
      </c>
      <c r="H17" s="976">
        <v>2121</v>
      </c>
      <c r="I17" s="976">
        <v>19</v>
      </c>
      <c r="J17" s="976">
        <v>283</v>
      </c>
      <c r="K17" s="976">
        <v>228</v>
      </c>
      <c r="L17" s="976">
        <v>5</v>
      </c>
      <c r="M17" s="978">
        <v>50</v>
      </c>
    </row>
    <row r="18" spans="1:177" ht="27.95" customHeight="1">
      <c r="A18" s="3120" t="s">
        <v>1067</v>
      </c>
      <c r="B18" s="3121"/>
      <c r="C18" s="979">
        <v>2647</v>
      </c>
      <c r="D18" s="979">
        <v>2658</v>
      </c>
      <c r="E18" s="979">
        <v>292</v>
      </c>
      <c r="F18" s="980">
        <v>10.985703536493604</v>
      </c>
      <c r="G18" s="979">
        <v>56</v>
      </c>
      <c r="H18" s="979">
        <v>2310</v>
      </c>
      <c r="I18" s="979">
        <v>8</v>
      </c>
      <c r="J18" s="979">
        <v>238</v>
      </c>
      <c r="K18" s="979">
        <v>190</v>
      </c>
      <c r="L18" s="979">
        <v>11</v>
      </c>
      <c r="M18" s="981">
        <v>37</v>
      </c>
    </row>
    <row r="19" spans="1:177" s="703" customFormat="1" ht="21.75" customHeight="1">
      <c r="A19" s="703" t="s">
        <v>1108</v>
      </c>
      <c r="J19" s="982"/>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959"/>
      <c r="AM19" s="959"/>
      <c r="AN19" s="959"/>
      <c r="AO19" s="959"/>
      <c r="AP19" s="959"/>
      <c r="AQ19" s="959"/>
      <c r="AR19" s="959"/>
      <c r="AS19" s="959"/>
      <c r="AT19" s="959"/>
      <c r="AU19" s="959"/>
      <c r="AV19" s="959"/>
      <c r="AW19" s="959"/>
      <c r="AX19" s="959"/>
      <c r="AY19" s="959"/>
      <c r="AZ19" s="959"/>
      <c r="BA19" s="959"/>
      <c r="BB19" s="959"/>
      <c r="BC19" s="959"/>
      <c r="BD19" s="959"/>
      <c r="BE19" s="959"/>
      <c r="BF19" s="959"/>
      <c r="BG19" s="959"/>
      <c r="BH19" s="959"/>
      <c r="BI19" s="959"/>
      <c r="BJ19" s="959"/>
      <c r="BK19" s="959"/>
      <c r="BL19" s="959"/>
      <c r="BM19" s="959"/>
      <c r="BN19" s="959"/>
      <c r="BO19" s="959"/>
      <c r="BP19" s="959"/>
      <c r="BQ19" s="959"/>
      <c r="BR19" s="959"/>
      <c r="BS19" s="959"/>
      <c r="BT19" s="959"/>
      <c r="BU19" s="959"/>
      <c r="BV19" s="959"/>
      <c r="BW19" s="959"/>
      <c r="BX19" s="959"/>
      <c r="BY19" s="959"/>
      <c r="BZ19" s="959"/>
      <c r="CA19" s="959"/>
      <c r="CB19" s="959"/>
      <c r="CC19" s="959"/>
      <c r="CD19" s="959"/>
      <c r="CE19" s="959"/>
      <c r="CF19" s="959"/>
      <c r="CG19" s="959"/>
      <c r="CH19" s="959"/>
      <c r="CI19" s="959"/>
      <c r="CJ19" s="959"/>
      <c r="CK19" s="959"/>
      <c r="CL19" s="959"/>
      <c r="CM19" s="959"/>
      <c r="CN19" s="959"/>
      <c r="CO19" s="959"/>
      <c r="CP19" s="959"/>
      <c r="CQ19" s="959"/>
      <c r="CR19" s="959"/>
      <c r="CS19" s="959"/>
      <c r="CT19" s="959"/>
      <c r="CU19" s="959"/>
      <c r="CV19" s="959"/>
      <c r="CW19" s="959"/>
      <c r="CX19" s="959"/>
      <c r="CY19" s="959"/>
      <c r="CZ19" s="959"/>
      <c r="DA19" s="959"/>
      <c r="DB19" s="959"/>
      <c r="DC19" s="959"/>
      <c r="DD19" s="959"/>
      <c r="DE19" s="959"/>
      <c r="DF19" s="959"/>
      <c r="DG19" s="959"/>
      <c r="DH19" s="959"/>
      <c r="DI19" s="959"/>
      <c r="DJ19" s="959"/>
      <c r="DK19" s="959"/>
      <c r="DL19" s="959"/>
      <c r="DM19" s="959"/>
      <c r="DN19" s="959"/>
      <c r="DO19" s="959"/>
      <c r="DP19" s="959"/>
      <c r="DQ19" s="959"/>
      <c r="DR19" s="959"/>
      <c r="DS19" s="959"/>
      <c r="DT19" s="959"/>
      <c r="DU19" s="959"/>
      <c r="DV19" s="959"/>
      <c r="DW19" s="959"/>
      <c r="DX19" s="959"/>
      <c r="DY19" s="959"/>
      <c r="DZ19" s="959"/>
      <c r="EA19" s="959"/>
      <c r="EB19" s="959"/>
      <c r="EC19" s="959"/>
      <c r="ED19" s="959"/>
      <c r="EE19" s="959"/>
      <c r="EF19" s="959"/>
      <c r="EG19" s="959"/>
      <c r="EH19" s="959"/>
      <c r="EI19" s="959"/>
      <c r="EJ19" s="959"/>
      <c r="EK19" s="959"/>
      <c r="EL19" s="959"/>
      <c r="EM19" s="959"/>
      <c r="EN19" s="959"/>
      <c r="EO19" s="959"/>
      <c r="EP19" s="959"/>
      <c r="EQ19" s="959"/>
      <c r="ER19" s="959"/>
      <c r="ES19" s="959"/>
      <c r="ET19" s="959"/>
      <c r="EU19" s="959"/>
      <c r="EV19" s="959"/>
      <c r="EW19" s="959"/>
      <c r="EX19" s="959"/>
      <c r="EY19" s="959"/>
      <c r="EZ19" s="959"/>
      <c r="FA19" s="959"/>
      <c r="FB19" s="959"/>
      <c r="FC19" s="959"/>
      <c r="FD19" s="959"/>
      <c r="FE19" s="959"/>
      <c r="FF19" s="959"/>
      <c r="FG19" s="959"/>
      <c r="FH19" s="959"/>
      <c r="FI19" s="959"/>
      <c r="FJ19" s="959"/>
      <c r="FK19" s="959"/>
      <c r="FL19" s="959"/>
      <c r="FM19" s="959"/>
      <c r="FN19" s="959"/>
      <c r="FO19" s="959"/>
      <c r="FP19" s="959"/>
      <c r="FQ19" s="959"/>
      <c r="FR19" s="959"/>
      <c r="FS19" s="959"/>
      <c r="FT19" s="959"/>
      <c r="FU19" s="959"/>
    </row>
  </sheetData>
  <mergeCells count="22">
    <mergeCell ref="A18:B18"/>
    <mergeCell ref="M4:M8"/>
    <mergeCell ref="G6:G8"/>
    <mergeCell ref="A9:B9"/>
    <mergeCell ref="A10:B10"/>
    <mergeCell ref="A11:B11"/>
    <mergeCell ref="A12:B12"/>
    <mergeCell ref="A13:B13"/>
    <mergeCell ref="A14:B14"/>
    <mergeCell ref="A15:B15"/>
    <mergeCell ref="A16:B16"/>
    <mergeCell ref="A17:B17"/>
    <mergeCell ref="A1:M1"/>
    <mergeCell ref="A3:B8"/>
    <mergeCell ref="C3:C8"/>
    <mergeCell ref="D3:H3"/>
    <mergeCell ref="I3:I8"/>
    <mergeCell ref="J3:M3"/>
    <mergeCell ref="E4:F7"/>
    <mergeCell ref="G4:H5"/>
    <mergeCell ref="K4:K8"/>
    <mergeCell ref="L4:L8"/>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8"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CK67"/>
  <sheetViews>
    <sheetView showGridLines="0" workbookViewId="0">
      <selection activeCell="B16" sqref="B16"/>
    </sheetView>
  </sheetViews>
  <sheetFormatPr defaultColWidth="13" defaultRowHeight="15.75"/>
  <cols>
    <col min="1" max="1" width="10.125" style="650" customWidth="1"/>
    <col min="2" max="16" width="8.375" style="650" customWidth="1"/>
    <col min="17" max="89" width="13" style="886" customWidth="1"/>
    <col min="90" max="16384" width="13" style="650"/>
  </cols>
  <sheetData>
    <row r="1" spans="1:89" s="648" customFormat="1" ht="30.6" customHeight="1">
      <c r="A1" s="3167" t="s">
        <v>1176</v>
      </c>
      <c r="B1" s="3167"/>
      <c r="C1" s="3167"/>
      <c r="D1" s="3167"/>
      <c r="E1" s="3167"/>
      <c r="F1" s="3167"/>
      <c r="G1" s="3167"/>
      <c r="H1" s="3167"/>
      <c r="I1" s="3167"/>
      <c r="J1" s="3167"/>
      <c r="K1" s="3167"/>
      <c r="L1" s="3167"/>
      <c r="M1" s="3167"/>
      <c r="N1" s="3167"/>
      <c r="O1" s="3167"/>
      <c r="P1" s="3167"/>
      <c r="Q1" s="983"/>
      <c r="R1" s="983"/>
      <c r="S1" s="983"/>
      <c r="T1" s="983"/>
      <c r="U1" s="983"/>
      <c r="V1" s="983"/>
      <c r="W1" s="983"/>
      <c r="X1" s="983"/>
      <c r="Y1" s="983"/>
      <c r="Z1" s="983"/>
      <c r="AA1" s="983"/>
      <c r="AB1" s="983"/>
      <c r="AC1" s="983"/>
      <c r="AD1" s="983"/>
      <c r="AE1" s="983"/>
      <c r="AF1" s="983"/>
      <c r="AG1" s="983"/>
      <c r="AH1" s="983"/>
      <c r="AI1" s="983"/>
      <c r="AJ1" s="983"/>
      <c r="AK1" s="983"/>
      <c r="AL1" s="983"/>
      <c r="AM1" s="983"/>
      <c r="AN1" s="983"/>
      <c r="AO1" s="983"/>
      <c r="AP1" s="983"/>
      <c r="AQ1" s="983"/>
      <c r="AR1" s="983"/>
      <c r="AS1" s="983"/>
      <c r="AT1" s="983"/>
      <c r="AU1" s="983"/>
      <c r="AV1" s="983"/>
      <c r="AW1" s="983"/>
      <c r="AX1" s="983"/>
      <c r="AY1" s="983"/>
      <c r="AZ1" s="983"/>
      <c r="BA1" s="983"/>
      <c r="BB1" s="983"/>
      <c r="BC1" s="983"/>
      <c r="BD1" s="983"/>
      <c r="BE1" s="983"/>
      <c r="BF1" s="983"/>
      <c r="BG1" s="983"/>
      <c r="BH1" s="983"/>
      <c r="BI1" s="983"/>
      <c r="BJ1" s="983"/>
      <c r="BK1" s="983"/>
      <c r="BL1" s="983"/>
      <c r="BM1" s="983"/>
      <c r="BN1" s="983"/>
      <c r="BO1" s="983"/>
      <c r="BP1" s="983"/>
      <c r="BQ1" s="983"/>
      <c r="BR1" s="983"/>
      <c r="BS1" s="983"/>
      <c r="BT1" s="983"/>
      <c r="BU1" s="983"/>
      <c r="BV1" s="983"/>
      <c r="BW1" s="983"/>
      <c r="BX1" s="983"/>
      <c r="BY1" s="983"/>
      <c r="BZ1" s="983"/>
      <c r="CA1" s="983"/>
      <c r="CB1" s="983"/>
      <c r="CC1" s="983"/>
      <c r="CD1" s="983"/>
      <c r="CE1" s="983"/>
      <c r="CF1" s="983"/>
      <c r="CG1" s="983"/>
      <c r="CH1" s="983"/>
      <c r="CI1" s="983"/>
      <c r="CJ1" s="983"/>
      <c r="CK1" s="983"/>
    </row>
    <row r="2" spans="1:89" s="986" customFormat="1" ht="16.5" thickBot="1">
      <c r="A2" s="984"/>
      <c r="B2" s="984"/>
      <c r="C2" s="984"/>
      <c r="D2" s="984"/>
      <c r="E2" s="984"/>
      <c r="F2" s="984"/>
      <c r="G2" s="984"/>
      <c r="H2" s="984"/>
      <c r="I2" s="984"/>
      <c r="J2" s="984"/>
      <c r="K2" s="984"/>
      <c r="L2" s="985"/>
      <c r="M2" s="984"/>
      <c r="N2" s="3122" t="s">
        <v>1177</v>
      </c>
      <c r="O2" s="3122"/>
      <c r="P2" s="3122"/>
      <c r="Q2" s="985"/>
      <c r="R2" s="985"/>
      <c r="S2" s="985"/>
      <c r="T2" s="985"/>
      <c r="U2" s="985"/>
      <c r="V2" s="985"/>
      <c r="W2" s="985"/>
      <c r="X2" s="985"/>
      <c r="Y2" s="985"/>
      <c r="Z2" s="985"/>
      <c r="AA2" s="985"/>
      <c r="AB2" s="985"/>
      <c r="AC2" s="985"/>
      <c r="AD2" s="985"/>
      <c r="AE2" s="985"/>
      <c r="AF2" s="985"/>
      <c r="AG2" s="985"/>
      <c r="AH2" s="985"/>
      <c r="AI2" s="985"/>
      <c r="AJ2" s="985"/>
      <c r="AK2" s="985"/>
      <c r="AL2" s="985"/>
      <c r="AM2" s="985"/>
      <c r="AN2" s="985"/>
      <c r="AO2" s="985"/>
      <c r="AP2" s="985"/>
      <c r="AQ2" s="985"/>
      <c r="AR2" s="985"/>
      <c r="AS2" s="985"/>
      <c r="AT2" s="985"/>
      <c r="AU2" s="985"/>
      <c r="AV2" s="985"/>
      <c r="AW2" s="985"/>
      <c r="AX2" s="985"/>
      <c r="AY2" s="985"/>
      <c r="AZ2" s="985"/>
      <c r="BA2" s="985"/>
      <c r="BB2" s="985"/>
      <c r="BC2" s="985"/>
      <c r="BD2" s="985"/>
      <c r="BE2" s="985"/>
      <c r="BF2" s="985"/>
      <c r="BG2" s="985"/>
      <c r="BH2" s="985"/>
      <c r="BI2" s="985"/>
      <c r="BJ2" s="985"/>
      <c r="BK2" s="985"/>
      <c r="BL2" s="985"/>
      <c r="BM2" s="985"/>
      <c r="BN2" s="985"/>
      <c r="BO2" s="985"/>
      <c r="BP2" s="985"/>
      <c r="BQ2" s="985"/>
      <c r="BR2" s="985"/>
      <c r="BS2" s="985"/>
      <c r="BT2" s="985"/>
      <c r="BU2" s="985"/>
      <c r="BV2" s="985"/>
      <c r="BW2" s="985"/>
      <c r="BX2" s="985"/>
      <c r="BY2" s="985"/>
      <c r="BZ2" s="985"/>
      <c r="CA2" s="985"/>
      <c r="CB2" s="985"/>
      <c r="CC2" s="985"/>
      <c r="CD2" s="985"/>
      <c r="CE2" s="985"/>
      <c r="CF2" s="985"/>
      <c r="CG2" s="985"/>
      <c r="CH2" s="985"/>
      <c r="CI2" s="985"/>
      <c r="CJ2" s="985"/>
      <c r="CK2" s="985"/>
    </row>
    <row r="3" spans="1:89" ht="30" customHeight="1">
      <c r="A3" s="3168"/>
      <c r="B3" s="3171" t="s">
        <v>374</v>
      </c>
      <c r="C3" s="3172" t="s">
        <v>1178</v>
      </c>
      <c r="D3" s="3172" t="s">
        <v>1179</v>
      </c>
      <c r="E3" s="3172" t="s">
        <v>1180</v>
      </c>
      <c r="F3" s="3166" t="s">
        <v>963</v>
      </c>
      <c r="G3" s="3166" t="s">
        <v>1181</v>
      </c>
      <c r="H3" s="3166" t="s">
        <v>855</v>
      </c>
      <c r="I3" s="3166" t="s">
        <v>863</v>
      </c>
      <c r="J3" s="3166" t="s">
        <v>1182</v>
      </c>
      <c r="K3" s="3172" t="s">
        <v>1183</v>
      </c>
      <c r="L3" s="3166" t="s">
        <v>853</v>
      </c>
      <c r="M3" s="3172" t="s">
        <v>1184</v>
      </c>
      <c r="N3" s="3166" t="s">
        <v>1185</v>
      </c>
      <c r="O3" s="3166" t="s">
        <v>1186</v>
      </c>
      <c r="P3" s="3176" t="s">
        <v>434</v>
      </c>
    </row>
    <row r="4" spans="1:89" ht="27" customHeight="1">
      <c r="A4" s="3169"/>
      <c r="B4" s="2984"/>
      <c r="C4" s="2988"/>
      <c r="D4" s="2988"/>
      <c r="E4" s="2988"/>
      <c r="F4" s="2988"/>
      <c r="G4" s="2988"/>
      <c r="H4" s="2988"/>
      <c r="I4" s="2988"/>
      <c r="J4" s="2988"/>
      <c r="K4" s="2988" t="s">
        <v>1187</v>
      </c>
      <c r="L4" s="2988"/>
      <c r="M4" s="2988"/>
      <c r="N4" s="2988"/>
      <c r="O4" s="2988"/>
      <c r="P4" s="3177"/>
    </row>
    <row r="5" spans="1:89" ht="27" customHeight="1">
      <c r="A5" s="3169"/>
      <c r="B5" s="2984"/>
      <c r="C5" s="2988"/>
      <c r="D5" s="2988"/>
      <c r="E5" s="2988"/>
      <c r="F5" s="2988"/>
      <c r="G5" s="2988"/>
      <c r="H5" s="2988" t="s">
        <v>1188</v>
      </c>
      <c r="I5" s="2988" t="s">
        <v>1189</v>
      </c>
      <c r="J5" s="2988"/>
      <c r="K5" s="2988" t="s">
        <v>1187</v>
      </c>
      <c r="L5" s="2988"/>
      <c r="M5" s="2988"/>
      <c r="N5" s="2988"/>
      <c r="O5" s="2988"/>
      <c r="P5" s="3177"/>
    </row>
    <row r="6" spans="1:89" ht="27" customHeight="1">
      <c r="A6" s="3169"/>
      <c r="B6" s="2984"/>
      <c r="C6" s="2988"/>
      <c r="D6" s="2988"/>
      <c r="E6" s="2988"/>
      <c r="F6" s="2988"/>
      <c r="G6" s="2988"/>
      <c r="H6" s="2988"/>
      <c r="I6" s="2988"/>
      <c r="J6" s="2988"/>
      <c r="K6" s="2988" t="s">
        <v>1187</v>
      </c>
      <c r="L6" s="2988"/>
      <c r="M6" s="2988"/>
      <c r="N6" s="2988"/>
      <c r="O6" s="2988"/>
      <c r="P6" s="3177"/>
    </row>
    <row r="7" spans="1:89" s="987" customFormat="1" ht="17.25" customHeight="1" thickBot="1">
      <c r="A7" s="3170"/>
      <c r="B7" s="2985"/>
      <c r="C7" s="2989"/>
      <c r="D7" s="2989"/>
      <c r="E7" s="2989"/>
      <c r="F7" s="2989"/>
      <c r="G7" s="2989"/>
      <c r="H7" s="2989" t="s">
        <v>1190</v>
      </c>
      <c r="I7" s="2989" t="s">
        <v>1190</v>
      </c>
      <c r="J7" s="2989"/>
      <c r="K7" s="2989"/>
      <c r="L7" s="2989"/>
      <c r="M7" s="2989"/>
      <c r="N7" s="2989"/>
      <c r="O7" s="2989"/>
      <c r="P7" s="3178"/>
      <c r="Q7" s="886"/>
      <c r="R7" s="886"/>
      <c r="S7" s="886"/>
      <c r="T7" s="886"/>
      <c r="U7" s="886"/>
      <c r="V7" s="886"/>
      <c r="W7" s="886"/>
      <c r="X7" s="886"/>
      <c r="Y7" s="886"/>
      <c r="Z7" s="886"/>
      <c r="AA7" s="886"/>
      <c r="AB7" s="886"/>
      <c r="AC7" s="886"/>
      <c r="AD7" s="886"/>
      <c r="AE7" s="886"/>
      <c r="AF7" s="886"/>
      <c r="AG7" s="886"/>
      <c r="AH7" s="886"/>
      <c r="AI7" s="886"/>
      <c r="AJ7" s="886"/>
      <c r="AK7" s="886"/>
      <c r="AL7" s="886"/>
      <c r="AM7" s="886"/>
      <c r="AN7" s="886"/>
      <c r="AO7" s="886"/>
      <c r="AP7" s="886"/>
      <c r="AQ7" s="886"/>
      <c r="AR7" s="886"/>
      <c r="AS7" s="886"/>
      <c r="AT7" s="886"/>
      <c r="AU7" s="886"/>
      <c r="AV7" s="886"/>
      <c r="AW7" s="886"/>
      <c r="AX7" s="886"/>
      <c r="AY7" s="886"/>
      <c r="AZ7" s="886"/>
      <c r="BA7" s="886"/>
      <c r="BB7" s="886"/>
      <c r="BC7" s="886"/>
      <c r="BD7" s="886"/>
      <c r="BE7" s="886"/>
      <c r="BF7" s="886"/>
      <c r="BG7" s="886"/>
      <c r="BH7" s="886"/>
      <c r="BI7" s="886"/>
      <c r="BJ7" s="886"/>
      <c r="BK7" s="886"/>
      <c r="BL7" s="886"/>
      <c r="BM7" s="886"/>
      <c r="BN7" s="886"/>
      <c r="BO7" s="886"/>
      <c r="BP7" s="886"/>
      <c r="BQ7" s="886"/>
      <c r="BR7" s="886"/>
      <c r="BS7" s="886"/>
      <c r="BT7" s="886"/>
      <c r="BU7" s="886"/>
      <c r="BV7" s="886"/>
      <c r="BW7" s="886"/>
      <c r="BX7" s="886"/>
      <c r="BY7" s="886"/>
      <c r="BZ7" s="886"/>
      <c r="CA7" s="886"/>
      <c r="CB7" s="886"/>
      <c r="CC7" s="886"/>
      <c r="CD7" s="886"/>
      <c r="CE7" s="886"/>
      <c r="CF7" s="886"/>
      <c r="CG7" s="886"/>
      <c r="CH7" s="886"/>
      <c r="CI7" s="886"/>
      <c r="CJ7" s="886"/>
      <c r="CK7" s="886"/>
    </row>
    <row r="8" spans="1:89" s="886" customFormat="1" ht="24.75" customHeight="1">
      <c r="A8" s="988" t="s">
        <v>1145</v>
      </c>
      <c r="B8" s="989">
        <f>SUM(C8:P8)</f>
        <v>3067</v>
      </c>
      <c r="C8" s="989">
        <v>713</v>
      </c>
      <c r="D8" s="989">
        <v>11</v>
      </c>
      <c r="E8" s="989">
        <v>203</v>
      </c>
      <c r="F8" s="989">
        <v>136</v>
      </c>
      <c r="G8" s="989">
        <v>263</v>
      </c>
      <c r="H8" s="989">
        <v>119</v>
      </c>
      <c r="I8" s="989">
        <v>225</v>
      </c>
      <c r="J8" s="989">
        <v>157</v>
      </c>
      <c r="K8" s="989">
        <v>110</v>
      </c>
      <c r="L8" s="989">
        <v>64</v>
      </c>
      <c r="M8" s="989">
        <v>88</v>
      </c>
      <c r="N8" s="989">
        <v>38</v>
      </c>
      <c r="O8" s="989">
        <v>40</v>
      </c>
      <c r="P8" s="990">
        <v>900</v>
      </c>
      <c r="Q8" s="991"/>
    </row>
    <row r="9" spans="1:89" s="886" customFormat="1" ht="24.75" customHeight="1">
      <c r="A9" s="992" t="s">
        <v>1107</v>
      </c>
      <c r="B9" s="989">
        <f t="shared" ref="B9:B17" si="0">SUM(C9:P9)</f>
        <v>3159</v>
      </c>
      <c r="C9" s="989">
        <v>780</v>
      </c>
      <c r="D9" s="989">
        <v>5</v>
      </c>
      <c r="E9" s="989">
        <v>208</v>
      </c>
      <c r="F9" s="989">
        <v>140</v>
      </c>
      <c r="G9" s="989">
        <v>222</v>
      </c>
      <c r="H9" s="989">
        <v>111</v>
      </c>
      <c r="I9" s="989">
        <v>189</v>
      </c>
      <c r="J9" s="989">
        <v>213</v>
      </c>
      <c r="K9" s="989">
        <v>89</v>
      </c>
      <c r="L9" s="989">
        <v>74</v>
      </c>
      <c r="M9" s="989">
        <v>76</v>
      </c>
      <c r="N9" s="989">
        <v>38</v>
      </c>
      <c r="O9" s="989">
        <v>27</v>
      </c>
      <c r="P9" s="990">
        <v>987</v>
      </c>
    </row>
    <row r="10" spans="1:89" s="886" customFormat="1" ht="24.75" customHeight="1">
      <c r="A10" s="992" t="s">
        <v>1060</v>
      </c>
      <c r="B10" s="989">
        <f t="shared" si="0"/>
        <v>3510</v>
      </c>
      <c r="C10" s="989">
        <v>861</v>
      </c>
      <c r="D10" s="989">
        <v>4</v>
      </c>
      <c r="E10" s="989">
        <v>290</v>
      </c>
      <c r="F10" s="989">
        <v>160</v>
      </c>
      <c r="G10" s="989">
        <v>264</v>
      </c>
      <c r="H10" s="989">
        <v>130</v>
      </c>
      <c r="I10" s="989">
        <v>181</v>
      </c>
      <c r="J10" s="989">
        <v>201</v>
      </c>
      <c r="K10" s="989">
        <v>99</v>
      </c>
      <c r="L10" s="989">
        <v>76</v>
      </c>
      <c r="M10" s="989">
        <v>100</v>
      </c>
      <c r="N10" s="989">
        <v>35</v>
      </c>
      <c r="O10" s="989">
        <v>59</v>
      </c>
      <c r="P10" s="990">
        <v>1050</v>
      </c>
    </row>
    <row r="11" spans="1:89" s="886" customFormat="1" ht="24.75" customHeight="1">
      <c r="A11" s="992" t="s">
        <v>1061</v>
      </c>
      <c r="B11" s="989">
        <f t="shared" si="0"/>
        <v>3431</v>
      </c>
      <c r="C11" s="989">
        <v>859</v>
      </c>
      <c r="D11" s="989">
        <v>6</v>
      </c>
      <c r="E11" s="989">
        <v>166</v>
      </c>
      <c r="F11" s="989">
        <v>227</v>
      </c>
      <c r="G11" s="989">
        <v>261</v>
      </c>
      <c r="H11" s="989">
        <v>149</v>
      </c>
      <c r="I11" s="989">
        <v>156</v>
      </c>
      <c r="J11" s="989">
        <v>163</v>
      </c>
      <c r="K11" s="989">
        <v>97</v>
      </c>
      <c r="L11" s="989">
        <v>65</v>
      </c>
      <c r="M11" s="989">
        <v>78</v>
      </c>
      <c r="N11" s="989">
        <v>35</v>
      </c>
      <c r="O11" s="989">
        <v>19</v>
      </c>
      <c r="P11" s="990">
        <v>1150</v>
      </c>
    </row>
    <row r="12" spans="1:89" s="886" customFormat="1" ht="24.75" customHeight="1">
      <c r="A12" s="992" t="s">
        <v>1062</v>
      </c>
      <c r="B12" s="989">
        <f t="shared" si="0"/>
        <v>2835</v>
      </c>
      <c r="C12" s="989">
        <v>694</v>
      </c>
      <c r="D12" s="989">
        <v>18</v>
      </c>
      <c r="E12" s="989">
        <v>173</v>
      </c>
      <c r="F12" s="989">
        <v>183</v>
      </c>
      <c r="G12" s="989">
        <v>232</v>
      </c>
      <c r="H12" s="989">
        <v>116</v>
      </c>
      <c r="I12" s="989">
        <v>140</v>
      </c>
      <c r="J12" s="989">
        <v>149</v>
      </c>
      <c r="K12" s="989">
        <v>61</v>
      </c>
      <c r="L12" s="989">
        <v>75</v>
      </c>
      <c r="M12" s="989">
        <v>43</v>
      </c>
      <c r="N12" s="989">
        <v>47</v>
      </c>
      <c r="O12" s="989">
        <v>37</v>
      </c>
      <c r="P12" s="990">
        <v>867</v>
      </c>
    </row>
    <row r="13" spans="1:89" s="886" customFormat="1" ht="24.75" customHeight="1">
      <c r="A13" s="992" t="s">
        <v>1063</v>
      </c>
      <c r="B13" s="989">
        <f t="shared" si="0"/>
        <v>2598</v>
      </c>
      <c r="C13" s="989">
        <v>595</v>
      </c>
      <c r="D13" s="989">
        <v>93</v>
      </c>
      <c r="E13" s="989">
        <v>121</v>
      </c>
      <c r="F13" s="989">
        <v>171</v>
      </c>
      <c r="G13" s="989">
        <v>116</v>
      </c>
      <c r="H13" s="989">
        <v>122</v>
      </c>
      <c r="I13" s="989">
        <v>74</v>
      </c>
      <c r="J13" s="989">
        <v>176</v>
      </c>
      <c r="K13" s="989">
        <v>90</v>
      </c>
      <c r="L13" s="989">
        <v>91</v>
      </c>
      <c r="M13" s="989">
        <v>28</v>
      </c>
      <c r="N13" s="989">
        <v>27</v>
      </c>
      <c r="O13" s="989">
        <v>24</v>
      </c>
      <c r="P13" s="990">
        <v>870</v>
      </c>
    </row>
    <row r="14" spans="1:89" s="886" customFormat="1" ht="24.75" customHeight="1">
      <c r="A14" s="992" t="s">
        <v>1064</v>
      </c>
      <c r="B14" s="989">
        <f t="shared" si="0"/>
        <v>2338</v>
      </c>
      <c r="C14" s="989">
        <v>504</v>
      </c>
      <c r="D14" s="989">
        <v>270</v>
      </c>
      <c r="E14" s="989">
        <v>154</v>
      </c>
      <c r="F14" s="989">
        <v>125</v>
      </c>
      <c r="G14" s="989">
        <v>98</v>
      </c>
      <c r="H14" s="989">
        <v>105</v>
      </c>
      <c r="I14" s="989">
        <v>75</v>
      </c>
      <c r="J14" s="989">
        <v>104</v>
      </c>
      <c r="K14" s="989">
        <v>41</v>
      </c>
      <c r="L14" s="989">
        <v>59</v>
      </c>
      <c r="M14" s="989">
        <v>42</v>
      </c>
      <c r="N14" s="989">
        <v>24</v>
      </c>
      <c r="O14" s="989">
        <v>19</v>
      </c>
      <c r="P14" s="990">
        <v>718</v>
      </c>
    </row>
    <row r="15" spans="1:89" s="886" customFormat="1" ht="24.75" customHeight="1">
      <c r="A15" s="992" t="s">
        <v>1065</v>
      </c>
      <c r="B15" s="989">
        <f t="shared" si="0"/>
        <v>2628</v>
      </c>
      <c r="C15" s="989">
        <v>515</v>
      </c>
      <c r="D15" s="989">
        <v>499</v>
      </c>
      <c r="E15" s="989">
        <v>150</v>
      </c>
      <c r="F15" s="989">
        <v>142</v>
      </c>
      <c r="G15" s="989">
        <v>83</v>
      </c>
      <c r="H15" s="989">
        <v>141</v>
      </c>
      <c r="I15" s="989">
        <v>101</v>
      </c>
      <c r="J15" s="989">
        <v>104</v>
      </c>
      <c r="K15" s="989">
        <v>42</v>
      </c>
      <c r="L15" s="989">
        <v>64</v>
      </c>
      <c r="M15" s="989">
        <v>56</v>
      </c>
      <c r="N15" s="989">
        <v>19</v>
      </c>
      <c r="O15" s="989">
        <v>32</v>
      </c>
      <c r="P15" s="990">
        <v>680</v>
      </c>
    </row>
    <row r="16" spans="1:89" s="886" customFormat="1" ht="24.75" customHeight="1">
      <c r="A16" s="992" t="s">
        <v>1066</v>
      </c>
      <c r="B16" s="989">
        <f t="shared" si="0"/>
        <v>2434</v>
      </c>
      <c r="C16" s="989">
        <v>581</v>
      </c>
      <c r="D16" s="989">
        <v>253</v>
      </c>
      <c r="E16" s="989">
        <v>138</v>
      </c>
      <c r="F16" s="989">
        <v>133</v>
      </c>
      <c r="G16" s="989">
        <v>101</v>
      </c>
      <c r="H16" s="989">
        <v>149</v>
      </c>
      <c r="I16" s="989">
        <v>85</v>
      </c>
      <c r="J16" s="989">
        <v>110</v>
      </c>
      <c r="K16" s="989">
        <v>77</v>
      </c>
      <c r="L16" s="989">
        <v>49</v>
      </c>
      <c r="M16" s="989">
        <v>58</v>
      </c>
      <c r="N16" s="989">
        <v>28</v>
      </c>
      <c r="O16" s="989">
        <v>30</v>
      </c>
      <c r="P16" s="990">
        <v>642</v>
      </c>
    </row>
    <row r="17" spans="1:89" s="886" customFormat="1" ht="24.75" customHeight="1">
      <c r="A17" s="993" t="s">
        <v>1067</v>
      </c>
      <c r="B17" s="994">
        <f t="shared" si="0"/>
        <v>2658</v>
      </c>
      <c r="C17" s="994">
        <v>787</v>
      </c>
      <c r="D17" s="994">
        <v>239</v>
      </c>
      <c r="E17" s="994">
        <v>181</v>
      </c>
      <c r="F17" s="994">
        <v>135</v>
      </c>
      <c r="G17" s="994">
        <v>106</v>
      </c>
      <c r="H17" s="994">
        <v>101</v>
      </c>
      <c r="I17" s="994">
        <v>97</v>
      </c>
      <c r="J17" s="994">
        <v>94</v>
      </c>
      <c r="K17" s="994">
        <v>91</v>
      </c>
      <c r="L17" s="994">
        <v>82</v>
      </c>
      <c r="M17" s="994">
        <v>64</v>
      </c>
      <c r="N17" s="994">
        <v>27</v>
      </c>
      <c r="O17" s="994">
        <v>17</v>
      </c>
      <c r="P17" s="995">
        <v>637</v>
      </c>
    </row>
    <row r="18" spans="1:89" s="665" customFormat="1" ht="14.25">
      <c r="A18" s="665" t="s">
        <v>1191</v>
      </c>
      <c r="B18" s="996"/>
      <c r="N18" s="997"/>
      <c r="O18" s="997"/>
      <c r="P18" s="997" t="s">
        <v>1050</v>
      </c>
      <c r="Q18" s="998"/>
      <c r="R18" s="998"/>
      <c r="S18" s="998"/>
      <c r="T18" s="998"/>
      <c r="U18" s="998"/>
      <c r="V18" s="998"/>
      <c r="W18" s="998"/>
      <c r="X18" s="998"/>
      <c r="Y18" s="998"/>
      <c r="Z18" s="998"/>
      <c r="AA18" s="998"/>
      <c r="AB18" s="998"/>
      <c r="AC18" s="998"/>
      <c r="AD18" s="998"/>
      <c r="AE18" s="998"/>
      <c r="AF18" s="998"/>
      <c r="AG18" s="998"/>
      <c r="AH18" s="998"/>
      <c r="AI18" s="998"/>
      <c r="AJ18" s="998"/>
      <c r="AK18" s="998"/>
      <c r="AL18" s="998"/>
      <c r="AM18" s="998"/>
      <c r="AN18" s="998"/>
      <c r="AO18" s="998"/>
      <c r="AP18" s="998"/>
      <c r="AQ18" s="998"/>
      <c r="AR18" s="998"/>
      <c r="AS18" s="998"/>
      <c r="AT18" s="998"/>
      <c r="AU18" s="998"/>
      <c r="AV18" s="998"/>
      <c r="AW18" s="998"/>
      <c r="AX18" s="998"/>
      <c r="AY18" s="998"/>
      <c r="AZ18" s="998"/>
      <c r="BA18" s="998"/>
      <c r="BB18" s="998"/>
      <c r="BC18" s="998"/>
      <c r="BD18" s="998"/>
      <c r="BE18" s="998"/>
      <c r="BF18" s="998"/>
      <c r="BG18" s="998"/>
      <c r="BH18" s="998"/>
      <c r="BI18" s="998"/>
      <c r="BJ18" s="998"/>
      <c r="BK18" s="998"/>
      <c r="BL18" s="998"/>
      <c r="BM18" s="998"/>
      <c r="BN18" s="998"/>
      <c r="BO18" s="998"/>
      <c r="BP18" s="998"/>
      <c r="BQ18" s="998"/>
      <c r="BR18" s="998"/>
      <c r="BS18" s="998"/>
      <c r="BT18" s="998"/>
      <c r="BU18" s="998"/>
      <c r="BV18" s="998"/>
      <c r="BW18" s="998"/>
      <c r="BX18" s="998"/>
      <c r="BY18" s="998"/>
      <c r="BZ18" s="998"/>
      <c r="CA18" s="998"/>
      <c r="CB18" s="998"/>
      <c r="CC18" s="998"/>
      <c r="CD18" s="998"/>
      <c r="CE18" s="998"/>
      <c r="CF18" s="998"/>
      <c r="CG18" s="998"/>
      <c r="CH18" s="998"/>
      <c r="CI18" s="998"/>
      <c r="CJ18" s="998"/>
      <c r="CK18" s="998"/>
    </row>
    <row r="19" spans="1:89">
      <c r="A19" s="665" t="s">
        <v>1192</v>
      </c>
      <c r="Q19" s="650"/>
      <c r="R19" s="650"/>
      <c r="S19" s="650"/>
      <c r="T19" s="650"/>
      <c r="U19" s="650"/>
      <c r="V19" s="650"/>
      <c r="W19" s="650"/>
      <c r="X19" s="650"/>
      <c r="Y19" s="650"/>
      <c r="Z19" s="650"/>
      <c r="AA19" s="650"/>
      <c r="AB19" s="650"/>
      <c r="AC19" s="650"/>
      <c r="AD19" s="650"/>
      <c r="AE19" s="650"/>
      <c r="AF19" s="650"/>
      <c r="AG19" s="650"/>
      <c r="AH19" s="650"/>
      <c r="AI19" s="650"/>
      <c r="AJ19" s="650"/>
      <c r="AK19" s="650"/>
      <c r="AL19" s="650"/>
      <c r="AM19" s="650"/>
      <c r="AN19" s="650"/>
      <c r="AO19" s="650"/>
      <c r="AP19" s="650"/>
      <c r="AQ19" s="650"/>
      <c r="AR19" s="650"/>
      <c r="AS19" s="650"/>
      <c r="AT19" s="650"/>
      <c r="AU19" s="650"/>
      <c r="AV19" s="650"/>
      <c r="AW19" s="650"/>
      <c r="AX19" s="650"/>
      <c r="AY19" s="650"/>
      <c r="AZ19" s="650"/>
      <c r="BA19" s="650"/>
      <c r="BB19" s="650"/>
      <c r="BC19" s="650"/>
      <c r="BD19" s="650"/>
      <c r="BE19" s="650"/>
      <c r="BF19" s="650"/>
      <c r="BG19" s="650"/>
      <c r="BH19" s="650"/>
      <c r="BI19" s="650"/>
      <c r="BJ19" s="650"/>
      <c r="BK19" s="650"/>
      <c r="BL19" s="650"/>
      <c r="BM19" s="650"/>
      <c r="BN19" s="650"/>
      <c r="BO19" s="650"/>
      <c r="BP19" s="650"/>
      <c r="BQ19" s="650"/>
      <c r="BR19" s="650"/>
      <c r="BS19" s="650"/>
      <c r="BT19" s="650"/>
      <c r="BU19" s="650"/>
      <c r="BV19" s="650"/>
      <c r="BW19" s="650"/>
      <c r="BX19" s="650"/>
      <c r="BY19" s="650"/>
      <c r="BZ19" s="650"/>
      <c r="CA19" s="650"/>
      <c r="CB19" s="650"/>
      <c r="CC19" s="650"/>
      <c r="CD19" s="650"/>
      <c r="CE19" s="650"/>
      <c r="CF19" s="650"/>
      <c r="CG19" s="650"/>
      <c r="CH19" s="650"/>
      <c r="CI19" s="650"/>
      <c r="CJ19" s="650"/>
      <c r="CK19" s="650"/>
    </row>
    <row r="20" spans="1:89" ht="16.149999999999999" customHeight="1">
      <c r="Q20" s="650"/>
      <c r="R20" s="650"/>
      <c r="S20" s="650"/>
      <c r="T20" s="650"/>
      <c r="U20" s="650"/>
      <c r="V20" s="650"/>
      <c r="W20" s="650"/>
      <c r="X20" s="650"/>
      <c r="Y20" s="650"/>
      <c r="Z20" s="650"/>
      <c r="AA20" s="650"/>
      <c r="AB20" s="650"/>
      <c r="AC20" s="650"/>
      <c r="AD20" s="650"/>
      <c r="AE20" s="650"/>
      <c r="AF20" s="650"/>
      <c r="AG20" s="650"/>
      <c r="AH20" s="650"/>
      <c r="AI20" s="650"/>
      <c r="AJ20" s="650"/>
      <c r="AK20" s="650"/>
      <c r="AL20" s="650"/>
      <c r="AM20" s="650"/>
      <c r="AN20" s="650"/>
      <c r="AO20" s="650"/>
      <c r="AP20" s="650"/>
      <c r="AQ20" s="650"/>
      <c r="AR20" s="650"/>
      <c r="AS20" s="650"/>
      <c r="AT20" s="650"/>
      <c r="AU20" s="650"/>
      <c r="AV20" s="650"/>
      <c r="AW20" s="650"/>
      <c r="AX20" s="650"/>
      <c r="AY20" s="650"/>
      <c r="AZ20" s="650"/>
      <c r="BA20" s="650"/>
      <c r="BB20" s="650"/>
      <c r="BC20" s="650"/>
      <c r="BD20" s="650"/>
      <c r="BE20" s="650"/>
      <c r="BF20" s="650"/>
      <c r="BG20" s="650"/>
      <c r="BH20" s="650"/>
      <c r="BI20" s="650"/>
      <c r="BJ20" s="650"/>
      <c r="BK20" s="650"/>
      <c r="BL20" s="650"/>
      <c r="BM20" s="650"/>
      <c r="BN20" s="650"/>
      <c r="BO20" s="650"/>
      <c r="BP20" s="650"/>
      <c r="BQ20" s="650"/>
      <c r="BR20" s="650"/>
      <c r="BS20" s="650"/>
      <c r="BT20" s="650"/>
      <c r="BU20" s="650"/>
      <c r="BV20" s="650"/>
      <c r="BW20" s="650"/>
      <c r="BX20" s="650"/>
      <c r="BY20" s="650"/>
      <c r="BZ20" s="650"/>
      <c r="CA20" s="650"/>
      <c r="CB20" s="650"/>
      <c r="CC20" s="650"/>
      <c r="CD20" s="650"/>
      <c r="CE20" s="650"/>
      <c r="CF20" s="650"/>
      <c r="CG20" s="650"/>
      <c r="CH20" s="650"/>
      <c r="CI20" s="650"/>
      <c r="CJ20" s="650"/>
      <c r="CK20" s="650"/>
    </row>
    <row r="22" spans="1:89" ht="16.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row>
    <row r="23" spans="1:89" s="999" customFormat="1" hidden="1">
      <c r="Q23" s="1000"/>
      <c r="R23" s="1000"/>
      <c r="S23" s="1000"/>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c r="AQ23" s="1000"/>
      <c r="AR23" s="1000"/>
      <c r="AS23" s="1000"/>
      <c r="AT23" s="1000"/>
      <c r="AU23" s="1000"/>
      <c r="AV23" s="1000"/>
      <c r="AW23" s="1000"/>
      <c r="AX23" s="1000"/>
      <c r="AY23" s="1000"/>
      <c r="AZ23" s="1000"/>
      <c r="BA23" s="1000"/>
      <c r="BB23" s="1000"/>
      <c r="BC23" s="1000"/>
      <c r="BD23" s="1000"/>
      <c r="BE23" s="1000"/>
      <c r="BF23" s="1000"/>
      <c r="BG23" s="1000"/>
      <c r="BH23" s="1000"/>
      <c r="BI23" s="1000"/>
      <c r="BJ23" s="1000"/>
      <c r="BK23" s="1000"/>
      <c r="BL23" s="1000"/>
      <c r="BM23" s="1000"/>
      <c r="BN23" s="1000"/>
      <c r="BO23" s="1000"/>
      <c r="BP23" s="1000"/>
      <c r="BQ23" s="1000"/>
      <c r="BR23" s="1000"/>
      <c r="BS23" s="1000"/>
      <c r="BT23" s="1000"/>
      <c r="BU23" s="1000"/>
      <c r="BV23" s="1000"/>
      <c r="BW23" s="1000"/>
      <c r="BX23" s="1000"/>
      <c r="BY23" s="1000"/>
      <c r="BZ23" s="1000"/>
      <c r="CA23" s="1000"/>
      <c r="CB23" s="1000"/>
      <c r="CC23" s="1000"/>
      <c r="CD23" s="1000"/>
      <c r="CE23" s="1000"/>
      <c r="CF23" s="1000"/>
      <c r="CG23" s="1000"/>
      <c r="CH23" s="1000"/>
      <c r="CI23" s="1000"/>
      <c r="CJ23" s="1000"/>
      <c r="CK23" s="1000"/>
    </row>
    <row r="24" spans="1:89" s="999" customFormat="1" hidden="1">
      <c r="Q24" s="1000"/>
      <c r="R24" s="1000"/>
      <c r="S24" s="1000"/>
      <c r="T24" s="1000"/>
      <c r="U24" s="1000"/>
      <c r="V24" s="1000"/>
      <c r="W24" s="1000"/>
      <c r="X24" s="1000"/>
      <c r="Y24" s="1000"/>
      <c r="Z24" s="1000"/>
      <c r="AA24" s="1000"/>
      <c r="AB24" s="1000"/>
      <c r="AC24" s="1000"/>
      <c r="AD24" s="1000"/>
      <c r="AE24" s="1000"/>
      <c r="AF24" s="1000"/>
      <c r="AG24" s="1000"/>
      <c r="AH24" s="1000"/>
      <c r="AI24" s="1000"/>
      <c r="AJ24" s="1000"/>
      <c r="AK24" s="1000"/>
      <c r="AL24" s="1000"/>
      <c r="AM24" s="1000"/>
      <c r="AN24" s="1000"/>
      <c r="AO24" s="1000"/>
      <c r="AP24" s="1000"/>
      <c r="AQ24" s="1000"/>
      <c r="AR24" s="1000"/>
      <c r="AS24" s="1000"/>
      <c r="AT24" s="1000"/>
      <c r="AU24" s="1000"/>
      <c r="AV24" s="1000"/>
      <c r="AW24" s="1000"/>
      <c r="AX24" s="1000"/>
      <c r="AY24" s="1000"/>
      <c r="AZ24" s="1000"/>
      <c r="BA24" s="1000"/>
      <c r="BB24" s="1000"/>
      <c r="BC24" s="1000"/>
      <c r="BD24" s="1000"/>
      <c r="BE24" s="1000"/>
      <c r="BF24" s="1000"/>
      <c r="BG24" s="1000"/>
      <c r="BH24" s="1000"/>
      <c r="BI24" s="1000"/>
      <c r="BJ24" s="1000"/>
      <c r="BK24" s="1000"/>
      <c r="BL24" s="1000"/>
      <c r="BM24" s="1000"/>
      <c r="BN24" s="1000"/>
      <c r="BO24" s="1000"/>
      <c r="BP24" s="1000"/>
      <c r="BQ24" s="1000"/>
      <c r="BR24" s="1000"/>
      <c r="BS24" s="1000"/>
      <c r="BT24" s="1000"/>
      <c r="BU24" s="1000"/>
      <c r="BV24" s="1000"/>
      <c r="BW24" s="1000"/>
      <c r="BX24" s="1000"/>
      <c r="BY24" s="1000"/>
      <c r="BZ24" s="1000"/>
      <c r="CA24" s="1000"/>
      <c r="CB24" s="1000"/>
      <c r="CC24" s="1000"/>
      <c r="CD24" s="1000"/>
      <c r="CE24" s="1000"/>
      <c r="CF24" s="1000"/>
      <c r="CG24" s="1000"/>
      <c r="CH24" s="1000"/>
      <c r="CI24" s="1000"/>
      <c r="CJ24" s="1000"/>
      <c r="CK24" s="1000"/>
    </row>
    <row r="25" spans="1:89" s="999" customFormat="1" hidden="1">
      <c r="Q25" s="1000"/>
      <c r="R25" s="1000"/>
      <c r="S25" s="1000"/>
      <c r="T25" s="1000"/>
      <c r="U25" s="1000"/>
      <c r="V25" s="1000"/>
      <c r="W25" s="1000"/>
      <c r="X25" s="1000"/>
      <c r="Y25" s="1000"/>
      <c r="Z25" s="1000"/>
      <c r="AA25" s="1000"/>
      <c r="AB25" s="1000"/>
      <c r="AC25" s="1000"/>
      <c r="AD25" s="1000"/>
      <c r="AE25" s="1000"/>
      <c r="AF25" s="1000"/>
      <c r="AG25" s="1000"/>
      <c r="AH25" s="1000"/>
      <c r="AI25" s="1000"/>
      <c r="AJ25" s="1000"/>
      <c r="AK25" s="1000"/>
      <c r="AL25" s="1000"/>
      <c r="AM25" s="1000"/>
      <c r="AN25" s="1000"/>
      <c r="AO25" s="1000"/>
      <c r="AP25" s="1000"/>
      <c r="AQ25" s="1000"/>
      <c r="AR25" s="1000"/>
      <c r="AS25" s="1000"/>
      <c r="AT25" s="1000"/>
      <c r="AU25" s="1000"/>
      <c r="AV25" s="1000"/>
      <c r="AW25" s="1000"/>
      <c r="AX25" s="1000"/>
      <c r="AY25" s="1000"/>
      <c r="AZ25" s="1000"/>
      <c r="BA25" s="1000"/>
      <c r="BB25" s="1000"/>
      <c r="BC25" s="1000"/>
      <c r="BD25" s="1000"/>
      <c r="BE25" s="1000"/>
      <c r="BF25" s="1000"/>
      <c r="BG25" s="1000"/>
      <c r="BH25" s="1000"/>
      <c r="BI25" s="1000"/>
      <c r="BJ25" s="1000"/>
      <c r="BK25" s="1000"/>
      <c r="BL25" s="1000"/>
      <c r="BM25" s="1000"/>
      <c r="BN25" s="1000"/>
      <c r="BO25" s="1000"/>
      <c r="BP25" s="1000"/>
      <c r="BQ25" s="1000"/>
      <c r="BR25" s="1000"/>
      <c r="BS25" s="1000"/>
      <c r="BT25" s="1000"/>
      <c r="BU25" s="1000"/>
      <c r="BV25" s="1000"/>
      <c r="BW25" s="1000"/>
      <c r="BX25" s="1000"/>
      <c r="BY25" s="1000"/>
      <c r="BZ25" s="1000"/>
      <c r="CA25" s="1000"/>
      <c r="CB25" s="1000"/>
      <c r="CC25" s="1000"/>
      <c r="CD25" s="1000"/>
      <c r="CE25" s="1000"/>
      <c r="CF25" s="1000"/>
      <c r="CG25" s="1000"/>
      <c r="CH25" s="1000"/>
      <c r="CI25" s="1000"/>
      <c r="CJ25" s="1000"/>
      <c r="CK25" s="1000"/>
    </row>
    <row r="26" spans="1:89" s="999" customFormat="1" ht="16.5" hidden="1">
      <c r="A26" s="999" t="s">
        <v>1193</v>
      </c>
      <c r="Q26" s="1000"/>
      <c r="R26" s="1000"/>
      <c r="S26" s="1000"/>
      <c r="T26" s="1000"/>
      <c r="U26" s="1000"/>
      <c r="V26" s="1000"/>
      <c r="W26" s="1000"/>
      <c r="X26" s="1000"/>
      <c r="Y26" s="1000"/>
      <c r="Z26" s="1000"/>
      <c r="AA26" s="1000"/>
      <c r="AB26" s="1000"/>
      <c r="AC26" s="1000"/>
      <c r="AD26" s="1000"/>
      <c r="AE26" s="1000"/>
      <c r="AF26" s="1000"/>
      <c r="AG26" s="1000"/>
      <c r="AH26" s="1000"/>
      <c r="AI26" s="1000"/>
      <c r="AJ26" s="1000"/>
      <c r="AK26" s="1000"/>
      <c r="AL26" s="1000"/>
      <c r="AM26" s="1000"/>
      <c r="AN26" s="1000"/>
      <c r="AO26" s="1000"/>
      <c r="AP26" s="1000"/>
      <c r="AQ26" s="1000"/>
      <c r="AR26" s="1000"/>
      <c r="AS26" s="1000"/>
      <c r="AT26" s="1000"/>
      <c r="AU26" s="1000"/>
      <c r="AV26" s="1000"/>
      <c r="AW26" s="1000"/>
      <c r="AX26" s="1000"/>
      <c r="AY26" s="1000"/>
      <c r="AZ26" s="1000"/>
      <c r="BA26" s="1000"/>
      <c r="BB26" s="1000"/>
      <c r="BC26" s="1000"/>
      <c r="BD26" s="1000"/>
      <c r="BE26" s="1000"/>
      <c r="BF26" s="1000"/>
      <c r="BG26" s="1000"/>
      <c r="BH26" s="1000"/>
      <c r="BI26" s="1000"/>
      <c r="BJ26" s="1000"/>
      <c r="BK26" s="1000"/>
      <c r="BL26" s="1000"/>
      <c r="BM26" s="1000"/>
      <c r="BN26" s="1000"/>
      <c r="BO26" s="1000"/>
      <c r="BP26" s="1000"/>
      <c r="BQ26" s="1000"/>
      <c r="BR26" s="1000"/>
      <c r="BS26" s="1000"/>
      <c r="BT26" s="1000"/>
      <c r="BU26" s="1000"/>
      <c r="BV26" s="1000"/>
      <c r="BW26" s="1000"/>
      <c r="BX26" s="1000"/>
      <c r="BY26" s="1000"/>
      <c r="BZ26" s="1000"/>
      <c r="CA26" s="1000"/>
      <c r="CB26" s="1000"/>
      <c r="CC26" s="1000"/>
      <c r="CD26" s="1000"/>
      <c r="CE26" s="1000"/>
      <c r="CF26" s="1000"/>
      <c r="CG26" s="1000"/>
      <c r="CH26" s="1000"/>
      <c r="CI26" s="1000"/>
      <c r="CJ26" s="1000"/>
      <c r="CK26" s="1000"/>
    </row>
    <row r="27" spans="1:89" s="999" customFormat="1" ht="16.149999999999999" hidden="1" customHeight="1">
      <c r="A27" s="1001"/>
      <c r="B27" s="3179" t="s">
        <v>1194</v>
      </c>
      <c r="C27" s="3179" t="s">
        <v>1195</v>
      </c>
      <c r="D27" s="3179" t="s">
        <v>1195</v>
      </c>
      <c r="E27" s="3179" t="s">
        <v>1196</v>
      </c>
      <c r="F27" s="1002" t="s">
        <v>1197</v>
      </c>
      <c r="G27" s="1002" t="s">
        <v>1198</v>
      </c>
      <c r="H27" s="1002"/>
      <c r="I27" s="1002" t="s">
        <v>1199</v>
      </c>
      <c r="J27" s="3184" t="s">
        <v>1200</v>
      </c>
      <c r="K27" s="1002" t="s">
        <v>1201</v>
      </c>
      <c r="L27" s="3184" t="s">
        <v>1202</v>
      </c>
      <c r="M27" s="3184" t="s">
        <v>1203</v>
      </c>
      <c r="N27" s="3184" t="s">
        <v>1204</v>
      </c>
      <c r="O27" s="1003"/>
      <c r="P27" s="3173" t="s">
        <v>1205</v>
      </c>
      <c r="Q27" s="1000"/>
      <c r="R27" s="1000"/>
      <c r="S27" s="1000"/>
      <c r="T27" s="1000"/>
      <c r="U27" s="1000"/>
      <c r="V27" s="1000"/>
      <c r="W27" s="1000"/>
      <c r="X27" s="1000"/>
      <c r="Y27" s="1000"/>
      <c r="Z27" s="1000"/>
      <c r="AA27" s="1000"/>
      <c r="AB27" s="1000"/>
      <c r="AC27" s="1000"/>
      <c r="AD27" s="1000"/>
      <c r="AE27" s="1000"/>
      <c r="AF27" s="1000"/>
      <c r="AG27" s="1000"/>
      <c r="AH27" s="1000"/>
      <c r="AI27" s="1000"/>
      <c r="AJ27" s="1000"/>
      <c r="AK27" s="1000"/>
      <c r="AL27" s="1000"/>
      <c r="AM27" s="1000"/>
      <c r="AN27" s="1000"/>
      <c r="AO27" s="1000"/>
      <c r="AP27" s="1000"/>
      <c r="AQ27" s="1000"/>
      <c r="AR27" s="1000"/>
      <c r="AS27" s="1000"/>
      <c r="AT27" s="1000"/>
      <c r="AU27" s="1000"/>
      <c r="AV27" s="1000"/>
      <c r="AW27" s="1000"/>
      <c r="AX27" s="1000"/>
      <c r="AY27" s="1000"/>
      <c r="AZ27" s="1000"/>
      <c r="BA27" s="1000"/>
      <c r="BB27" s="1000"/>
      <c r="BC27" s="1000"/>
      <c r="BD27" s="1000"/>
      <c r="BE27" s="1000"/>
      <c r="BF27" s="1000"/>
      <c r="BG27" s="1000"/>
      <c r="BH27" s="1000"/>
      <c r="BI27" s="1000"/>
      <c r="BJ27" s="1000"/>
      <c r="BK27" s="1000"/>
      <c r="BL27" s="1000"/>
      <c r="BM27" s="1000"/>
      <c r="BN27" s="1000"/>
      <c r="BO27" s="1000"/>
      <c r="BP27" s="1000"/>
      <c r="BQ27" s="1000"/>
      <c r="BR27" s="1000"/>
      <c r="BS27" s="1000"/>
      <c r="BT27" s="1000"/>
      <c r="BU27" s="1000"/>
      <c r="BV27" s="1000"/>
      <c r="BW27" s="1000"/>
      <c r="BX27" s="1000"/>
      <c r="BY27" s="1000"/>
      <c r="BZ27" s="1000"/>
      <c r="CA27" s="1000"/>
      <c r="CB27" s="1000"/>
      <c r="CC27" s="1000"/>
      <c r="CD27" s="1000"/>
      <c r="CE27" s="1000"/>
      <c r="CF27" s="1000"/>
      <c r="CG27" s="1000"/>
      <c r="CH27" s="1000"/>
      <c r="CI27" s="1000"/>
      <c r="CJ27" s="1000"/>
      <c r="CK27" s="1000"/>
    </row>
    <row r="28" spans="1:89" s="999" customFormat="1" ht="16.149999999999999" hidden="1" customHeight="1">
      <c r="A28" s="1004" t="s">
        <v>1206</v>
      </c>
      <c r="B28" s="3180"/>
      <c r="C28" s="3182"/>
      <c r="D28" s="3182"/>
      <c r="E28" s="3182"/>
      <c r="F28" s="1005"/>
      <c r="G28" s="1005"/>
      <c r="H28" s="1005"/>
      <c r="I28" s="1005"/>
      <c r="J28" s="3185"/>
      <c r="K28" s="1005"/>
      <c r="L28" s="3185"/>
      <c r="M28" s="3185"/>
      <c r="N28" s="3185"/>
      <c r="O28" s="1006"/>
      <c r="P28" s="3174"/>
      <c r="Q28" s="1000"/>
      <c r="R28" s="1000"/>
      <c r="S28" s="1000"/>
      <c r="T28" s="1000"/>
      <c r="U28" s="1000"/>
      <c r="V28" s="1000"/>
      <c r="W28" s="1000"/>
      <c r="X28" s="1000"/>
      <c r="Y28" s="1000"/>
      <c r="Z28" s="1000"/>
      <c r="AA28" s="1000"/>
      <c r="AB28" s="1000"/>
      <c r="AC28" s="1000"/>
      <c r="AD28" s="1000"/>
      <c r="AE28" s="1000"/>
      <c r="AF28" s="1000"/>
      <c r="AG28" s="1000"/>
      <c r="AH28" s="1000"/>
      <c r="AI28" s="1000"/>
      <c r="AJ28" s="1000"/>
      <c r="AK28" s="1000"/>
      <c r="AL28" s="1000"/>
      <c r="AM28" s="1000"/>
      <c r="AN28" s="1000"/>
      <c r="AO28" s="1000"/>
      <c r="AP28" s="1000"/>
      <c r="AQ28" s="1000"/>
      <c r="AR28" s="1000"/>
      <c r="AS28" s="1000"/>
      <c r="AT28" s="1000"/>
      <c r="AU28" s="1000"/>
      <c r="AV28" s="1000"/>
      <c r="AW28" s="1000"/>
      <c r="AX28" s="1000"/>
      <c r="AY28" s="1000"/>
      <c r="AZ28" s="1000"/>
      <c r="BA28" s="1000"/>
      <c r="BB28" s="1000"/>
      <c r="BC28" s="1000"/>
      <c r="BD28" s="1000"/>
      <c r="BE28" s="1000"/>
      <c r="BF28" s="1000"/>
      <c r="BG28" s="1000"/>
      <c r="BH28" s="1000"/>
      <c r="BI28" s="1000"/>
      <c r="BJ28" s="1000"/>
      <c r="BK28" s="1000"/>
      <c r="BL28" s="1000"/>
      <c r="BM28" s="1000"/>
      <c r="BN28" s="1000"/>
      <c r="BO28" s="1000"/>
      <c r="BP28" s="1000"/>
      <c r="BQ28" s="1000"/>
      <c r="BR28" s="1000"/>
      <c r="BS28" s="1000"/>
      <c r="BT28" s="1000"/>
      <c r="BU28" s="1000"/>
      <c r="BV28" s="1000"/>
      <c r="BW28" s="1000"/>
      <c r="BX28" s="1000"/>
      <c r="BY28" s="1000"/>
      <c r="BZ28" s="1000"/>
      <c r="CA28" s="1000"/>
      <c r="CB28" s="1000"/>
      <c r="CC28" s="1000"/>
      <c r="CD28" s="1000"/>
      <c r="CE28" s="1000"/>
      <c r="CF28" s="1000"/>
      <c r="CG28" s="1000"/>
      <c r="CH28" s="1000"/>
      <c r="CI28" s="1000"/>
      <c r="CJ28" s="1000"/>
      <c r="CK28" s="1000"/>
    </row>
    <row r="29" spans="1:89" s="999" customFormat="1" ht="16.149999999999999" hidden="1" customHeight="1">
      <c r="A29" s="1004"/>
      <c r="B29" s="3180"/>
      <c r="C29" s="3182"/>
      <c r="D29" s="3182"/>
      <c r="E29" s="3182"/>
      <c r="F29" s="1005" t="s">
        <v>1207</v>
      </c>
      <c r="G29" s="1005" t="s">
        <v>1208</v>
      </c>
      <c r="H29" s="1005"/>
      <c r="I29" s="1005" t="s">
        <v>1209</v>
      </c>
      <c r="J29" s="3185"/>
      <c r="K29" s="1005" t="s">
        <v>1210</v>
      </c>
      <c r="L29" s="3185"/>
      <c r="M29" s="3185"/>
      <c r="N29" s="3185"/>
      <c r="O29" s="1006"/>
      <c r="P29" s="3174"/>
      <c r="Q29" s="1000"/>
      <c r="R29" s="1000"/>
      <c r="S29" s="1000"/>
      <c r="T29" s="1000"/>
      <c r="U29" s="1000"/>
      <c r="V29" s="1000"/>
      <c r="W29" s="1000"/>
      <c r="X29" s="1000"/>
      <c r="Y29" s="1000"/>
      <c r="Z29" s="1000"/>
      <c r="AA29" s="1000"/>
      <c r="AB29" s="1000"/>
      <c r="AC29" s="1000"/>
      <c r="AD29" s="1000"/>
      <c r="AE29" s="1000"/>
      <c r="AF29" s="1000"/>
      <c r="AG29" s="1000"/>
      <c r="AH29" s="1000"/>
      <c r="AI29" s="1000"/>
      <c r="AJ29" s="1000"/>
      <c r="AK29" s="1000"/>
      <c r="AL29" s="1000"/>
      <c r="AM29" s="1000"/>
      <c r="AN29" s="1000"/>
      <c r="AO29" s="1000"/>
      <c r="AP29" s="1000"/>
      <c r="AQ29" s="1000"/>
      <c r="AR29" s="1000"/>
      <c r="AS29" s="1000"/>
      <c r="AT29" s="1000"/>
      <c r="AU29" s="1000"/>
      <c r="AV29" s="1000"/>
      <c r="AW29" s="1000"/>
      <c r="AX29" s="1000"/>
      <c r="AY29" s="1000"/>
      <c r="AZ29" s="1000"/>
      <c r="BA29" s="1000"/>
      <c r="BB29" s="1000"/>
      <c r="BC29" s="1000"/>
      <c r="BD29" s="1000"/>
      <c r="BE29" s="1000"/>
      <c r="BF29" s="1000"/>
      <c r="BG29" s="1000"/>
      <c r="BH29" s="1000"/>
      <c r="BI29" s="1000"/>
      <c r="BJ29" s="1000"/>
      <c r="BK29" s="1000"/>
      <c r="BL29" s="1000"/>
      <c r="BM29" s="1000"/>
      <c r="BN29" s="1000"/>
      <c r="BO29" s="1000"/>
      <c r="BP29" s="1000"/>
      <c r="BQ29" s="1000"/>
      <c r="BR29" s="1000"/>
      <c r="BS29" s="1000"/>
      <c r="BT29" s="1000"/>
      <c r="BU29" s="1000"/>
      <c r="BV29" s="1000"/>
      <c r="BW29" s="1000"/>
      <c r="BX29" s="1000"/>
      <c r="BY29" s="1000"/>
      <c r="BZ29" s="1000"/>
      <c r="CA29" s="1000"/>
      <c r="CB29" s="1000"/>
      <c r="CC29" s="1000"/>
      <c r="CD29" s="1000"/>
      <c r="CE29" s="1000"/>
      <c r="CF29" s="1000"/>
      <c r="CG29" s="1000"/>
      <c r="CH29" s="1000"/>
      <c r="CI29" s="1000"/>
      <c r="CJ29" s="1000"/>
      <c r="CK29" s="1000"/>
    </row>
    <row r="30" spans="1:89" s="999" customFormat="1" ht="16.149999999999999" hidden="1" customHeight="1">
      <c r="A30" s="1001" t="s">
        <v>1211</v>
      </c>
      <c r="B30" s="3180"/>
      <c r="C30" s="3182"/>
      <c r="D30" s="3182"/>
      <c r="E30" s="3182"/>
      <c r="F30" s="1005"/>
      <c r="G30" s="1005"/>
      <c r="H30" s="1005"/>
      <c r="I30" s="1005"/>
      <c r="J30" s="3185"/>
      <c r="K30" s="1005"/>
      <c r="L30" s="3185"/>
      <c r="M30" s="3185"/>
      <c r="N30" s="3185"/>
      <c r="O30" s="1006"/>
      <c r="P30" s="3174"/>
      <c r="Q30" s="1000"/>
      <c r="R30" s="1000"/>
      <c r="S30" s="1000"/>
      <c r="T30" s="1000"/>
      <c r="U30" s="1000"/>
      <c r="V30" s="1000"/>
      <c r="W30" s="1000"/>
      <c r="X30" s="1000"/>
      <c r="Y30" s="1000"/>
      <c r="Z30" s="1000"/>
      <c r="AA30" s="1000"/>
      <c r="AB30" s="1000"/>
      <c r="AC30" s="1000"/>
      <c r="AD30" s="1000"/>
      <c r="AE30" s="1000"/>
      <c r="AF30" s="1000"/>
      <c r="AG30" s="1000"/>
      <c r="AH30" s="1000"/>
      <c r="AI30" s="1000"/>
      <c r="AJ30" s="1000"/>
      <c r="AK30" s="1000"/>
      <c r="AL30" s="1000"/>
      <c r="AM30" s="1000"/>
      <c r="AN30" s="1000"/>
      <c r="AO30" s="1000"/>
      <c r="AP30" s="1000"/>
      <c r="AQ30" s="1000"/>
      <c r="AR30" s="1000"/>
      <c r="AS30" s="1000"/>
      <c r="AT30" s="1000"/>
      <c r="AU30" s="1000"/>
      <c r="AV30" s="1000"/>
      <c r="AW30" s="1000"/>
      <c r="AX30" s="1000"/>
      <c r="AY30" s="1000"/>
      <c r="AZ30" s="1000"/>
      <c r="BA30" s="1000"/>
      <c r="BB30" s="1000"/>
      <c r="BC30" s="1000"/>
      <c r="BD30" s="1000"/>
      <c r="BE30" s="1000"/>
      <c r="BF30" s="1000"/>
      <c r="BG30" s="1000"/>
      <c r="BH30" s="1000"/>
      <c r="BI30" s="1000"/>
      <c r="BJ30" s="1000"/>
      <c r="BK30" s="1000"/>
      <c r="BL30" s="1000"/>
      <c r="BM30" s="1000"/>
      <c r="BN30" s="1000"/>
      <c r="BO30" s="1000"/>
      <c r="BP30" s="1000"/>
      <c r="BQ30" s="1000"/>
      <c r="BR30" s="1000"/>
      <c r="BS30" s="1000"/>
      <c r="BT30" s="1000"/>
      <c r="BU30" s="1000"/>
      <c r="BV30" s="1000"/>
      <c r="BW30" s="1000"/>
      <c r="BX30" s="1000"/>
      <c r="BY30" s="1000"/>
      <c r="BZ30" s="1000"/>
      <c r="CA30" s="1000"/>
      <c r="CB30" s="1000"/>
      <c r="CC30" s="1000"/>
      <c r="CD30" s="1000"/>
      <c r="CE30" s="1000"/>
      <c r="CF30" s="1000"/>
      <c r="CG30" s="1000"/>
      <c r="CH30" s="1000"/>
      <c r="CI30" s="1000"/>
      <c r="CJ30" s="1000"/>
      <c r="CK30" s="1000"/>
    </row>
    <row r="31" spans="1:89" s="999" customFormat="1" ht="16.149999999999999" hidden="1" customHeight="1">
      <c r="A31" s="1007"/>
      <c r="B31" s="3181"/>
      <c r="C31" s="3183"/>
      <c r="D31" s="3183"/>
      <c r="E31" s="3183"/>
      <c r="F31" s="1008" t="s">
        <v>1212</v>
      </c>
      <c r="G31" s="1008" t="s">
        <v>1212</v>
      </c>
      <c r="H31" s="1008"/>
      <c r="I31" s="1008" t="s">
        <v>1212</v>
      </c>
      <c r="J31" s="3186"/>
      <c r="K31" s="1008" t="s">
        <v>1213</v>
      </c>
      <c r="L31" s="3186"/>
      <c r="M31" s="3186"/>
      <c r="N31" s="3186"/>
      <c r="O31" s="1009"/>
      <c r="P31" s="3175" t="s">
        <v>1214</v>
      </c>
      <c r="Q31" s="1000"/>
      <c r="R31" s="1000"/>
      <c r="S31" s="1000"/>
      <c r="T31" s="1000"/>
      <c r="U31" s="1000"/>
      <c r="V31" s="1000"/>
      <c r="W31" s="1000"/>
      <c r="X31" s="1000"/>
      <c r="Y31" s="1000"/>
      <c r="Z31" s="1000"/>
      <c r="AA31" s="1000"/>
      <c r="AB31" s="1000"/>
      <c r="AC31" s="1000"/>
      <c r="AD31" s="1000"/>
      <c r="AE31" s="1000"/>
      <c r="AF31" s="1000"/>
      <c r="AG31" s="1000"/>
      <c r="AH31" s="1000"/>
      <c r="AI31" s="1000"/>
      <c r="AJ31" s="1000"/>
      <c r="AK31" s="1000"/>
      <c r="AL31" s="1000"/>
      <c r="AM31" s="1000"/>
      <c r="AN31" s="1000"/>
      <c r="AO31" s="1000"/>
      <c r="AP31" s="1000"/>
      <c r="AQ31" s="1000"/>
      <c r="AR31" s="1000"/>
      <c r="AS31" s="1000"/>
      <c r="AT31" s="1000"/>
      <c r="AU31" s="1000"/>
      <c r="AV31" s="1000"/>
      <c r="AW31" s="1000"/>
      <c r="AX31" s="1000"/>
      <c r="AY31" s="1000"/>
      <c r="AZ31" s="1000"/>
      <c r="BA31" s="1000"/>
      <c r="BB31" s="1000"/>
      <c r="BC31" s="1000"/>
      <c r="BD31" s="1000"/>
      <c r="BE31" s="1000"/>
      <c r="BF31" s="1000"/>
      <c r="BG31" s="1000"/>
      <c r="BH31" s="1000"/>
      <c r="BI31" s="1000"/>
      <c r="BJ31" s="1000"/>
      <c r="BK31" s="1000"/>
      <c r="BL31" s="1000"/>
      <c r="BM31" s="1000"/>
      <c r="BN31" s="1000"/>
      <c r="BO31" s="1000"/>
      <c r="BP31" s="1000"/>
      <c r="BQ31" s="1000"/>
      <c r="BR31" s="1000"/>
      <c r="BS31" s="1000"/>
      <c r="BT31" s="1000"/>
      <c r="BU31" s="1000"/>
      <c r="BV31" s="1000"/>
      <c r="BW31" s="1000"/>
      <c r="BX31" s="1000"/>
      <c r="BY31" s="1000"/>
      <c r="BZ31" s="1000"/>
      <c r="CA31" s="1000"/>
      <c r="CB31" s="1000"/>
      <c r="CC31" s="1000"/>
      <c r="CD31" s="1000"/>
      <c r="CE31" s="1000"/>
      <c r="CF31" s="1000"/>
      <c r="CG31" s="1000"/>
      <c r="CH31" s="1000"/>
      <c r="CI31" s="1000"/>
      <c r="CJ31" s="1000"/>
      <c r="CK31" s="1000"/>
    </row>
    <row r="32" spans="1:89" s="999" customFormat="1" hidden="1">
      <c r="A32" s="1010" t="s">
        <v>1215</v>
      </c>
      <c r="B32" s="1011">
        <v>2150</v>
      </c>
      <c r="C32" s="1012">
        <v>30</v>
      </c>
      <c r="D32" s="1012">
        <v>30</v>
      </c>
      <c r="E32" s="1012">
        <v>60</v>
      </c>
      <c r="F32" s="1012">
        <v>102</v>
      </c>
      <c r="G32" s="1012">
        <v>87</v>
      </c>
      <c r="H32" s="1012"/>
      <c r="I32" s="1012">
        <v>231</v>
      </c>
      <c r="J32" s="1012">
        <v>76</v>
      </c>
      <c r="K32" s="1013">
        <v>23</v>
      </c>
      <c r="L32" s="1005"/>
      <c r="M32" s="1005"/>
      <c r="N32" s="1014"/>
      <c r="O32" s="1000"/>
      <c r="P32" s="1015">
        <v>1541</v>
      </c>
      <c r="Q32" s="1000"/>
      <c r="R32" s="1000"/>
      <c r="S32" s="1000"/>
      <c r="T32" s="1000"/>
      <c r="U32" s="1000"/>
      <c r="V32" s="1000"/>
      <c r="W32" s="1000"/>
      <c r="X32" s="1000"/>
      <c r="Y32" s="1000"/>
      <c r="Z32" s="1000"/>
      <c r="AA32" s="1000"/>
      <c r="AB32" s="1000"/>
      <c r="AC32" s="1000"/>
      <c r="AD32" s="1000"/>
      <c r="AE32" s="1000"/>
      <c r="AF32" s="1000"/>
      <c r="AG32" s="1000"/>
      <c r="AH32" s="1000"/>
      <c r="AI32" s="1000"/>
      <c r="AJ32" s="1000"/>
      <c r="AK32" s="1000"/>
      <c r="AL32" s="1000"/>
      <c r="AM32" s="1000"/>
      <c r="AN32" s="1000"/>
      <c r="AO32" s="1000"/>
      <c r="AP32" s="1000"/>
      <c r="AQ32" s="1000"/>
      <c r="AR32" s="1000"/>
      <c r="AS32" s="1000"/>
      <c r="AT32" s="1000"/>
      <c r="AU32" s="1000"/>
      <c r="AV32" s="1000"/>
      <c r="AW32" s="1000"/>
      <c r="AX32" s="1000"/>
      <c r="AY32" s="1000"/>
      <c r="AZ32" s="1000"/>
      <c r="BA32" s="1000"/>
      <c r="BB32" s="1000"/>
      <c r="BC32" s="1000"/>
      <c r="BD32" s="1000"/>
      <c r="BE32" s="1000"/>
      <c r="BF32" s="1000"/>
      <c r="BG32" s="1000"/>
      <c r="BH32" s="1000"/>
      <c r="BI32" s="1000"/>
      <c r="BJ32" s="1000"/>
      <c r="BK32" s="1000"/>
      <c r="BL32" s="1000"/>
      <c r="BM32" s="1000"/>
      <c r="BN32" s="1000"/>
      <c r="BO32" s="1000"/>
      <c r="BP32" s="1000"/>
      <c r="BQ32" s="1000"/>
      <c r="BR32" s="1000"/>
      <c r="BS32" s="1000"/>
      <c r="BT32" s="1000"/>
      <c r="BU32" s="1000"/>
      <c r="BV32" s="1000"/>
      <c r="BW32" s="1000"/>
      <c r="BX32" s="1000"/>
      <c r="BY32" s="1000"/>
      <c r="BZ32" s="1000"/>
      <c r="CA32" s="1000"/>
      <c r="CB32" s="1000"/>
      <c r="CC32" s="1000"/>
      <c r="CD32" s="1000"/>
      <c r="CE32" s="1000"/>
      <c r="CF32" s="1000"/>
      <c r="CG32" s="1000"/>
      <c r="CH32" s="1000"/>
      <c r="CI32" s="1000"/>
      <c r="CJ32" s="1000"/>
      <c r="CK32" s="1000"/>
    </row>
    <row r="33" spans="1:89" s="999" customFormat="1" hidden="1">
      <c r="A33" s="1010" t="s">
        <v>1216</v>
      </c>
      <c r="B33" s="1011">
        <v>2387</v>
      </c>
      <c r="C33" s="1012">
        <v>41</v>
      </c>
      <c r="D33" s="1012">
        <v>41</v>
      </c>
      <c r="E33" s="1012">
        <v>77</v>
      </c>
      <c r="F33" s="1012">
        <v>103</v>
      </c>
      <c r="G33" s="1012">
        <v>91</v>
      </c>
      <c r="H33" s="1012"/>
      <c r="I33" s="1012">
        <v>262</v>
      </c>
      <c r="J33" s="1012">
        <v>80</v>
      </c>
      <c r="K33" s="1013">
        <v>12</v>
      </c>
      <c r="L33" s="1005"/>
      <c r="M33" s="1005"/>
      <c r="N33" s="1014"/>
      <c r="O33" s="1000"/>
      <c r="P33" s="1015">
        <v>1033</v>
      </c>
      <c r="Q33" s="1000"/>
      <c r="R33" s="1000"/>
      <c r="S33" s="1000"/>
      <c r="T33" s="1000"/>
      <c r="U33" s="1000"/>
      <c r="V33" s="1000"/>
      <c r="W33" s="1000"/>
      <c r="X33" s="1000"/>
      <c r="Y33" s="1000"/>
      <c r="Z33" s="1000"/>
      <c r="AA33" s="1000"/>
      <c r="AB33" s="1000"/>
      <c r="AC33" s="1000"/>
      <c r="AD33" s="1000"/>
      <c r="AE33" s="1000"/>
      <c r="AF33" s="1000"/>
      <c r="AG33" s="1000"/>
      <c r="AH33" s="1000"/>
      <c r="AI33" s="1000"/>
      <c r="AJ33" s="1000"/>
      <c r="AK33" s="1000"/>
      <c r="AL33" s="1000"/>
      <c r="AM33" s="1000"/>
      <c r="AN33" s="1000"/>
      <c r="AO33" s="1000"/>
      <c r="AP33" s="1000"/>
      <c r="AQ33" s="1000"/>
      <c r="AR33" s="1000"/>
      <c r="AS33" s="1000"/>
      <c r="AT33" s="1000"/>
      <c r="AU33" s="1000"/>
      <c r="AV33" s="1000"/>
      <c r="AW33" s="1000"/>
      <c r="AX33" s="1000"/>
      <c r="AY33" s="1000"/>
      <c r="AZ33" s="1000"/>
      <c r="BA33" s="1000"/>
      <c r="BB33" s="1000"/>
      <c r="BC33" s="1000"/>
      <c r="BD33" s="1000"/>
      <c r="BE33" s="1000"/>
      <c r="BF33" s="1000"/>
      <c r="BG33" s="1000"/>
      <c r="BH33" s="1000"/>
      <c r="BI33" s="1000"/>
      <c r="BJ33" s="1000"/>
      <c r="BK33" s="1000"/>
      <c r="BL33" s="1000"/>
      <c r="BM33" s="1000"/>
      <c r="BN33" s="1000"/>
      <c r="BO33" s="1000"/>
      <c r="BP33" s="1000"/>
      <c r="BQ33" s="1000"/>
      <c r="BR33" s="1000"/>
      <c r="BS33" s="1000"/>
      <c r="BT33" s="1000"/>
      <c r="BU33" s="1000"/>
      <c r="BV33" s="1000"/>
      <c r="BW33" s="1000"/>
      <c r="BX33" s="1000"/>
      <c r="BY33" s="1000"/>
      <c r="BZ33" s="1000"/>
      <c r="CA33" s="1000"/>
      <c r="CB33" s="1000"/>
      <c r="CC33" s="1000"/>
      <c r="CD33" s="1000"/>
      <c r="CE33" s="1000"/>
      <c r="CF33" s="1000"/>
      <c r="CG33" s="1000"/>
      <c r="CH33" s="1000"/>
      <c r="CI33" s="1000"/>
      <c r="CJ33" s="1000"/>
      <c r="CK33" s="1000"/>
    </row>
    <row r="34" spans="1:89" s="999" customFormat="1" hidden="1">
      <c r="A34" s="1010" t="s">
        <v>1217</v>
      </c>
      <c r="B34" s="1011">
        <v>2591</v>
      </c>
      <c r="C34" s="1012">
        <v>8</v>
      </c>
      <c r="D34" s="1012">
        <v>8</v>
      </c>
      <c r="E34" s="1012">
        <v>55</v>
      </c>
      <c r="F34" s="1012">
        <v>124</v>
      </c>
      <c r="G34" s="1012">
        <v>129</v>
      </c>
      <c r="H34" s="1012"/>
      <c r="I34" s="1012">
        <v>347</v>
      </c>
      <c r="J34" s="1012">
        <v>87</v>
      </c>
      <c r="K34" s="1012">
        <v>22</v>
      </c>
      <c r="L34" s="1012">
        <v>57</v>
      </c>
      <c r="M34" s="1012">
        <v>173</v>
      </c>
      <c r="N34" s="1012">
        <v>32</v>
      </c>
      <c r="O34" s="1016"/>
      <c r="P34" s="1015">
        <v>1183</v>
      </c>
      <c r="Q34" s="1000"/>
      <c r="R34" s="1000"/>
      <c r="S34" s="1000"/>
      <c r="T34" s="1000"/>
      <c r="U34" s="1000"/>
      <c r="V34" s="1000"/>
      <c r="W34" s="1000"/>
      <c r="X34" s="1000"/>
      <c r="Y34" s="1000"/>
      <c r="Z34" s="1000"/>
      <c r="AA34" s="1000"/>
      <c r="AB34" s="1000"/>
      <c r="AC34" s="1000"/>
      <c r="AD34" s="1000"/>
      <c r="AE34" s="1000"/>
      <c r="AF34" s="1000"/>
      <c r="AG34" s="1000"/>
      <c r="AH34" s="1000"/>
      <c r="AI34" s="1000"/>
      <c r="AJ34" s="1000"/>
      <c r="AK34" s="1000"/>
      <c r="AL34" s="1000"/>
      <c r="AM34" s="1000"/>
      <c r="AN34" s="1000"/>
      <c r="AO34" s="1000"/>
      <c r="AP34" s="1000"/>
      <c r="AQ34" s="1000"/>
      <c r="AR34" s="1000"/>
      <c r="AS34" s="1000"/>
      <c r="AT34" s="1000"/>
      <c r="AU34" s="1000"/>
      <c r="AV34" s="1000"/>
      <c r="AW34" s="1000"/>
      <c r="AX34" s="1000"/>
      <c r="AY34" s="1000"/>
      <c r="AZ34" s="1000"/>
      <c r="BA34" s="1000"/>
      <c r="BB34" s="1000"/>
      <c r="BC34" s="1000"/>
      <c r="BD34" s="1000"/>
      <c r="BE34" s="1000"/>
      <c r="BF34" s="1000"/>
      <c r="BG34" s="1000"/>
      <c r="BH34" s="1000"/>
      <c r="BI34" s="1000"/>
      <c r="BJ34" s="1000"/>
      <c r="BK34" s="1000"/>
      <c r="BL34" s="1000"/>
      <c r="BM34" s="1000"/>
      <c r="BN34" s="1000"/>
      <c r="BO34" s="1000"/>
      <c r="BP34" s="1000"/>
      <c r="BQ34" s="1000"/>
      <c r="BR34" s="1000"/>
      <c r="BS34" s="1000"/>
      <c r="BT34" s="1000"/>
      <c r="BU34" s="1000"/>
      <c r="BV34" s="1000"/>
      <c r="BW34" s="1000"/>
      <c r="BX34" s="1000"/>
      <c r="BY34" s="1000"/>
      <c r="BZ34" s="1000"/>
      <c r="CA34" s="1000"/>
      <c r="CB34" s="1000"/>
      <c r="CC34" s="1000"/>
      <c r="CD34" s="1000"/>
      <c r="CE34" s="1000"/>
      <c r="CF34" s="1000"/>
      <c r="CG34" s="1000"/>
      <c r="CH34" s="1000"/>
      <c r="CI34" s="1000"/>
      <c r="CJ34" s="1000"/>
      <c r="CK34" s="1000"/>
    </row>
    <row r="35" spans="1:89" s="999" customFormat="1" hidden="1">
      <c r="A35" s="1010" t="s">
        <v>1218</v>
      </c>
      <c r="B35" s="1011">
        <v>2376</v>
      </c>
      <c r="C35" s="1012">
        <v>3</v>
      </c>
      <c r="D35" s="1012">
        <v>3</v>
      </c>
      <c r="E35" s="1012">
        <v>50</v>
      </c>
      <c r="F35" s="1012">
        <v>121</v>
      </c>
      <c r="G35" s="1012">
        <v>121</v>
      </c>
      <c r="H35" s="1012"/>
      <c r="I35" s="1012">
        <v>342</v>
      </c>
      <c r="J35" s="1012">
        <v>57</v>
      </c>
      <c r="K35" s="1012">
        <v>20</v>
      </c>
      <c r="L35" s="1012">
        <v>48</v>
      </c>
      <c r="M35" s="1012">
        <v>107</v>
      </c>
      <c r="N35" s="1012">
        <v>29</v>
      </c>
      <c r="O35" s="1016"/>
      <c r="P35" s="1015">
        <v>1187</v>
      </c>
      <c r="Q35" s="1000"/>
      <c r="R35" s="1000"/>
      <c r="S35" s="1000"/>
      <c r="T35" s="1000"/>
      <c r="U35" s="1000"/>
      <c r="V35" s="1000"/>
      <c r="W35" s="1000"/>
      <c r="X35" s="1000"/>
      <c r="Y35" s="1000"/>
      <c r="Z35" s="1000"/>
      <c r="AA35" s="1000"/>
      <c r="AB35" s="1000"/>
      <c r="AC35" s="1000"/>
      <c r="AD35" s="1000"/>
      <c r="AE35" s="1000"/>
      <c r="AF35" s="1000"/>
      <c r="AG35" s="1000"/>
      <c r="AH35" s="1000"/>
      <c r="AI35" s="1000"/>
      <c r="AJ35" s="1000"/>
      <c r="AK35" s="1000"/>
      <c r="AL35" s="1000"/>
      <c r="AM35" s="1000"/>
      <c r="AN35" s="1000"/>
      <c r="AO35" s="1000"/>
      <c r="AP35" s="1000"/>
      <c r="AQ35" s="1000"/>
      <c r="AR35" s="1000"/>
      <c r="AS35" s="1000"/>
      <c r="AT35" s="1000"/>
      <c r="AU35" s="1000"/>
      <c r="AV35" s="1000"/>
      <c r="AW35" s="1000"/>
      <c r="AX35" s="1000"/>
      <c r="AY35" s="1000"/>
      <c r="AZ35" s="1000"/>
      <c r="BA35" s="1000"/>
      <c r="BB35" s="1000"/>
      <c r="BC35" s="1000"/>
      <c r="BD35" s="1000"/>
      <c r="BE35" s="1000"/>
      <c r="BF35" s="1000"/>
      <c r="BG35" s="1000"/>
      <c r="BH35" s="1000"/>
      <c r="BI35" s="1000"/>
      <c r="BJ35" s="1000"/>
      <c r="BK35" s="1000"/>
      <c r="BL35" s="1000"/>
      <c r="BM35" s="1000"/>
      <c r="BN35" s="1000"/>
      <c r="BO35" s="1000"/>
      <c r="BP35" s="1000"/>
      <c r="BQ35" s="1000"/>
      <c r="BR35" s="1000"/>
      <c r="BS35" s="1000"/>
      <c r="BT35" s="1000"/>
      <c r="BU35" s="1000"/>
      <c r="BV35" s="1000"/>
      <c r="BW35" s="1000"/>
      <c r="BX35" s="1000"/>
      <c r="BY35" s="1000"/>
      <c r="BZ35" s="1000"/>
      <c r="CA35" s="1000"/>
      <c r="CB35" s="1000"/>
      <c r="CC35" s="1000"/>
      <c r="CD35" s="1000"/>
      <c r="CE35" s="1000"/>
      <c r="CF35" s="1000"/>
      <c r="CG35" s="1000"/>
      <c r="CH35" s="1000"/>
      <c r="CI35" s="1000"/>
      <c r="CJ35" s="1000"/>
      <c r="CK35" s="1000"/>
    </row>
    <row r="36" spans="1:89" s="999" customFormat="1" hidden="1">
      <c r="A36" s="1010" t="s">
        <v>1219</v>
      </c>
      <c r="B36" s="1011">
        <v>2573</v>
      </c>
      <c r="C36" s="1012">
        <v>28</v>
      </c>
      <c r="D36" s="1012">
        <v>28</v>
      </c>
      <c r="E36" s="1012">
        <v>83</v>
      </c>
      <c r="F36" s="1012">
        <v>122</v>
      </c>
      <c r="G36" s="1012">
        <v>129</v>
      </c>
      <c r="H36" s="1012"/>
      <c r="I36" s="1012">
        <v>232</v>
      </c>
      <c r="J36" s="1012">
        <v>63</v>
      </c>
      <c r="K36" s="1012">
        <v>9</v>
      </c>
      <c r="L36" s="1012">
        <v>57</v>
      </c>
      <c r="M36" s="1012">
        <v>371</v>
      </c>
      <c r="N36" s="1012">
        <v>29</v>
      </c>
      <c r="O36" s="1016"/>
      <c r="P36" s="1017">
        <v>1450</v>
      </c>
      <c r="Q36" s="1000"/>
      <c r="R36" s="1000"/>
      <c r="S36" s="1000"/>
      <c r="T36" s="1000"/>
      <c r="U36" s="1000"/>
      <c r="V36" s="1000"/>
      <c r="W36" s="1000"/>
      <c r="X36" s="1000"/>
      <c r="Y36" s="1000"/>
      <c r="Z36" s="1000"/>
      <c r="AA36" s="1000"/>
      <c r="AB36" s="1000"/>
      <c r="AC36" s="1000"/>
      <c r="AD36" s="1000"/>
      <c r="AE36" s="1000"/>
      <c r="AF36" s="1000"/>
      <c r="AG36" s="1000"/>
      <c r="AH36" s="1000"/>
      <c r="AI36" s="1000"/>
      <c r="AJ36" s="1000"/>
      <c r="AK36" s="1000"/>
      <c r="AL36" s="1000"/>
      <c r="AM36" s="1000"/>
      <c r="AN36" s="1000"/>
      <c r="AO36" s="1000"/>
      <c r="AP36" s="1000"/>
      <c r="AQ36" s="1000"/>
      <c r="AR36" s="1000"/>
      <c r="AS36" s="1000"/>
      <c r="AT36" s="1000"/>
      <c r="AU36" s="1000"/>
      <c r="AV36" s="1000"/>
      <c r="AW36" s="1000"/>
      <c r="AX36" s="1000"/>
      <c r="AY36" s="1000"/>
      <c r="AZ36" s="1000"/>
      <c r="BA36" s="1000"/>
      <c r="BB36" s="1000"/>
      <c r="BC36" s="1000"/>
      <c r="BD36" s="1000"/>
      <c r="BE36" s="1000"/>
      <c r="BF36" s="1000"/>
      <c r="BG36" s="1000"/>
      <c r="BH36" s="1000"/>
      <c r="BI36" s="1000"/>
      <c r="BJ36" s="1000"/>
      <c r="BK36" s="1000"/>
      <c r="BL36" s="1000"/>
      <c r="BM36" s="1000"/>
      <c r="BN36" s="1000"/>
      <c r="BO36" s="1000"/>
      <c r="BP36" s="1000"/>
      <c r="BQ36" s="1000"/>
      <c r="BR36" s="1000"/>
      <c r="BS36" s="1000"/>
      <c r="BT36" s="1000"/>
      <c r="BU36" s="1000"/>
      <c r="BV36" s="1000"/>
      <c r="BW36" s="1000"/>
      <c r="BX36" s="1000"/>
      <c r="BY36" s="1000"/>
      <c r="BZ36" s="1000"/>
      <c r="CA36" s="1000"/>
      <c r="CB36" s="1000"/>
      <c r="CC36" s="1000"/>
      <c r="CD36" s="1000"/>
      <c r="CE36" s="1000"/>
      <c r="CF36" s="1000"/>
      <c r="CG36" s="1000"/>
      <c r="CH36" s="1000"/>
      <c r="CI36" s="1000"/>
      <c r="CJ36" s="1000"/>
      <c r="CK36" s="1000"/>
    </row>
    <row r="37" spans="1:89" s="999" customFormat="1" hidden="1">
      <c r="A37" s="1010" t="s">
        <v>1220</v>
      </c>
      <c r="B37" s="1018">
        <v>2700</v>
      </c>
      <c r="C37" s="1013">
        <v>13</v>
      </c>
      <c r="D37" s="1013">
        <v>13</v>
      </c>
      <c r="E37" s="1013">
        <v>69</v>
      </c>
      <c r="F37" s="1013">
        <v>127</v>
      </c>
      <c r="G37" s="1013">
        <v>119</v>
      </c>
      <c r="H37" s="1013"/>
      <c r="I37" s="1013">
        <v>225</v>
      </c>
      <c r="J37" s="1013">
        <v>86</v>
      </c>
      <c r="K37" s="1013">
        <v>14</v>
      </c>
      <c r="L37" s="1013">
        <v>66</v>
      </c>
      <c r="M37" s="1013">
        <v>310</v>
      </c>
      <c r="N37" s="1013">
        <v>125</v>
      </c>
      <c r="O37" s="1019"/>
      <c r="P37" s="1017">
        <v>1546</v>
      </c>
      <c r="Q37" s="1000"/>
      <c r="R37" s="1000"/>
      <c r="S37" s="1000"/>
      <c r="T37" s="1000"/>
      <c r="U37" s="1000"/>
      <c r="V37" s="1000"/>
      <c r="W37" s="1000"/>
      <c r="X37" s="1000"/>
      <c r="Y37" s="1000"/>
      <c r="Z37" s="1000"/>
      <c r="AA37" s="1000"/>
      <c r="AB37" s="1000"/>
      <c r="AC37" s="1000"/>
      <c r="AD37" s="1000"/>
      <c r="AE37" s="1000"/>
      <c r="AF37" s="1000"/>
      <c r="AG37" s="1000"/>
      <c r="AH37" s="1000"/>
      <c r="AI37" s="1000"/>
      <c r="AJ37" s="1000"/>
      <c r="AK37" s="1000"/>
      <c r="AL37" s="1000"/>
      <c r="AM37" s="1000"/>
      <c r="AN37" s="1000"/>
      <c r="AO37" s="1000"/>
      <c r="AP37" s="1000"/>
      <c r="AQ37" s="1000"/>
      <c r="AR37" s="1000"/>
      <c r="AS37" s="1000"/>
      <c r="AT37" s="1000"/>
      <c r="AU37" s="1000"/>
      <c r="AV37" s="1000"/>
      <c r="AW37" s="1000"/>
      <c r="AX37" s="1000"/>
      <c r="AY37" s="1000"/>
      <c r="AZ37" s="1000"/>
      <c r="BA37" s="1000"/>
      <c r="BB37" s="1000"/>
      <c r="BC37" s="1000"/>
      <c r="BD37" s="1000"/>
      <c r="BE37" s="1000"/>
      <c r="BF37" s="1000"/>
      <c r="BG37" s="1000"/>
      <c r="BH37" s="1000"/>
      <c r="BI37" s="1000"/>
      <c r="BJ37" s="1000"/>
      <c r="BK37" s="1000"/>
      <c r="BL37" s="1000"/>
      <c r="BM37" s="1000"/>
      <c r="BN37" s="1000"/>
      <c r="BO37" s="1000"/>
      <c r="BP37" s="1000"/>
      <c r="BQ37" s="1000"/>
      <c r="BR37" s="1000"/>
      <c r="BS37" s="1000"/>
      <c r="BT37" s="1000"/>
      <c r="BU37" s="1000"/>
      <c r="BV37" s="1000"/>
      <c r="BW37" s="1000"/>
      <c r="BX37" s="1000"/>
      <c r="BY37" s="1000"/>
      <c r="BZ37" s="1000"/>
      <c r="CA37" s="1000"/>
      <c r="CB37" s="1000"/>
      <c r="CC37" s="1000"/>
      <c r="CD37" s="1000"/>
      <c r="CE37" s="1000"/>
      <c r="CF37" s="1000"/>
      <c r="CG37" s="1000"/>
      <c r="CH37" s="1000"/>
      <c r="CI37" s="1000"/>
      <c r="CJ37" s="1000"/>
      <c r="CK37" s="1000"/>
    </row>
    <row r="38" spans="1:89" s="999" customFormat="1" ht="16.5" hidden="1">
      <c r="A38" s="1020" t="s">
        <v>1221</v>
      </c>
      <c r="B38" s="1018">
        <v>3047</v>
      </c>
      <c r="C38" s="1013">
        <v>9</v>
      </c>
      <c r="D38" s="1013">
        <v>9</v>
      </c>
      <c r="E38" s="1013">
        <v>46</v>
      </c>
      <c r="F38" s="1013">
        <v>212</v>
      </c>
      <c r="G38" s="1013">
        <v>153</v>
      </c>
      <c r="H38" s="1013"/>
      <c r="I38" s="1013">
        <v>243</v>
      </c>
      <c r="J38" s="1013">
        <v>120</v>
      </c>
      <c r="K38" s="1013">
        <v>19</v>
      </c>
      <c r="L38" s="1013">
        <v>77</v>
      </c>
      <c r="M38" s="1013">
        <v>211</v>
      </c>
      <c r="N38" s="1013">
        <v>390</v>
      </c>
      <c r="O38" s="1019"/>
      <c r="P38" s="1017">
        <v>1567</v>
      </c>
      <c r="Q38" s="1000"/>
      <c r="R38" s="1000"/>
      <c r="S38" s="1000"/>
      <c r="T38" s="1000"/>
      <c r="U38" s="1000"/>
      <c r="V38" s="1000"/>
      <c r="W38" s="1000"/>
      <c r="X38" s="1000"/>
      <c r="Y38" s="1000"/>
      <c r="Z38" s="1000"/>
      <c r="AA38" s="1000"/>
      <c r="AB38" s="1000"/>
      <c r="AC38" s="1000"/>
      <c r="AD38" s="1000"/>
      <c r="AE38" s="1000"/>
      <c r="AF38" s="1000"/>
      <c r="AG38" s="1000"/>
      <c r="AH38" s="1000"/>
      <c r="AI38" s="1000"/>
      <c r="AJ38" s="1000"/>
      <c r="AK38" s="1000"/>
      <c r="AL38" s="1000"/>
      <c r="AM38" s="1000"/>
      <c r="AN38" s="1000"/>
      <c r="AO38" s="1000"/>
      <c r="AP38" s="1000"/>
      <c r="AQ38" s="1000"/>
      <c r="AR38" s="1000"/>
      <c r="AS38" s="1000"/>
      <c r="AT38" s="1000"/>
      <c r="AU38" s="1000"/>
      <c r="AV38" s="1000"/>
      <c r="AW38" s="1000"/>
      <c r="AX38" s="1000"/>
      <c r="AY38" s="1000"/>
      <c r="AZ38" s="1000"/>
      <c r="BA38" s="1000"/>
      <c r="BB38" s="1000"/>
      <c r="BC38" s="1000"/>
      <c r="BD38" s="1000"/>
      <c r="BE38" s="1000"/>
      <c r="BF38" s="1000"/>
      <c r="BG38" s="1000"/>
      <c r="BH38" s="1000"/>
      <c r="BI38" s="1000"/>
      <c r="BJ38" s="1000"/>
      <c r="BK38" s="1000"/>
      <c r="BL38" s="1000"/>
      <c r="BM38" s="1000"/>
      <c r="BN38" s="1000"/>
      <c r="BO38" s="1000"/>
      <c r="BP38" s="1000"/>
      <c r="BQ38" s="1000"/>
      <c r="BR38" s="1000"/>
      <c r="BS38" s="1000"/>
      <c r="BT38" s="1000"/>
      <c r="BU38" s="1000"/>
      <c r="BV38" s="1000"/>
      <c r="BW38" s="1000"/>
      <c r="BX38" s="1000"/>
      <c r="BY38" s="1000"/>
      <c r="BZ38" s="1000"/>
      <c r="CA38" s="1000"/>
      <c r="CB38" s="1000"/>
      <c r="CC38" s="1000"/>
      <c r="CD38" s="1000"/>
      <c r="CE38" s="1000"/>
      <c r="CF38" s="1000"/>
      <c r="CG38" s="1000"/>
      <c r="CH38" s="1000"/>
      <c r="CI38" s="1000"/>
      <c r="CJ38" s="1000"/>
      <c r="CK38" s="1000"/>
    </row>
    <row r="39" spans="1:89" s="999" customFormat="1" ht="16.5" hidden="1">
      <c r="A39" s="1020" t="s">
        <v>1222</v>
      </c>
      <c r="B39" s="1018">
        <v>2623</v>
      </c>
      <c r="C39" s="1013">
        <v>11</v>
      </c>
      <c r="D39" s="1013">
        <v>11</v>
      </c>
      <c r="E39" s="1013">
        <v>40</v>
      </c>
      <c r="F39" s="1013">
        <v>182</v>
      </c>
      <c r="G39" s="1013">
        <v>160</v>
      </c>
      <c r="H39" s="1013"/>
      <c r="I39" s="1013">
        <v>186</v>
      </c>
      <c r="J39" s="1013">
        <v>85</v>
      </c>
      <c r="K39" s="1013">
        <v>11</v>
      </c>
      <c r="L39" s="1021">
        <v>102</v>
      </c>
      <c r="M39" s="1021">
        <v>86</v>
      </c>
      <c r="N39" s="1021">
        <v>95</v>
      </c>
      <c r="O39" s="1022"/>
      <c r="P39" s="1023">
        <v>1665</v>
      </c>
      <c r="Q39" s="1000"/>
      <c r="R39" s="1000"/>
      <c r="S39" s="1000"/>
      <c r="T39" s="1000"/>
      <c r="U39" s="1000"/>
      <c r="V39" s="1000"/>
      <c r="W39" s="1000"/>
      <c r="X39" s="1000"/>
      <c r="Y39" s="1000"/>
      <c r="Z39" s="1000"/>
      <c r="AA39" s="1000"/>
      <c r="AB39" s="1000"/>
      <c r="AC39" s="1000"/>
      <c r="AD39" s="1000"/>
      <c r="AE39" s="1000"/>
      <c r="AF39" s="1000"/>
      <c r="AG39" s="1000"/>
      <c r="AH39" s="1000"/>
      <c r="AI39" s="1000"/>
      <c r="AJ39" s="1000"/>
      <c r="AK39" s="1000"/>
      <c r="AL39" s="1000"/>
      <c r="AM39" s="1000"/>
      <c r="AN39" s="1000"/>
      <c r="AO39" s="1000"/>
      <c r="AP39" s="1000"/>
      <c r="AQ39" s="1000"/>
      <c r="AR39" s="1000"/>
      <c r="AS39" s="1000"/>
      <c r="AT39" s="1000"/>
      <c r="AU39" s="1000"/>
      <c r="AV39" s="1000"/>
      <c r="AW39" s="1000"/>
      <c r="AX39" s="1000"/>
      <c r="AY39" s="1000"/>
      <c r="AZ39" s="1000"/>
      <c r="BA39" s="1000"/>
      <c r="BB39" s="1000"/>
      <c r="BC39" s="1000"/>
      <c r="BD39" s="1000"/>
      <c r="BE39" s="1000"/>
      <c r="BF39" s="1000"/>
      <c r="BG39" s="1000"/>
      <c r="BH39" s="1000"/>
      <c r="BI39" s="1000"/>
      <c r="BJ39" s="1000"/>
      <c r="BK39" s="1000"/>
      <c r="BL39" s="1000"/>
      <c r="BM39" s="1000"/>
      <c r="BN39" s="1000"/>
      <c r="BO39" s="1000"/>
      <c r="BP39" s="1000"/>
      <c r="BQ39" s="1000"/>
      <c r="BR39" s="1000"/>
      <c r="BS39" s="1000"/>
      <c r="BT39" s="1000"/>
      <c r="BU39" s="1000"/>
      <c r="BV39" s="1000"/>
      <c r="BW39" s="1000"/>
      <c r="BX39" s="1000"/>
      <c r="BY39" s="1000"/>
      <c r="BZ39" s="1000"/>
      <c r="CA39" s="1000"/>
      <c r="CB39" s="1000"/>
      <c r="CC39" s="1000"/>
      <c r="CD39" s="1000"/>
      <c r="CE39" s="1000"/>
      <c r="CF39" s="1000"/>
      <c r="CG39" s="1000"/>
      <c r="CH39" s="1000"/>
      <c r="CI39" s="1000"/>
      <c r="CJ39" s="1000"/>
      <c r="CK39" s="1000"/>
    </row>
    <row r="40" spans="1:89" s="999" customFormat="1" ht="16.5" hidden="1">
      <c r="A40" s="1020" t="s">
        <v>1223</v>
      </c>
      <c r="B40" s="1018">
        <v>2387</v>
      </c>
      <c r="C40" s="1013">
        <v>16</v>
      </c>
      <c r="D40" s="1013">
        <v>16</v>
      </c>
      <c r="E40" s="1013">
        <v>44</v>
      </c>
      <c r="F40" s="1013">
        <v>139</v>
      </c>
      <c r="G40" s="1013">
        <v>146</v>
      </c>
      <c r="H40" s="1013"/>
      <c r="I40" s="1013">
        <v>146</v>
      </c>
      <c r="J40" s="1013">
        <v>107</v>
      </c>
      <c r="K40" s="1013">
        <v>8</v>
      </c>
      <c r="L40" s="1021">
        <v>93</v>
      </c>
      <c r="M40" s="1021">
        <v>227</v>
      </c>
      <c r="N40" s="1021">
        <v>93</v>
      </c>
      <c r="O40" s="1022"/>
      <c r="P40" s="1023">
        <v>1368</v>
      </c>
      <c r="Q40" s="1000"/>
      <c r="R40" s="1000"/>
      <c r="S40" s="1000"/>
      <c r="T40" s="1000"/>
      <c r="U40" s="1000"/>
      <c r="V40" s="1000"/>
      <c r="W40" s="1000"/>
      <c r="X40" s="1000"/>
      <c r="Y40" s="1000"/>
      <c r="Z40" s="1000"/>
      <c r="AA40" s="1000"/>
      <c r="AB40" s="1000"/>
      <c r="AC40" s="1000"/>
      <c r="AD40" s="1000"/>
      <c r="AE40" s="1000"/>
      <c r="AF40" s="1000"/>
      <c r="AG40" s="1000"/>
      <c r="AH40" s="1000"/>
      <c r="AI40" s="1000"/>
      <c r="AJ40" s="1000"/>
      <c r="AK40" s="1000"/>
      <c r="AL40" s="1000"/>
      <c r="AM40" s="1000"/>
      <c r="AN40" s="1000"/>
      <c r="AO40" s="1000"/>
      <c r="AP40" s="1000"/>
      <c r="AQ40" s="1000"/>
      <c r="AR40" s="1000"/>
      <c r="AS40" s="1000"/>
      <c r="AT40" s="1000"/>
      <c r="AU40" s="1000"/>
      <c r="AV40" s="1000"/>
      <c r="AW40" s="1000"/>
      <c r="AX40" s="1000"/>
      <c r="AY40" s="1000"/>
      <c r="AZ40" s="1000"/>
      <c r="BA40" s="1000"/>
      <c r="BB40" s="1000"/>
      <c r="BC40" s="1000"/>
      <c r="BD40" s="1000"/>
      <c r="BE40" s="1000"/>
      <c r="BF40" s="1000"/>
      <c r="BG40" s="1000"/>
      <c r="BH40" s="1000"/>
      <c r="BI40" s="1000"/>
      <c r="BJ40" s="1000"/>
      <c r="BK40" s="1000"/>
      <c r="BL40" s="1000"/>
      <c r="BM40" s="1000"/>
      <c r="BN40" s="1000"/>
      <c r="BO40" s="1000"/>
      <c r="BP40" s="1000"/>
      <c r="BQ40" s="1000"/>
      <c r="BR40" s="1000"/>
      <c r="BS40" s="1000"/>
      <c r="BT40" s="1000"/>
      <c r="BU40" s="1000"/>
      <c r="BV40" s="1000"/>
      <c r="BW40" s="1000"/>
      <c r="BX40" s="1000"/>
      <c r="BY40" s="1000"/>
      <c r="BZ40" s="1000"/>
      <c r="CA40" s="1000"/>
      <c r="CB40" s="1000"/>
      <c r="CC40" s="1000"/>
      <c r="CD40" s="1000"/>
      <c r="CE40" s="1000"/>
      <c r="CF40" s="1000"/>
      <c r="CG40" s="1000"/>
      <c r="CH40" s="1000"/>
      <c r="CI40" s="1000"/>
      <c r="CJ40" s="1000"/>
      <c r="CK40" s="1000"/>
    </row>
    <row r="41" spans="1:89" s="999" customFormat="1" ht="16.5" hidden="1">
      <c r="A41" s="1020" t="s">
        <v>1224</v>
      </c>
      <c r="B41" s="1018">
        <v>2502</v>
      </c>
      <c r="C41" s="1013">
        <v>17</v>
      </c>
      <c r="D41" s="1013">
        <v>17</v>
      </c>
      <c r="E41" s="1013">
        <v>40</v>
      </c>
      <c r="F41" s="1013">
        <v>169</v>
      </c>
      <c r="G41" s="1013">
        <v>134</v>
      </c>
      <c r="H41" s="1013"/>
      <c r="I41" s="1013">
        <v>148</v>
      </c>
      <c r="J41" s="1013">
        <v>87</v>
      </c>
      <c r="K41" s="1013">
        <v>10</v>
      </c>
      <c r="L41" s="1013">
        <v>122</v>
      </c>
      <c r="M41" s="1013">
        <v>209</v>
      </c>
      <c r="N41" s="1013">
        <v>40</v>
      </c>
      <c r="O41" s="1019"/>
      <c r="P41" s="1017">
        <v>1526</v>
      </c>
      <c r="Q41" s="1000"/>
      <c r="R41" s="1000"/>
      <c r="S41" s="1000"/>
      <c r="T41" s="1000"/>
      <c r="U41" s="1000"/>
      <c r="V41" s="1000"/>
      <c r="W41" s="1000"/>
      <c r="X41" s="1000"/>
      <c r="Y41" s="1000"/>
      <c r="Z41" s="1000"/>
      <c r="AA41" s="1000"/>
      <c r="AB41" s="1000"/>
      <c r="AC41" s="1000"/>
      <c r="AD41" s="1000"/>
      <c r="AE41" s="1000"/>
      <c r="AF41" s="1000"/>
      <c r="AG41" s="1000"/>
      <c r="AH41" s="1000"/>
      <c r="AI41" s="1000"/>
      <c r="AJ41" s="1000"/>
      <c r="AK41" s="1000"/>
      <c r="AL41" s="1000"/>
      <c r="AM41" s="1000"/>
      <c r="AN41" s="1000"/>
      <c r="AO41" s="1000"/>
      <c r="AP41" s="1000"/>
      <c r="AQ41" s="1000"/>
      <c r="AR41" s="1000"/>
      <c r="AS41" s="1000"/>
      <c r="AT41" s="1000"/>
      <c r="AU41" s="1000"/>
      <c r="AV41" s="1000"/>
      <c r="AW41" s="1000"/>
      <c r="AX41" s="1000"/>
      <c r="AY41" s="1000"/>
      <c r="AZ41" s="1000"/>
      <c r="BA41" s="1000"/>
      <c r="BB41" s="1000"/>
      <c r="BC41" s="1000"/>
      <c r="BD41" s="1000"/>
      <c r="BE41" s="1000"/>
      <c r="BF41" s="1000"/>
      <c r="BG41" s="1000"/>
      <c r="BH41" s="1000"/>
      <c r="BI41" s="1000"/>
      <c r="BJ41" s="1000"/>
      <c r="BK41" s="1000"/>
      <c r="BL41" s="1000"/>
      <c r="BM41" s="1000"/>
      <c r="BN41" s="1000"/>
      <c r="BO41" s="1000"/>
      <c r="BP41" s="1000"/>
      <c r="BQ41" s="1000"/>
      <c r="BR41" s="1000"/>
      <c r="BS41" s="1000"/>
      <c r="BT41" s="1000"/>
      <c r="BU41" s="1000"/>
      <c r="BV41" s="1000"/>
      <c r="BW41" s="1000"/>
      <c r="BX41" s="1000"/>
      <c r="BY41" s="1000"/>
      <c r="BZ41" s="1000"/>
      <c r="CA41" s="1000"/>
      <c r="CB41" s="1000"/>
      <c r="CC41" s="1000"/>
      <c r="CD41" s="1000"/>
      <c r="CE41" s="1000"/>
      <c r="CF41" s="1000"/>
      <c r="CG41" s="1000"/>
      <c r="CH41" s="1000"/>
      <c r="CI41" s="1000"/>
      <c r="CJ41" s="1000"/>
      <c r="CK41" s="1000"/>
    </row>
    <row r="42" spans="1:89" s="999" customFormat="1" ht="16.5" hidden="1">
      <c r="A42" s="1020" t="s">
        <v>1225</v>
      </c>
      <c r="B42" s="1018">
        <v>2495</v>
      </c>
      <c r="C42" s="1013">
        <v>14</v>
      </c>
      <c r="D42" s="1013">
        <v>14</v>
      </c>
      <c r="E42" s="1013">
        <v>29</v>
      </c>
      <c r="F42" s="1013">
        <v>142</v>
      </c>
      <c r="G42" s="1013">
        <v>155</v>
      </c>
      <c r="H42" s="1013"/>
      <c r="I42" s="1013">
        <v>140</v>
      </c>
      <c r="J42" s="1013">
        <v>106</v>
      </c>
      <c r="K42" s="1013">
        <v>10</v>
      </c>
      <c r="L42" s="1013">
        <v>88</v>
      </c>
      <c r="M42" s="1013">
        <v>234</v>
      </c>
      <c r="N42" s="1013">
        <v>40</v>
      </c>
      <c r="O42" s="1019"/>
      <c r="P42" s="1017">
        <v>1537</v>
      </c>
      <c r="Q42" s="1000"/>
      <c r="R42" s="1000"/>
      <c r="S42" s="1000"/>
      <c r="T42" s="1000"/>
      <c r="U42" s="1000"/>
      <c r="V42" s="1000"/>
      <c r="W42" s="1000"/>
      <c r="X42" s="1000"/>
      <c r="Y42" s="1000"/>
      <c r="Z42" s="1000"/>
      <c r="AA42" s="1000"/>
      <c r="AB42" s="1000"/>
      <c r="AC42" s="1000"/>
      <c r="AD42" s="1000"/>
      <c r="AE42" s="1000"/>
      <c r="AF42" s="1000"/>
      <c r="AG42" s="1000"/>
      <c r="AH42" s="1000"/>
      <c r="AI42" s="1000"/>
      <c r="AJ42" s="1000"/>
      <c r="AK42" s="1000"/>
      <c r="AL42" s="1000"/>
      <c r="AM42" s="1000"/>
      <c r="AN42" s="1000"/>
      <c r="AO42" s="1000"/>
      <c r="AP42" s="1000"/>
      <c r="AQ42" s="1000"/>
      <c r="AR42" s="1000"/>
      <c r="AS42" s="1000"/>
      <c r="AT42" s="1000"/>
      <c r="AU42" s="1000"/>
      <c r="AV42" s="1000"/>
      <c r="AW42" s="1000"/>
      <c r="AX42" s="1000"/>
      <c r="AY42" s="1000"/>
      <c r="AZ42" s="1000"/>
      <c r="BA42" s="1000"/>
      <c r="BB42" s="1000"/>
      <c r="BC42" s="1000"/>
      <c r="BD42" s="1000"/>
      <c r="BE42" s="1000"/>
      <c r="BF42" s="1000"/>
      <c r="BG42" s="1000"/>
      <c r="BH42" s="1000"/>
      <c r="BI42" s="1000"/>
      <c r="BJ42" s="1000"/>
      <c r="BK42" s="1000"/>
      <c r="BL42" s="1000"/>
      <c r="BM42" s="1000"/>
      <c r="BN42" s="1000"/>
      <c r="BO42" s="1000"/>
      <c r="BP42" s="1000"/>
      <c r="BQ42" s="1000"/>
      <c r="BR42" s="1000"/>
      <c r="BS42" s="1000"/>
      <c r="BT42" s="1000"/>
      <c r="BU42" s="1000"/>
      <c r="BV42" s="1000"/>
      <c r="BW42" s="1000"/>
      <c r="BX42" s="1000"/>
      <c r="BY42" s="1000"/>
      <c r="BZ42" s="1000"/>
      <c r="CA42" s="1000"/>
      <c r="CB42" s="1000"/>
      <c r="CC42" s="1000"/>
      <c r="CD42" s="1000"/>
      <c r="CE42" s="1000"/>
      <c r="CF42" s="1000"/>
      <c r="CG42" s="1000"/>
      <c r="CH42" s="1000"/>
      <c r="CI42" s="1000"/>
      <c r="CJ42" s="1000"/>
      <c r="CK42" s="1000"/>
    </row>
    <row r="43" spans="1:89" s="999" customFormat="1" ht="16.5" hidden="1">
      <c r="A43" s="1020" t="s">
        <v>1226</v>
      </c>
      <c r="B43" s="1018">
        <v>2355</v>
      </c>
      <c r="C43" s="1013">
        <v>26</v>
      </c>
      <c r="D43" s="1013">
        <v>26</v>
      </c>
      <c r="E43" s="1013">
        <v>33</v>
      </c>
      <c r="F43" s="1013">
        <v>150</v>
      </c>
      <c r="G43" s="1013">
        <v>158</v>
      </c>
      <c r="H43" s="1013"/>
      <c r="I43" s="1013">
        <v>124</v>
      </c>
      <c r="J43" s="1013">
        <v>63</v>
      </c>
      <c r="K43" s="1013">
        <v>5</v>
      </c>
      <c r="L43" s="1013">
        <v>138</v>
      </c>
      <c r="M43" s="1013">
        <v>239</v>
      </c>
      <c r="N43" s="1013">
        <v>56</v>
      </c>
      <c r="O43" s="1019"/>
      <c r="P43" s="1017">
        <v>1363</v>
      </c>
      <c r="Q43" s="1000"/>
      <c r="R43" s="1000"/>
      <c r="S43" s="1000"/>
      <c r="T43" s="1000"/>
      <c r="U43" s="1000"/>
      <c r="V43" s="1000"/>
      <c r="W43" s="1000"/>
      <c r="X43" s="1000"/>
      <c r="Y43" s="1000"/>
      <c r="Z43" s="1000"/>
      <c r="AA43" s="1000"/>
      <c r="AB43" s="1000"/>
      <c r="AC43" s="1000"/>
      <c r="AD43" s="1000"/>
      <c r="AE43" s="1000"/>
      <c r="AF43" s="1000"/>
      <c r="AG43" s="1000"/>
      <c r="AH43" s="1000"/>
      <c r="AI43" s="1000"/>
      <c r="AJ43" s="1000"/>
      <c r="AK43" s="1000"/>
      <c r="AL43" s="1000"/>
      <c r="AM43" s="1000"/>
      <c r="AN43" s="1000"/>
      <c r="AO43" s="1000"/>
      <c r="AP43" s="1000"/>
      <c r="AQ43" s="1000"/>
      <c r="AR43" s="1000"/>
      <c r="AS43" s="1000"/>
      <c r="AT43" s="1000"/>
      <c r="AU43" s="1000"/>
      <c r="AV43" s="1000"/>
      <c r="AW43" s="1000"/>
      <c r="AX43" s="1000"/>
      <c r="AY43" s="1000"/>
      <c r="AZ43" s="1000"/>
      <c r="BA43" s="1000"/>
      <c r="BB43" s="1000"/>
      <c r="BC43" s="1000"/>
      <c r="BD43" s="1000"/>
      <c r="BE43" s="1000"/>
      <c r="BF43" s="1000"/>
      <c r="BG43" s="1000"/>
      <c r="BH43" s="1000"/>
      <c r="BI43" s="1000"/>
      <c r="BJ43" s="1000"/>
      <c r="BK43" s="1000"/>
      <c r="BL43" s="1000"/>
      <c r="BM43" s="1000"/>
      <c r="BN43" s="1000"/>
      <c r="BO43" s="1000"/>
      <c r="BP43" s="1000"/>
      <c r="BQ43" s="1000"/>
      <c r="BR43" s="1000"/>
      <c r="BS43" s="1000"/>
      <c r="BT43" s="1000"/>
      <c r="BU43" s="1000"/>
      <c r="BV43" s="1000"/>
      <c r="BW43" s="1000"/>
      <c r="BX43" s="1000"/>
      <c r="BY43" s="1000"/>
      <c r="BZ43" s="1000"/>
      <c r="CA43" s="1000"/>
      <c r="CB43" s="1000"/>
      <c r="CC43" s="1000"/>
      <c r="CD43" s="1000"/>
      <c r="CE43" s="1000"/>
      <c r="CF43" s="1000"/>
      <c r="CG43" s="1000"/>
      <c r="CH43" s="1000"/>
      <c r="CI43" s="1000"/>
      <c r="CJ43" s="1000"/>
      <c r="CK43" s="1000"/>
    </row>
    <row r="44" spans="1:89" s="999" customFormat="1" ht="16.5" hidden="1">
      <c r="A44" s="1020" t="s">
        <v>1227</v>
      </c>
      <c r="B44" s="1018">
        <v>2214</v>
      </c>
      <c r="C44" s="1013">
        <v>14</v>
      </c>
      <c r="D44" s="1013">
        <v>14</v>
      </c>
      <c r="E44" s="1013">
        <v>34</v>
      </c>
      <c r="F44" s="1013">
        <v>135</v>
      </c>
      <c r="G44" s="1013">
        <v>124</v>
      </c>
      <c r="H44" s="1013"/>
      <c r="I44" s="1013">
        <v>131</v>
      </c>
      <c r="J44" s="1013">
        <v>98</v>
      </c>
      <c r="K44" s="1013">
        <v>4</v>
      </c>
      <c r="L44" s="1013">
        <v>94</v>
      </c>
      <c r="M44" s="1013">
        <v>281</v>
      </c>
      <c r="N44" s="1013">
        <v>48</v>
      </c>
      <c r="O44" s="1019"/>
      <c r="P44" s="1017">
        <v>1251</v>
      </c>
      <c r="Q44" s="1000"/>
      <c r="R44" s="1000"/>
      <c r="S44" s="1000"/>
      <c r="T44" s="1000"/>
      <c r="U44" s="1000"/>
      <c r="V44" s="1000"/>
      <c r="W44" s="1000"/>
      <c r="X44" s="1000"/>
      <c r="Y44" s="1000"/>
      <c r="Z44" s="1000"/>
      <c r="AA44" s="1000"/>
      <c r="AB44" s="1000"/>
      <c r="AC44" s="1000"/>
      <c r="AD44" s="1000"/>
      <c r="AE44" s="1000"/>
      <c r="AF44" s="1000"/>
      <c r="AG44" s="1000"/>
      <c r="AH44" s="1000"/>
      <c r="AI44" s="1000"/>
      <c r="AJ44" s="1000"/>
      <c r="AK44" s="1000"/>
      <c r="AL44" s="1000"/>
      <c r="AM44" s="1000"/>
      <c r="AN44" s="1000"/>
      <c r="AO44" s="1000"/>
      <c r="AP44" s="1000"/>
      <c r="AQ44" s="1000"/>
      <c r="AR44" s="1000"/>
      <c r="AS44" s="1000"/>
      <c r="AT44" s="1000"/>
      <c r="AU44" s="1000"/>
      <c r="AV44" s="1000"/>
      <c r="AW44" s="1000"/>
      <c r="AX44" s="1000"/>
      <c r="AY44" s="1000"/>
      <c r="AZ44" s="1000"/>
      <c r="BA44" s="1000"/>
      <c r="BB44" s="1000"/>
      <c r="BC44" s="1000"/>
      <c r="BD44" s="1000"/>
      <c r="BE44" s="1000"/>
      <c r="BF44" s="1000"/>
      <c r="BG44" s="1000"/>
      <c r="BH44" s="1000"/>
      <c r="BI44" s="1000"/>
      <c r="BJ44" s="1000"/>
      <c r="BK44" s="1000"/>
      <c r="BL44" s="1000"/>
      <c r="BM44" s="1000"/>
      <c r="BN44" s="1000"/>
      <c r="BO44" s="1000"/>
      <c r="BP44" s="1000"/>
      <c r="BQ44" s="1000"/>
      <c r="BR44" s="1000"/>
      <c r="BS44" s="1000"/>
      <c r="BT44" s="1000"/>
      <c r="BU44" s="1000"/>
      <c r="BV44" s="1000"/>
      <c r="BW44" s="1000"/>
      <c r="BX44" s="1000"/>
      <c r="BY44" s="1000"/>
      <c r="BZ44" s="1000"/>
      <c r="CA44" s="1000"/>
      <c r="CB44" s="1000"/>
      <c r="CC44" s="1000"/>
      <c r="CD44" s="1000"/>
      <c r="CE44" s="1000"/>
      <c r="CF44" s="1000"/>
      <c r="CG44" s="1000"/>
      <c r="CH44" s="1000"/>
      <c r="CI44" s="1000"/>
      <c r="CJ44" s="1000"/>
      <c r="CK44" s="1000"/>
    </row>
    <row r="45" spans="1:89" s="999" customFormat="1" ht="16.5" hidden="1">
      <c r="A45" s="1020" t="s">
        <v>1228</v>
      </c>
      <c r="B45" s="1018">
        <v>1980</v>
      </c>
      <c r="C45" s="1013">
        <v>4</v>
      </c>
      <c r="D45" s="1013">
        <v>4</v>
      </c>
      <c r="E45" s="1013">
        <v>21</v>
      </c>
      <c r="F45" s="1013">
        <v>122</v>
      </c>
      <c r="G45" s="1013">
        <v>129</v>
      </c>
      <c r="H45" s="1013"/>
      <c r="I45" s="1013">
        <v>140</v>
      </c>
      <c r="J45" s="1013">
        <v>83</v>
      </c>
      <c r="K45" s="1013">
        <v>4</v>
      </c>
      <c r="L45" s="1013">
        <v>92</v>
      </c>
      <c r="M45" s="1013">
        <v>362</v>
      </c>
      <c r="N45" s="1013">
        <v>61</v>
      </c>
      <c r="O45" s="1019"/>
      <c r="P45" s="1017">
        <v>962</v>
      </c>
      <c r="Q45" s="1000"/>
      <c r="R45" s="1000"/>
      <c r="S45" s="1000"/>
      <c r="T45" s="1000"/>
      <c r="U45" s="1000"/>
      <c r="V45" s="1000"/>
      <c r="W45" s="1000"/>
      <c r="X45" s="1000"/>
      <c r="Y45" s="1000"/>
      <c r="Z45" s="1000"/>
      <c r="AA45" s="1000"/>
      <c r="AB45" s="1000"/>
      <c r="AC45" s="1000"/>
      <c r="AD45" s="1000"/>
      <c r="AE45" s="1000"/>
      <c r="AF45" s="1000"/>
      <c r="AG45" s="1000"/>
      <c r="AH45" s="1000"/>
      <c r="AI45" s="1000"/>
      <c r="AJ45" s="1000"/>
      <c r="AK45" s="1000"/>
      <c r="AL45" s="1000"/>
      <c r="AM45" s="1000"/>
      <c r="AN45" s="1000"/>
      <c r="AO45" s="1000"/>
      <c r="AP45" s="1000"/>
      <c r="AQ45" s="1000"/>
      <c r="AR45" s="1000"/>
      <c r="AS45" s="1000"/>
      <c r="AT45" s="1000"/>
      <c r="AU45" s="1000"/>
      <c r="AV45" s="1000"/>
      <c r="AW45" s="1000"/>
      <c r="AX45" s="1000"/>
      <c r="AY45" s="1000"/>
      <c r="AZ45" s="1000"/>
      <c r="BA45" s="1000"/>
      <c r="BB45" s="1000"/>
      <c r="BC45" s="1000"/>
      <c r="BD45" s="1000"/>
      <c r="BE45" s="1000"/>
      <c r="BF45" s="1000"/>
      <c r="BG45" s="1000"/>
      <c r="BH45" s="1000"/>
      <c r="BI45" s="1000"/>
      <c r="BJ45" s="1000"/>
      <c r="BK45" s="1000"/>
      <c r="BL45" s="1000"/>
      <c r="BM45" s="1000"/>
      <c r="BN45" s="1000"/>
      <c r="BO45" s="1000"/>
      <c r="BP45" s="1000"/>
      <c r="BQ45" s="1000"/>
      <c r="BR45" s="1000"/>
      <c r="BS45" s="1000"/>
      <c r="BT45" s="1000"/>
      <c r="BU45" s="1000"/>
      <c r="BV45" s="1000"/>
      <c r="BW45" s="1000"/>
      <c r="BX45" s="1000"/>
      <c r="BY45" s="1000"/>
      <c r="BZ45" s="1000"/>
      <c r="CA45" s="1000"/>
      <c r="CB45" s="1000"/>
      <c r="CC45" s="1000"/>
      <c r="CD45" s="1000"/>
      <c r="CE45" s="1000"/>
      <c r="CF45" s="1000"/>
      <c r="CG45" s="1000"/>
      <c r="CH45" s="1000"/>
      <c r="CI45" s="1000"/>
      <c r="CJ45" s="1000"/>
      <c r="CK45" s="1000"/>
    </row>
    <row r="46" spans="1:89" s="999" customFormat="1" ht="16.5" hidden="1">
      <c r="A46" s="1020" t="s">
        <v>1229</v>
      </c>
      <c r="B46" s="1018">
        <v>2171</v>
      </c>
      <c r="C46" s="1013">
        <v>12</v>
      </c>
      <c r="D46" s="1013">
        <v>12</v>
      </c>
      <c r="E46" s="1013">
        <v>23</v>
      </c>
      <c r="F46" s="1013">
        <v>121</v>
      </c>
      <c r="G46" s="1013">
        <v>110</v>
      </c>
      <c r="H46" s="1013"/>
      <c r="I46" s="1013">
        <v>143</v>
      </c>
      <c r="J46" s="1013">
        <v>85</v>
      </c>
      <c r="K46" s="1013">
        <v>3</v>
      </c>
      <c r="L46" s="1013">
        <v>75</v>
      </c>
      <c r="M46" s="1013">
        <v>382</v>
      </c>
      <c r="N46" s="1013">
        <v>67</v>
      </c>
      <c r="O46" s="1019"/>
      <c r="P46" s="1017">
        <v>1150</v>
      </c>
      <c r="Q46" s="1000"/>
      <c r="R46" s="1000"/>
      <c r="S46" s="1000"/>
      <c r="T46" s="1000"/>
      <c r="U46" s="1000"/>
      <c r="V46" s="1000"/>
      <c r="W46" s="1000"/>
      <c r="X46" s="1000"/>
      <c r="Y46" s="1000"/>
      <c r="Z46" s="1000"/>
      <c r="AA46" s="1000"/>
      <c r="AB46" s="1000"/>
      <c r="AC46" s="1000"/>
      <c r="AD46" s="1000"/>
      <c r="AE46" s="1000"/>
      <c r="AF46" s="1000"/>
      <c r="AG46" s="1000"/>
      <c r="AH46" s="1000"/>
      <c r="AI46" s="1000"/>
      <c r="AJ46" s="1000"/>
      <c r="AK46" s="1000"/>
      <c r="AL46" s="1000"/>
      <c r="AM46" s="1000"/>
      <c r="AN46" s="1000"/>
      <c r="AO46" s="1000"/>
      <c r="AP46" s="1000"/>
      <c r="AQ46" s="1000"/>
      <c r="AR46" s="1000"/>
      <c r="AS46" s="1000"/>
      <c r="AT46" s="1000"/>
      <c r="AU46" s="1000"/>
      <c r="AV46" s="1000"/>
      <c r="AW46" s="1000"/>
      <c r="AX46" s="1000"/>
      <c r="AY46" s="1000"/>
      <c r="AZ46" s="1000"/>
      <c r="BA46" s="1000"/>
      <c r="BB46" s="1000"/>
      <c r="BC46" s="1000"/>
      <c r="BD46" s="1000"/>
      <c r="BE46" s="1000"/>
      <c r="BF46" s="1000"/>
      <c r="BG46" s="1000"/>
      <c r="BH46" s="1000"/>
      <c r="BI46" s="1000"/>
      <c r="BJ46" s="1000"/>
      <c r="BK46" s="1000"/>
      <c r="BL46" s="1000"/>
      <c r="BM46" s="1000"/>
      <c r="BN46" s="1000"/>
      <c r="BO46" s="1000"/>
      <c r="BP46" s="1000"/>
      <c r="BQ46" s="1000"/>
      <c r="BR46" s="1000"/>
      <c r="BS46" s="1000"/>
      <c r="BT46" s="1000"/>
      <c r="BU46" s="1000"/>
      <c r="BV46" s="1000"/>
      <c r="BW46" s="1000"/>
      <c r="BX46" s="1000"/>
      <c r="BY46" s="1000"/>
      <c r="BZ46" s="1000"/>
      <c r="CA46" s="1000"/>
      <c r="CB46" s="1000"/>
      <c r="CC46" s="1000"/>
      <c r="CD46" s="1000"/>
      <c r="CE46" s="1000"/>
      <c r="CF46" s="1000"/>
      <c r="CG46" s="1000"/>
      <c r="CH46" s="1000"/>
      <c r="CI46" s="1000"/>
      <c r="CJ46" s="1000"/>
      <c r="CK46" s="1000"/>
    </row>
    <row r="47" spans="1:89" s="999" customFormat="1" ht="16.5" hidden="1">
      <c r="A47" s="1020" t="s">
        <v>1230</v>
      </c>
      <c r="B47" s="1018">
        <v>2625</v>
      </c>
      <c r="C47" s="1013">
        <v>4</v>
      </c>
      <c r="D47" s="1013">
        <v>4</v>
      </c>
      <c r="E47" s="1013">
        <v>23</v>
      </c>
      <c r="F47" s="1013">
        <v>122</v>
      </c>
      <c r="G47" s="1013">
        <v>125</v>
      </c>
      <c r="H47" s="1013"/>
      <c r="I47" s="1013">
        <v>164</v>
      </c>
      <c r="J47" s="1013">
        <v>87</v>
      </c>
      <c r="K47" s="1013">
        <v>1</v>
      </c>
      <c r="L47" s="1013">
        <v>108</v>
      </c>
      <c r="M47" s="1013">
        <v>540</v>
      </c>
      <c r="N47" s="1013">
        <v>123</v>
      </c>
      <c r="O47" s="1019"/>
      <c r="P47" s="1017">
        <v>1328</v>
      </c>
      <c r="Q47" s="1000"/>
      <c r="R47" s="1000"/>
      <c r="S47" s="1000"/>
      <c r="T47" s="1000"/>
      <c r="U47" s="1000"/>
      <c r="V47" s="1000"/>
      <c r="W47" s="1000"/>
      <c r="X47" s="1000"/>
      <c r="Y47" s="1000"/>
      <c r="Z47" s="1000"/>
      <c r="AA47" s="1000"/>
      <c r="AB47" s="1000"/>
      <c r="AC47" s="1000"/>
      <c r="AD47" s="1000"/>
      <c r="AE47" s="1000"/>
      <c r="AF47" s="1000"/>
      <c r="AG47" s="1000"/>
      <c r="AH47" s="1000"/>
      <c r="AI47" s="1000"/>
      <c r="AJ47" s="1000"/>
      <c r="AK47" s="1000"/>
      <c r="AL47" s="1000"/>
      <c r="AM47" s="1000"/>
      <c r="AN47" s="1000"/>
      <c r="AO47" s="1000"/>
      <c r="AP47" s="1000"/>
      <c r="AQ47" s="1000"/>
      <c r="AR47" s="1000"/>
      <c r="AS47" s="1000"/>
      <c r="AT47" s="1000"/>
      <c r="AU47" s="1000"/>
      <c r="AV47" s="1000"/>
      <c r="AW47" s="1000"/>
      <c r="AX47" s="1000"/>
      <c r="AY47" s="1000"/>
      <c r="AZ47" s="1000"/>
      <c r="BA47" s="1000"/>
      <c r="BB47" s="1000"/>
      <c r="BC47" s="1000"/>
      <c r="BD47" s="1000"/>
      <c r="BE47" s="1000"/>
      <c r="BF47" s="1000"/>
      <c r="BG47" s="1000"/>
      <c r="BH47" s="1000"/>
      <c r="BI47" s="1000"/>
      <c r="BJ47" s="1000"/>
      <c r="BK47" s="1000"/>
      <c r="BL47" s="1000"/>
      <c r="BM47" s="1000"/>
      <c r="BN47" s="1000"/>
      <c r="BO47" s="1000"/>
      <c r="BP47" s="1000"/>
      <c r="BQ47" s="1000"/>
      <c r="BR47" s="1000"/>
      <c r="BS47" s="1000"/>
      <c r="BT47" s="1000"/>
      <c r="BU47" s="1000"/>
      <c r="BV47" s="1000"/>
      <c r="BW47" s="1000"/>
      <c r="BX47" s="1000"/>
      <c r="BY47" s="1000"/>
      <c r="BZ47" s="1000"/>
      <c r="CA47" s="1000"/>
      <c r="CB47" s="1000"/>
      <c r="CC47" s="1000"/>
      <c r="CD47" s="1000"/>
      <c r="CE47" s="1000"/>
      <c r="CF47" s="1000"/>
      <c r="CG47" s="1000"/>
      <c r="CH47" s="1000"/>
      <c r="CI47" s="1000"/>
      <c r="CJ47" s="1000"/>
      <c r="CK47" s="1000"/>
    </row>
    <row r="48" spans="1:89" s="999" customFormat="1" ht="16.5" hidden="1">
      <c r="A48" s="1024" t="s">
        <v>1231</v>
      </c>
      <c r="B48" s="1025">
        <v>2602</v>
      </c>
      <c r="C48" s="1026">
        <v>9</v>
      </c>
      <c r="D48" s="1026">
        <v>9</v>
      </c>
      <c r="E48" s="1026">
        <v>21</v>
      </c>
      <c r="F48" s="1026">
        <v>148</v>
      </c>
      <c r="G48" s="1026">
        <v>105</v>
      </c>
      <c r="H48" s="1026"/>
      <c r="I48" s="1026">
        <v>155</v>
      </c>
      <c r="J48" s="1026">
        <v>121</v>
      </c>
      <c r="K48" s="1026">
        <v>2</v>
      </c>
      <c r="L48" s="1026">
        <v>171</v>
      </c>
      <c r="M48" s="1026">
        <v>536</v>
      </c>
      <c r="N48" s="1026">
        <v>114</v>
      </c>
      <c r="O48" s="1027"/>
      <c r="P48" s="1028">
        <v>1220</v>
      </c>
      <c r="Q48" s="1000"/>
      <c r="R48" s="1000"/>
      <c r="S48" s="1000"/>
      <c r="T48" s="1000"/>
      <c r="U48" s="1000"/>
      <c r="V48" s="1000"/>
      <c r="W48" s="1000"/>
      <c r="X48" s="1000"/>
      <c r="Y48" s="1000"/>
      <c r="Z48" s="1000"/>
      <c r="AA48" s="1000"/>
      <c r="AB48" s="1000"/>
      <c r="AC48" s="1000"/>
      <c r="AD48" s="1000"/>
      <c r="AE48" s="1000"/>
      <c r="AF48" s="1000"/>
      <c r="AG48" s="1000"/>
      <c r="AH48" s="1000"/>
      <c r="AI48" s="1000"/>
      <c r="AJ48" s="1000"/>
      <c r="AK48" s="1000"/>
      <c r="AL48" s="1000"/>
      <c r="AM48" s="1000"/>
      <c r="AN48" s="1000"/>
      <c r="AO48" s="1000"/>
      <c r="AP48" s="1000"/>
      <c r="AQ48" s="1000"/>
      <c r="AR48" s="1000"/>
      <c r="AS48" s="1000"/>
      <c r="AT48" s="1000"/>
      <c r="AU48" s="1000"/>
      <c r="AV48" s="1000"/>
      <c r="AW48" s="1000"/>
      <c r="AX48" s="1000"/>
      <c r="AY48" s="1000"/>
      <c r="AZ48" s="1000"/>
      <c r="BA48" s="1000"/>
      <c r="BB48" s="1000"/>
      <c r="BC48" s="1000"/>
      <c r="BD48" s="1000"/>
      <c r="BE48" s="1000"/>
      <c r="BF48" s="1000"/>
      <c r="BG48" s="1000"/>
      <c r="BH48" s="1000"/>
      <c r="BI48" s="1000"/>
      <c r="BJ48" s="1000"/>
      <c r="BK48" s="1000"/>
      <c r="BL48" s="1000"/>
      <c r="BM48" s="1000"/>
      <c r="BN48" s="1000"/>
      <c r="BO48" s="1000"/>
      <c r="BP48" s="1000"/>
      <c r="BQ48" s="1000"/>
      <c r="BR48" s="1000"/>
      <c r="BS48" s="1000"/>
      <c r="BT48" s="1000"/>
      <c r="BU48" s="1000"/>
      <c r="BV48" s="1000"/>
      <c r="BW48" s="1000"/>
      <c r="BX48" s="1000"/>
      <c r="BY48" s="1000"/>
      <c r="BZ48" s="1000"/>
      <c r="CA48" s="1000"/>
      <c r="CB48" s="1000"/>
      <c r="CC48" s="1000"/>
      <c r="CD48" s="1000"/>
      <c r="CE48" s="1000"/>
      <c r="CF48" s="1000"/>
      <c r="CG48" s="1000"/>
      <c r="CH48" s="1000"/>
      <c r="CI48" s="1000"/>
      <c r="CJ48" s="1000"/>
      <c r="CK48" s="1000"/>
    </row>
    <row r="52" spans="2:2">
      <c r="B52" s="1029"/>
    </row>
    <row r="53" spans="2:2">
      <c r="B53" s="1029"/>
    </row>
    <row r="54" spans="2:2">
      <c r="B54" s="1029"/>
    </row>
    <row r="55" spans="2:2">
      <c r="B55" s="1029"/>
    </row>
    <row r="56" spans="2:2">
      <c r="B56" s="1029"/>
    </row>
    <row r="57" spans="2:2">
      <c r="B57" s="1029"/>
    </row>
    <row r="58" spans="2:2">
      <c r="B58" s="1029"/>
    </row>
    <row r="59" spans="2:2">
      <c r="B59" s="1029"/>
    </row>
    <row r="60" spans="2:2">
      <c r="B60" s="1029"/>
    </row>
    <row r="61" spans="2:2">
      <c r="B61" s="1029"/>
    </row>
    <row r="62" spans="2:2">
      <c r="B62" s="1029"/>
    </row>
    <row r="63" spans="2:2">
      <c r="B63" s="1029"/>
    </row>
    <row r="64" spans="2:2">
      <c r="B64" s="1029"/>
    </row>
    <row r="65" spans="2:2">
      <c r="B65" s="1029"/>
    </row>
    <row r="66" spans="2:2">
      <c r="B66" s="1029"/>
    </row>
    <row r="67" spans="2:2">
      <c r="B67" s="1029"/>
    </row>
  </sheetData>
  <mergeCells count="27">
    <mergeCell ref="P27:P31"/>
    <mergeCell ref="O3:O7"/>
    <mergeCell ref="P3:P7"/>
    <mergeCell ref="B27:B31"/>
    <mergeCell ref="C27:C31"/>
    <mergeCell ref="D27:D31"/>
    <mergeCell ref="E27:E31"/>
    <mergeCell ref="J27:J31"/>
    <mergeCell ref="L27:L31"/>
    <mergeCell ref="M27:M31"/>
    <mergeCell ref="N27:N31"/>
    <mergeCell ref="I3:I7"/>
    <mergeCell ref="J3:J7"/>
    <mergeCell ref="K3:K7"/>
    <mergeCell ref="L3:L7"/>
    <mergeCell ref="M3:M7"/>
    <mergeCell ref="N3:N7"/>
    <mergeCell ref="A1:P1"/>
    <mergeCell ref="N2:P2"/>
    <mergeCell ref="A3:A7"/>
    <mergeCell ref="B3:B7"/>
    <mergeCell ref="C3:C7"/>
    <mergeCell ref="D3:D7"/>
    <mergeCell ref="E3:E7"/>
    <mergeCell ref="F3:F7"/>
    <mergeCell ref="G3:G7"/>
    <mergeCell ref="H3:H7"/>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70" orientation="landscape" r:id="rId1"/>
  <headerFooter differentOddEven="1" scaleWithDoc="0">
    <oddHeader>&amp;L&amp;"Times New Roman,標準"&amp;8 107&amp;"標楷體,標準"年犯罪狀況及其分析</oddHeader>
    <evenHeader>&amp;R&amp;"標楷體,標準"&amp;8第二篇　犯罪之處理</even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H13"/>
  <sheetViews>
    <sheetView showGridLines="0" workbookViewId="0">
      <selection activeCell="B16" sqref="B16"/>
    </sheetView>
  </sheetViews>
  <sheetFormatPr defaultColWidth="9" defaultRowHeight="15.75"/>
  <cols>
    <col min="1" max="1" width="31.125" style="650" customWidth="1"/>
    <col min="2" max="7" width="12.75" style="650" customWidth="1"/>
    <col min="8" max="16384" width="9" style="650"/>
  </cols>
  <sheetData>
    <row r="1" spans="1:8" ht="30.6" customHeight="1">
      <c r="A1" s="2964" t="s">
        <v>1232</v>
      </c>
      <c r="B1" s="2964"/>
      <c r="C1" s="2964"/>
      <c r="D1" s="2964"/>
      <c r="E1" s="2964"/>
      <c r="F1" s="2964"/>
      <c r="G1" s="2964"/>
    </row>
    <row r="2" spans="1:8" ht="31.9" customHeight="1">
      <c r="A2" s="2981"/>
      <c r="B2" s="2965" t="s">
        <v>849</v>
      </c>
      <c r="C2" s="2965"/>
      <c r="D2" s="2966" t="s">
        <v>1066</v>
      </c>
      <c r="E2" s="2965"/>
      <c r="F2" s="2966" t="s">
        <v>1067</v>
      </c>
      <c r="G2" s="2965"/>
      <c r="H2" s="886"/>
    </row>
    <row r="3" spans="1:8" ht="31.9" customHeight="1">
      <c r="A3" s="2983"/>
      <c r="B3" s="652" t="s">
        <v>773</v>
      </c>
      <c r="C3" s="1030" t="s">
        <v>400</v>
      </c>
      <c r="D3" s="654" t="s">
        <v>836</v>
      </c>
      <c r="E3" s="1030" t="s">
        <v>1233</v>
      </c>
      <c r="F3" s="654" t="s">
        <v>1155</v>
      </c>
      <c r="G3" s="1030" t="s">
        <v>400</v>
      </c>
      <c r="H3" s="886"/>
    </row>
    <row r="4" spans="1:8" ht="31.9" customHeight="1">
      <c r="A4" s="660" t="s">
        <v>837</v>
      </c>
      <c r="B4" s="1031">
        <v>431</v>
      </c>
      <c r="C4" s="1032">
        <v>99.999999999999986</v>
      </c>
      <c r="D4" s="1031">
        <v>425</v>
      </c>
      <c r="E4" s="1032">
        <v>100</v>
      </c>
      <c r="F4" s="1031">
        <v>442</v>
      </c>
      <c r="G4" s="1032">
        <v>100</v>
      </c>
      <c r="H4" s="886"/>
    </row>
    <row r="5" spans="1:8" ht="31.9" customHeight="1">
      <c r="A5" s="660" t="s">
        <v>1234</v>
      </c>
      <c r="B5" s="1031">
        <v>93</v>
      </c>
      <c r="C5" s="1033">
        <v>21.57772621809745</v>
      </c>
      <c r="D5" s="1031">
        <v>114</v>
      </c>
      <c r="E5" s="1033">
        <v>26.823529411764707</v>
      </c>
      <c r="F5" s="1031">
        <v>110</v>
      </c>
      <c r="G5" s="1033">
        <v>24.886877828054299</v>
      </c>
    </row>
    <row r="6" spans="1:8" ht="31.9" customHeight="1">
      <c r="A6" s="660" t="s">
        <v>1235</v>
      </c>
      <c r="B6" s="1031">
        <v>119</v>
      </c>
      <c r="C6" s="1033">
        <v>27.610208816705335</v>
      </c>
      <c r="D6" s="1031">
        <v>97</v>
      </c>
      <c r="E6" s="1033">
        <v>22.823529411764707</v>
      </c>
      <c r="F6" s="1031">
        <v>94</v>
      </c>
      <c r="G6" s="1033">
        <v>21.266968325791854</v>
      </c>
    </row>
    <row r="7" spans="1:8" ht="31.9" customHeight="1">
      <c r="A7" s="660" t="s">
        <v>1236</v>
      </c>
      <c r="B7" s="1031">
        <v>71</v>
      </c>
      <c r="C7" s="1033">
        <v>16.473317865429234</v>
      </c>
      <c r="D7" s="1031">
        <v>67</v>
      </c>
      <c r="E7" s="1033">
        <v>15.764705882352942</v>
      </c>
      <c r="F7" s="1031">
        <v>70</v>
      </c>
      <c r="G7" s="1033">
        <v>15.837104072398189</v>
      </c>
    </row>
    <row r="8" spans="1:8" ht="31.9" customHeight="1">
      <c r="A8" s="660" t="s">
        <v>1237</v>
      </c>
      <c r="B8" s="1031">
        <v>73</v>
      </c>
      <c r="C8" s="1033">
        <v>16.937354988399072</v>
      </c>
      <c r="D8" s="1031">
        <v>80</v>
      </c>
      <c r="E8" s="1033">
        <v>18.823529411764707</v>
      </c>
      <c r="F8" s="1031">
        <v>92</v>
      </c>
      <c r="G8" s="1033">
        <v>20.81447963800905</v>
      </c>
    </row>
    <row r="9" spans="1:8" ht="31.9" customHeight="1">
      <c r="A9" s="660" t="s">
        <v>1238</v>
      </c>
      <c r="B9" s="1031">
        <v>61</v>
      </c>
      <c r="C9" s="1033">
        <v>14.153132250580047</v>
      </c>
      <c r="D9" s="1031">
        <v>49</v>
      </c>
      <c r="E9" s="1033">
        <v>11.529411764705882</v>
      </c>
      <c r="F9" s="1031">
        <v>46</v>
      </c>
      <c r="G9" s="1033">
        <v>10.407239819004525</v>
      </c>
    </row>
    <row r="10" spans="1:8" ht="31.9" customHeight="1">
      <c r="A10" s="660" t="s">
        <v>1239</v>
      </c>
      <c r="B10" s="1031">
        <v>13</v>
      </c>
      <c r="C10" s="1033">
        <v>3.0162412993039442</v>
      </c>
      <c r="D10" s="1031">
        <v>16</v>
      </c>
      <c r="E10" s="1033">
        <v>3.7647058823529407</v>
      </c>
      <c r="F10" s="1031">
        <v>22</v>
      </c>
      <c r="G10" s="1033">
        <v>4.9773755656108598</v>
      </c>
    </row>
    <row r="11" spans="1:8" ht="31.9" customHeight="1" thickBot="1">
      <c r="A11" s="660" t="s">
        <v>1240</v>
      </c>
      <c r="B11" s="1031">
        <v>1</v>
      </c>
      <c r="C11" s="1033">
        <v>0.23201856148491878</v>
      </c>
      <c r="D11" s="1031">
        <v>2</v>
      </c>
      <c r="E11" s="1033">
        <v>0.47058823529411759</v>
      </c>
      <c r="F11" s="1031">
        <v>8</v>
      </c>
      <c r="G11" s="1033">
        <v>1.809954751131222</v>
      </c>
    </row>
    <row r="12" spans="1:8" ht="31.9" customHeight="1" thickTop="1">
      <c r="A12" s="1034" t="s">
        <v>1241</v>
      </c>
      <c r="B12" s="1035">
        <v>78.501160092800006</v>
      </c>
      <c r="C12" s="1036"/>
      <c r="D12" s="1037">
        <v>79.44</v>
      </c>
      <c r="E12" s="1038"/>
      <c r="F12" s="1037">
        <v>87.321266968299994</v>
      </c>
      <c r="G12" s="1036"/>
    </row>
    <row r="13" spans="1:8" s="665" customFormat="1" ht="17.25" customHeight="1">
      <c r="A13" s="665" t="s">
        <v>1242</v>
      </c>
      <c r="B13" s="1039"/>
      <c r="C13" s="1039"/>
      <c r="G13" s="1039"/>
    </row>
  </sheetData>
  <mergeCells count="5">
    <mergeCell ref="A1:G1"/>
    <mergeCell ref="A2:A3"/>
    <mergeCell ref="B2:C2"/>
    <mergeCell ref="D2:E2"/>
    <mergeCell ref="F2:G2"/>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82" orientation="landscape" r:id="rId1"/>
  <headerFooter differentOddEven="1" scaleWithDoc="0">
    <oddHeader>&amp;L&amp;"Times New Roman,標準"&amp;8 107&amp;"標楷體,標準"年犯罪狀況及其分析</oddHeader>
    <evenHeader>&amp;R&amp;"標楷體,標準"&amp;8第二篇　犯罪之處理</even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L27"/>
  <sheetViews>
    <sheetView showGridLines="0" workbookViewId="0">
      <selection activeCell="B16" sqref="B16"/>
    </sheetView>
  </sheetViews>
  <sheetFormatPr defaultColWidth="10" defaultRowHeight="15.75"/>
  <cols>
    <col min="1" max="1" width="42.125" style="1051" customWidth="1"/>
    <col min="2" max="7" width="9.75" style="1051" customWidth="1"/>
    <col min="8" max="16384" width="10" style="1051"/>
  </cols>
  <sheetData>
    <row r="1" spans="1:7" s="1040" customFormat="1" ht="29.1" customHeight="1">
      <c r="A1" s="3187" t="s">
        <v>1243</v>
      </c>
      <c r="B1" s="3187"/>
      <c r="C1" s="3187"/>
      <c r="D1" s="3187"/>
      <c r="E1" s="3187"/>
      <c r="F1" s="3187"/>
      <c r="G1" s="3187"/>
    </row>
    <row r="2" spans="1:7" s="1041" customFormat="1" ht="27" customHeight="1">
      <c r="A2" s="3188"/>
      <c r="B2" s="2965" t="s">
        <v>1244</v>
      </c>
      <c r="C2" s="2965"/>
      <c r="D2" s="2966" t="s">
        <v>1066</v>
      </c>
      <c r="E2" s="2965"/>
      <c r="F2" s="2966" t="s">
        <v>1067</v>
      </c>
      <c r="G2" s="2965"/>
    </row>
    <row r="3" spans="1:7" s="1041" customFormat="1" ht="27" customHeight="1">
      <c r="A3" s="3189"/>
      <c r="B3" s="652" t="s">
        <v>1189</v>
      </c>
      <c r="C3" s="1030" t="s">
        <v>1233</v>
      </c>
      <c r="D3" s="654" t="s">
        <v>1189</v>
      </c>
      <c r="E3" s="1030" t="s">
        <v>934</v>
      </c>
      <c r="F3" s="654" t="s">
        <v>1189</v>
      </c>
      <c r="G3" s="1030" t="s">
        <v>1245</v>
      </c>
    </row>
    <row r="4" spans="1:7" s="1041" customFormat="1" ht="18" customHeight="1">
      <c r="A4" s="1042" t="s">
        <v>1246</v>
      </c>
      <c r="B4" s="1043">
        <v>181</v>
      </c>
      <c r="C4" s="1044">
        <v>100</v>
      </c>
      <c r="D4" s="1043">
        <v>178</v>
      </c>
      <c r="E4" s="1044">
        <v>100</v>
      </c>
      <c r="F4" s="1043">
        <v>186</v>
      </c>
      <c r="G4" s="1044">
        <v>100</v>
      </c>
    </row>
    <row r="5" spans="1:7" s="1046" customFormat="1" ht="18" customHeight="1">
      <c r="A5" s="1045" t="s">
        <v>1247</v>
      </c>
      <c r="B5" s="1043">
        <v>0</v>
      </c>
      <c r="C5" s="1044">
        <f>IF(B5=0,0,B5/$B$5*100)</f>
        <v>0</v>
      </c>
      <c r="D5" s="1043">
        <v>1</v>
      </c>
      <c r="E5" s="1044">
        <v>0.5617977528089888</v>
      </c>
      <c r="F5" s="1043">
        <v>0</v>
      </c>
      <c r="G5" s="1044">
        <v>0</v>
      </c>
    </row>
    <row r="6" spans="1:7" s="1046" customFormat="1" ht="18" customHeight="1">
      <c r="A6" s="1045" t="s">
        <v>1248</v>
      </c>
      <c r="B6" s="1043">
        <v>2</v>
      </c>
      <c r="C6" s="1044">
        <f>IF(B6=0,0,B6/$B$4*100)</f>
        <v>1.1049723756906076</v>
      </c>
      <c r="D6" s="1043">
        <v>0</v>
      </c>
      <c r="E6" s="1044">
        <v>0</v>
      </c>
      <c r="F6" s="1043">
        <v>0</v>
      </c>
      <c r="G6" s="1044">
        <v>0</v>
      </c>
    </row>
    <row r="7" spans="1:7" s="1046" customFormat="1" ht="18" customHeight="1">
      <c r="A7" s="1045" t="s">
        <v>1249</v>
      </c>
      <c r="B7" s="1043">
        <v>70</v>
      </c>
      <c r="C7" s="1044">
        <f t="shared" ref="C7:C11" si="0">IF(B7=0,0,B7/$B$4*100)</f>
        <v>38.674033149171272</v>
      </c>
      <c r="D7" s="1043">
        <v>81</v>
      </c>
      <c r="E7" s="1044">
        <v>45.50561797752809</v>
      </c>
      <c r="F7" s="1043">
        <v>83</v>
      </c>
      <c r="G7" s="1044">
        <v>44.623655913978496</v>
      </c>
    </row>
    <row r="8" spans="1:7" s="1046" customFormat="1" ht="18" customHeight="1">
      <c r="A8" s="1045" t="s">
        <v>1250</v>
      </c>
      <c r="B8" s="1043">
        <v>3</v>
      </c>
      <c r="C8" s="1044">
        <f t="shared" si="0"/>
        <v>1.6574585635359116</v>
      </c>
      <c r="D8" s="1043">
        <v>5</v>
      </c>
      <c r="E8" s="1044">
        <v>2.8089887640449436</v>
      </c>
      <c r="F8" s="1043">
        <v>7</v>
      </c>
      <c r="G8" s="1044">
        <v>3.763440860215054</v>
      </c>
    </row>
    <row r="9" spans="1:7" s="1046" customFormat="1" ht="18" customHeight="1">
      <c r="A9" s="1047" t="s">
        <v>1251</v>
      </c>
      <c r="B9" s="1043">
        <v>9</v>
      </c>
      <c r="C9" s="1044">
        <f t="shared" si="0"/>
        <v>4.972375690607735</v>
      </c>
      <c r="D9" s="1043">
        <v>4</v>
      </c>
      <c r="E9" s="1044">
        <v>2.2471910112359552</v>
      </c>
      <c r="F9" s="1043">
        <v>6</v>
      </c>
      <c r="G9" s="1044">
        <v>3.225806451612903</v>
      </c>
    </row>
    <row r="10" spans="1:7" s="1041" customFormat="1" ht="18" customHeight="1">
      <c r="A10" s="1045" t="s">
        <v>1252</v>
      </c>
      <c r="B10" s="1043">
        <v>11</v>
      </c>
      <c r="C10" s="1044">
        <f t="shared" si="0"/>
        <v>6.0773480662983426</v>
      </c>
      <c r="D10" s="1043">
        <v>3</v>
      </c>
      <c r="E10" s="1044">
        <v>1.6853932584269662</v>
      </c>
      <c r="F10" s="1043">
        <v>3</v>
      </c>
      <c r="G10" s="1044">
        <v>1.6129032258064515</v>
      </c>
    </row>
    <row r="11" spans="1:7" s="1049" customFormat="1" ht="18" customHeight="1">
      <c r="A11" s="1048" t="s">
        <v>1253</v>
      </c>
      <c r="B11" s="1043">
        <v>2</v>
      </c>
      <c r="C11" s="1044">
        <f t="shared" si="0"/>
        <v>1.1049723756906076</v>
      </c>
      <c r="D11" s="1043">
        <v>0</v>
      </c>
      <c r="E11" s="1044">
        <v>0</v>
      </c>
      <c r="F11" s="1043">
        <v>0</v>
      </c>
      <c r="G11" s="1044">
        <v>0</v>
      </c>
    </row>
    <row r="12" spans="1:7" s="1050" customFormat="1" ht="18" customHeight="1">
      <c r="A12" s="1048" t="s">
        <v>1254</v>
      </c>
      <c r="B12" s="1043">
        <v>0</v>
      </c>
      <c r="C12" s="1044">
        <f t="shared" ref="C12:C13" si="1">IF(B12=0,0,B12/$B$5*100)</f>
        <v>0</v>
      </c>
      <c r="D12" s="1043">
        <v>0</v>
      </c>
      <c r="E12" s="1044">
        <v>0</v>
      </c>
      <c r="F12" s="1043">
        <v>0</v>
      </c>
      <c r="G12" s="1044">
        <v>0</v>
      </c>
    </row>
    <row r="13" spans="1:7" s="1050" customFormat="1" ht="18" customHeight="1">
      <c r="A13" s="1048" t="s">
        <v>1255</v>
      </c>
      <c r="B13" s="1043">
        <v>0</v>
      </c>
      <c r="C13" s="1044">
        <f t="shared" si="1"/>
        <v>0</v>
      </c>
      <c r="D13" s="1043">
        <v>0</v>
      </c>
      <c r="E13" s="1044">
        <v>0</v>
      </c>
      <c r="F13" s="1043">
        <v>0</v>
      </c>
      <c r="G13" s="1044">
        <v>0</v>
      </c>
    </row>
    <row r="14" spans="1:7" s="1046" customFormat="1" ht="18" customHeight="1">
      <c r="A14" s="1045" t="s">
        <v>1256</v>
      </c>
      <c r="B14" s="1043">
        <v>27</v>
      </c>
      <c r="C14" s="1044">
        <f>IF(B14=0,0,B14/$B$4*100)</f>
        <v>14.917127071823206</v>
      </c>
      <c r="D14" s="1043">
        <v>23</v>
      </c>
      <c r="E14" s="1044">
        <v>12.921348314606742</v>
      </c>
      <c r="F14" s="1043">
        <v>7</v>
      </c>
      <c r="G14" s="1044">
        <v>3.763440860215054</v>
      </c>
    </row>
    <row r="15" spans="1:7" s="1046" customFormat="1" ht="18" customHeight="1">
      <c r="A15" s="1045" t="s">
        <v>1257</v>
      </c>
      <c r="B15" s="1043">
        <v>44</v>
      </c>
      <c r="C15" s="1044">
        <f t="shared" ref="C15:C23" si="2">IF(B15=0,0,B15/$B$4*100)</f>
        <v>24.30939226519337</v>
      </c>
      <c r="D15" s="1043">
        <v>37</v>
      </c>
      <c r="E15" s="1044">
        <v>20.786516853932586</v>
      </c>
      <c r="F15" s="1043">
        <v>48</v>
      </c>
      <c r="G15" s="1044">
        <v>25.806451612903224</v>
      </c>
    </row>
    <row r="16" spans="1:7" s="1041" customFormat="1" ht="18" customHeight="1">
      <c r="A16" s="1045" t="s">
        <v>1258</v>
      </c>
      <c r="B16" s="1043">
        <v>0</v>
      </c>
      <c r="C16" s="1044">
        <f t="shared" si="2"/>
        <v>0</v>
      </c>
      <c r="D16" s="1043">
        <v>0</v>
      </c>
      <c r="E16" s="1044">
        <v>0</v>
      </c>
      <c r="F16" s="1043">
        <v>1</v>
      </c>
      <c r="G16" s="1044">
        <v>0.53763440860215062</v>
      </c>
    </row>
    <row r="17" spans="1:12" s="1046" customFormat="1" ht="18" customHeight="1">
      <c r="A17" s="1045" t="s">
        <v>1259</v>
      </c>
      <c r="B17" s="1043">
        <v>1</v>
      </c>
      <c r="C17" s="1044">
        <f t="shared" si="2"/>
        <v>0.55248618784530379</v>
      </c>
      <c r="D17" s="1043">
        <v>0</v>
      </c>
      <c r="E17" s="1044">
        <v>0</v>
      </c>
      <c r="F17" s="1043">
        <v>0</v>
      </c>
      <c r="G17" s="1044">
        <v>0</v>
      </c>
    </row>
    <row r="18" spans="1:12" s="1046" customFormat="1" ht="18" customHeight="1">
      <c r="A18" s="1045" t="s">
        <v>1260</v>
      </c>
      <c r="B18" s="1043">
        <v>0</v>
      </c>
      <c r="C18" s="1044">
        <f t="shared" si="2"/>
        <v>0</v>
      </c>
      <c r="D18" s="1043">
        <v>0</v>
      </c>
      <c r="E18" s="1044">
        <v>0</v>
      </c>
      <c r="F18" s="1043">
        <v>0</v>
      </c>
      <c r="G18" s="1044">
        <v>0</v>
      </c>
    </row>
    <row r="19" spans="1:12" s="1046" customFormat="1" ht="18" customHeight="1">
      <c r="A19" s="1045" t="s">
        <v>1261</v>
      </c>
      <c r="B19" s="1043">
        <v>11</v>
      </c>
      <c r="C19" s="1044">
        <f t="shared" si="2"/>
        <v>6.0773480662983426</v>
      </c>
      <c r="D19" s="1043">
        <v>13</v>
      </c>
      <c r="E19" s="1044">
        <v>7.3033707865168536</v>
      </c>
      <c r="F19" s="1043">
        <v>19</v>
      </c>
      <c r="G19" s="1044">
        <v>10.21505376344086</v>
      </c>
    </row>
    <row r="20" spans="1:12" s="1046" customFormat="1" ht="18" customHeight="1">
      <c r="A20" s="1045" t="s">
        <v>1262</v>
      </c>
      <c r="B20" s="1043">
        <v>0</v>
      </c>
      <c r="C20" s="1044">
        <f t="shared" si="2"/>
        <v>0</v>
      </c>
      <c r="D20" s="1043">
        <v>1</v>
      </c>
      <c r="E20" s="1044">
        <v>0.5617977528089888</v>
      </c>
      <c r="F20" s="1043">
        <v>0</v>
      </c>
      <c r="G20" s="1044">
        <v>0</v>
      </c>
    </row>
    <row r="21" spans="1:12" s="1041" customFormat="1" ht="18" customHeight="1">
      <c r="A21" s="1045" t="s">
        <v>1263</v>
      </c>
      <c r="B21" s="1043">
        <v>0</v>
      </c>
      <c r="C21" s="1044">
        <f t="shared" si="2"/>
        <v>0</v>
      </c>
      <c r="D21" s="1043">
        <v>0</v>
      </c>
      <c r="E21" s="1044">
        <v>0</v>
      </c>
      <c r="F21" s="1043">
        <v>0</v>
      </c>
      <c r="G21" s="1044">
        <v>0</v>
      </c>
    </row>
    <row r="22" spans="1:12" s="1041" customFormat="1" ht="18" customHeight="1">
      <c r="A22" s="1045" t="s">
        <v>1264</v>
      </c>
      <c r="B22" s="1043">
        <v>0</v>
      </c>
      <c r="C22" s="1044">
        <f t="shared" si="2"/>
        <v>0</v>
      </c>
      <c r="D22" s="1043">
        <v>0</v>
      </c>
      <c r="E22" s="1044">
        <v>0</v>
      </c>
      <c r="F22" s="1043">
        <v>0</v>
      </c>
      <c r="G22" s="1044">
        <v>0</v>
      </c>
    </row>
    <row r="23" spans="1:12" ht="18" customHeight="1">
      <c r="A23" s="1045" t="s">
        <v>1265</v>
      </c>
      <c r="B23" s="1043">
        <v>0</v>
      </c>
      <c r="C23" s="1044">
        <f t="shared" si="2"/>
        <v>0</v>
      </c>
      <c r="D23" s="1043">
        <v>0</v>
      </c>
      <c r="E23" s="1044">
        <v>0</v>
      </c>
      <c r="F23" s="1043">
        <v>0</v>
      </c>
      <c r="G23" s="1044">
        <v>0</v>
      </c>
    </row>
    <row r="24" spans="1:12" ht="18" customHeight="1">
      <c r="A24" s="1052" t="s">
        <v>1266</v>
      </c>
      <c r="B24" s="1053">
        <v>1</v>
      </c>
      <c r="C24" s="1054">
        <v>0.55248618784530379</v>
      </c>
      <c r="D24" s="1053">
        <v>10</v>
      </c>
      <c r="E24" s="1054">
        <v>5.6179775280898872</v>
      </c>
      <c r="F24" s="1053">
        <v>12</v>
      </c>
      <c r="G24" s="1054">
        <v>6.4516129032258061</v>
      </c>
    </row>
    <row r="25" spans="1:12" s="1056" customFormat="1" ht="16.5" customHeight="1">
      <c r="A25" s="1055" t="s">
        <v>784</v>
      </c>
      <c r="B25" s="1051"/>
      <c r="C25" s="1051"/>
      <c r="D25" s="1051"/>
      <c r="E25" s="1051"/>
      <c r="F25" s="1051"/>
      <c r="G25" s="1051"/>
      <c r="H25" s="1051"/>
      <c r="I25" s="1051"/>
      <c r="J25" s="1051"/>
      <c r="K25" s="1051"/>
      <c r="L25" s="1051"/>
    </row>
    <row r="26" spans="1:12" ht="16.5" customHeight="1">
      <c r="A26" s="731" t="s">
        <v>1267</v>
      </c>
      <c r="B26" s="1057"/>
      <c r="C26" s="1057"/>
      <c r="D26" s="1057"/>
      <c r="E26" s="1057"/>
      <c r="F26" s="1057"/>
      <c r="G26" s="1057"/>
      <c r="H26" s="1057"/>
      <c r="I26" s="1057"/>
      <c r="J26" s="1057"/>
      <c r="K26" s="1057"/>
      <c r="L26" s="1057"/>
    </row>
    <row r="27" spans="1:12">
      <c r="A27" s="731" t="s">
        <v>1268</v>
      </c>
    </row>
  </sheetData>
  <mergeCells count="5">
    <mergeCell ref="A1:G1"/>
    <mergeCell ref="A2:A3"/>
    <mergeCell ref="B2:C2"/>
    <mergeCell ref="D2:E2"/>
    <mergeCell ref="F2:G2"/>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4" orientation="landscape" r:id="rId1"/>
  <headerFooter differentOddEven="1" scaleWithDoc="0">
    <oddHeader>&amp;L&amp;"Times New Roman,標準"&amp;8 107&amp;"標楷體,標準"年犯罪狀況及其分析</oddHeader>
    <evenHeader>&amp;R&amp;"標楷體,標準"&amp;8第二篇　犯罪之處理</even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G14"/>
  <sheetViews>
    <sheetView showGridLines="0" workbookViewId="0">
      <selection activeCell="B16" sqref="B16"/>
    </sheetView>
  </sheetViews>
  <sheetFormatPr defaultColWidth="9" defaultRowHeight="15.75"/>
  <cols>
    <col min="1" max="1" width="41.125" style="1058" customWidth="1"/>
    <col min="2" max="6" width="13.125" style="1058" customWidth="1"/>
    <col min="7" max="16384" width="9" style="1058"/>
  </cols>
  <sheetData>
    <row r="1" spans="1:7" ht="34.5" customHeight="1">
      <c r="A1" s="3190" t="s">
        <v>1269</v>
      </c>
      <c r="B1" s="3190"/>
      <c r="C1" s="3190"/>
      <c r="D1" s="3190"/>
      <c r="E1" s="3190"/>
      <c r="F1" s="3190"/>
    </row>
    <row r="2" spans="1:7" ht="21" customHeight="1">
      <c r="A2" s="3191"/>
      <c r="B2" s="3191"/>
      <c r="C2" s="3191"/>
      <c r="D2" s="3191"/>
      <c r="E2" s="3191"/>
      <c r="F2" s="3191"/>
    </row>
    <row r="3" spans="1:7" ht="35.65" customHeight="1">
      <c r="A3" s="3192"/>
      <c r="B3" s="3194" t="s">
        <v>1270</v>
      </c>
      <c r="C3" s="3195" t="s">
        <v>1064</v>
      </c>
      <c r="D3" s="3195" t="s">
        <v>1065</v>
      </c>
      <c r="E3" s="3195" t="s">
        <v>1066</v>
      </c>
      <c r="F3" s="3197" t="s">
        <v>1067</v>
      </c>
      <c r="G3" s="1059"/>
    </row>
    <row r="4" spans="1:7" ht="6" customHeight="1">
      <c r="A4" s="3193"/>
      <c r="B4" s="3121"/>
      <c r="C4" s="3196"/>
      <c r="D4" s="3196"/>
      <c r="E4" s="3196"/>
      <c r="F4" s="3198"/>
      <c r="G4" s="1059"/>
    </row>
    <row r="5" spans="1:7" ht="25.5" customHeight="1">
      <c r="A5" s="1060" t="s">
        <v>1271</v>
      </c>
      <c r="B5" s="1061">
        <v>196.72783926749264</v>
      </c>
      <c r="C5" s="1061">
        <v>199.9049036713005</v>
      </c>
      <c r="D5" s="1061">
        <v>212.82950073157184</v>
      </c>
      <c r="E5" s="1061">
        <v>213.07480025015187</v>
      </c>
      <c r="F5" s="1062">
        <v>208.49031130603734</v>
      </c>
    </row>
    <row r="6" spans="1:7" ht="25.5" customHeight="1">
      <c r="A6" s="1063" t="s">
        <v>1272</v>
      </c>
      <c r="B6" s="1064">
        <v>50.620899999999999</v>
      </c>
      <c r="C6" s="1064">
        <v>52.543999999999997</v>
      </c>
      <c r="D6" s="1064">
        <v>52.691699999999997</v>
      </c>
      <c r="E6" s="1064">
        <v>52.1435811582</v>
      </c>
      <c r="F6" s="1065">
        <v>54.952390594500002</v>
      </c>
    </row>
    <row r="7" spans="1:7" ht="25.5" customHeight="1">
      <c r="A7" s="1063" t="s">
        <v>1273</v>
      </c>
      <c r="B7" s="1066">
        <v>7593</v>
      </c>
      <c r="C7" s="1066">
        <v>7791</v>
      </c>
      <c r="D7" s="1066">
        <v>7448</v>
      </c>
      <c r="E7" s="1066">
        <v>8278</v>
      </c>
      <c r="F7" s="1067">
        <v>8202</v>
      </c>
    </row>
    <row r="8" spans="1:7" ht="25.5" customHeight="1">
      <c r="A8" s="1063" t="s">
        <v>1274</v>
      </c>
      <c r="B8" s="1066">
        <v>5864</v>
      </c>
      <c r="C8" s="1066">
        <v>6353</v>
      </c>
      <c r="D8" s="1066">
        <v>5957</v>
      </c>
      <c r="E8" s="1066">
        <v>6518</v>
      </c>
      <c r="F8" s="1067">
        <v>6368</v>
      </c>
    </row>
    <row r="9" spans="1:7" ht="25.5" customHeight="1">
      <c r="A9" s="1063" t="s">
        <v>1275</v>
      </c>
      <c r="B9" s="1068">
        <v>77.229026735150796</v>
      </c>
      <c r="C9" s="1068">
        <v>81.542805801565905</v>
      </c>
      <c r="D9" s="1068">
        <v>79.981203007518801</v>
      </c>
      <c r="E9" s="1068">
        <v>78.738825803334137</v>
      </c>
      <c r="F9" s="1069">
        <v>77.639600097537183</v>
      </c>
    </row>
    <row r="10" spans="1:7" ht="25.5" customHeight="1">
      <c r="A10" s="1070" t="s">
        <v>1276</v>
      </c>
      <c r="B10" s="1071">
        <v>96.561314527532957</v>
      </c>
      <c r="C10" s="1071">
        <v>96.719797089841137</v>
      </c>
      <c r="D10" s="1071">
        <v>96.722159707430777</v>
      </c>
      <c r="E10" s="1071">
        <v>96.664156626506028</v>
      </c>
      <c r="F10" s="1072">
        <v>96.468016748742528</v>
      </c>
    </row>
    <row r="11" spans="1:7">
      <c r="A11" s="1073" t="s">
        <v>1277</v>
      </c>
      <c r="B11" s="1074"/>
      <c r="C11" s="1074"/>
      <c r="D11" s="1074"/>
      <c r="E11" s="1074"/>
      <c r="F11" s="1074"/>
    </row>
    <row r="12" spans="1:7">
      <c r="A12" s="1075" t="s">
        <v>1278</v>
      </c>
      <c r="B12" s="1076"/>
      <c r="C12" s="1076"/>
      <c r="D12" s="1076"/>
      <c r="E12" s="861"/>
      <c r="F12" s="861"/>
    </row>
    <row r="13" spans="1:7">
      <c r="A13" s="1075" t="s">
        <v>1279</v>
      </c>
      <c r="B13" s="1077"/>
      <c r="C13" s="1077"/>
      <c r="D13" s="1077"/>
      <c r="E13" s="861"/>
      <c r="F13" s="861"/>
    </row>
    <row r="14" spans="1:7">
      <c r="A14" s="1075" t="s">
        <v>1280</v>
      </c>
      <c r="B14" s="1077"/>
      <c r="C14" s="1077"/>
      <c r="D14" s="1077"/>
    </row>
  </sheetData>
  <mergeCells count="7">
    <mergeCell ref="A1:F2"/>
    <mergeCell ref="A3:A4"/>
    <mergeCell ref="B3:B4"/>
    <mergeCell ref="C3:C4"/>
    <mergeCell ref="D3:D4"/>
    <mergeCell ref="E3:E4"/>
    <mergeCell ref="F3:F4"/>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89"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K28"/>
  <sheetViews>
    <sheetView showGridLines="0" workbookViewId="0">
      <selection activeCell="B16" sqref="B16"/>
    </sheetView>
  </sheetViews>
  <sheetFormatPr defaultColWidth="9" defaultRowHeight="15.75"/>
  <cols>
    <col min="1" max="1" width="6.125" style="650" customWidth="1"/>
    <col min="2" max="2" width="5" style="1096" customWidth="1"/>
    <col min="3" max="3" width="15.5" style="650" customWidth="1"/>
    <col min="4" max="4" width="10.5" style="650" customWidth="1"/>
    <col min="5" max="5" width="11" style="650" bestFit="1" customWidth="1"/>
    <col min="6" max="6" width="11.375" style="650" customWidth="1"/>
    <col min="7" max="7" width="9.625" style="650" customWidth="1"/>
    <col min="8" max="8" width="10.75" style="650" customWidth="1"/>
    <col min="9" max="9" width="11.625" style="650" customWidth="1"/>
    <col min="10" max="10" width="10" style="650" bestFit="1" customWidth="1"/>
    <col min="11" max="11" width="11.75" style="650" bestFit="1" customWidth="1"/>
    <col min="12" max="16384" width="9" style="650"/>
  </cols>
  <sheetData>
    <row r="1" spans="1:10" ht="30.6" customHeight="1">
      <c r="A1" s="3200" t="s">
        <v>1281</v>
      </c>
      <c r="B1" s="3200"/>
      <c r="C1" s="3200"/>
      <c r="D1" s="3200"/>
      <c r="E1" s="3200"/>
      <c r="F1" s="3200"/>
      <c r="G1" s="3200"/>
      <c r="H1" s="3200"/>
      <c r="I1" s="3200"/>
      <c r="J1" s="3200"/>
    </row>
    <row r="2" spans="1:10" ht="40.5" customHeight="1">
      <c r="A2" s="2965"/>
      <c r="B2" s="2965"/>
      <c r="C2" s="1078" t="s">
        <v>1282</v>
      </c>
      <c r="D2" s="1079" t="s">
        <v>1283</v>
      </c>
      <c r="E2" s="1079" t="s">
        <v>1284</v>
      </c>
      <c r="F2" s="1079" t="s">
        <v>1285</v>
      </c>
      <c r="G2" s="1079" t="s">
        <v>1286</v>
      </c>
      <c r="H2" s="1079" t="s">
        <v>1287</v>
      </c>
      <c r="I2" s="1079" t="s">
        <v>1288</v>
      </c>
      <c r="J2" s="1080" t="s">
        <v>1289</v>
      </c>
    </row>
    <row r="3" spans="1:10" s="1085" customFormat="1" ht="18" customHeight="1">
      <c r="A3" s="3199" t="s">
        <v>1290</v>
      </c>
      <c r="B3" s="1081" t="s">
        <v>1291</v>
      </c>
      <c r="C3" s="1082">
        <f t="shared" ref="C3:C22" si="0">SUM(D3:J3)</f>
        <v>201684</v>
      </c>
      <c r="D3" s="1082">
        <v>179430</v>
      </c>
      <c r="E3" s="1082">
        <v>66</v>
      </c>
      <c r="F3" s="1082">
        <v>7946</v>
      </c>
      <c r="G3" s="1082">
        <v>1008</v>
      </c>
      <c r="H3" s="1082">
        <v>13080</v>
      </c>
      <c r="I3" s="1083" t="s">
        <v>1</v>
      </c>
      <c r="J3" s="1084">
        <v>154</v>
      </c>
    </row>
    <row r="4" spans="1:10" s="1085" customFormat="1" ht="18" customHeight="1">
      <c r="A4" s="3199"/>
      <c r="B4" s="1081" t="s">
        <v>0</v>
      </c>
      <c r="C4" s="656">
        <f t="shared" si="0"/>
        <v>100</v>
      </c>
      <c r="D4" s="1086">
        <f>D3/$C3*100</f>
        <v>88.965907062533461</v>
      </c>
      <c r="E4" s="1086">
        <f>E3/$C3*100</f>
        <v>3.2724460046409234E-2</v>
      </c>
      <c r="F4" s="1086">
        <f>F3/$C3*100</f>
        <v>3.9398266595267843</v>
      </c>
      <c r="G4" s="1086">
        <f>G3/$C3*100</f>
        <v>0.49979175343606835</v>
      </c>
      <c r="H4" s="1086">
        <f>H3/$C3*100</f>
        <v>6.4853929910156483</v>
      </c>
      <c r="I4" s="696" t="s">
        <v>980</v>
      </c>
      <c r="J4" s="1087">
        <f>J3/$C3*100</f>
        <v>7.6357073441621542E-2</v>
      </c>
    </row>
    <row r="5" spans="1:10" s="1085" customFormat="1" ht="18" customHeight="1">
      <c r="A5" s="3199" t="s">
        <v>1007</v>
      </c>
      <c r="B5" s="1081" t="s">
        <v>1292</v>
      </c>
      <c r="C5" s="1082">
        <f t="shared" si="0"/>
        <v>196861</v>
      </c>
      <c r="D5" s="1082">
        <v>174734</v>
      </c>
      <c r="E5" s="1082">
        <v>55</v>
      </c>
      <c r="F5" s="1082">
        <v>6819</v>
      </c>
      <c r="G5" s="1082">
        <v>846</v>
      </c>
      <c r="H5" s="1082">
        <v>14237</v>
      </c>
      <c r="I5" s="1082">
        <v>1</v>
      </c>
      <c r="J5" s="1084">
        <v>169</v>
      </c>
    </row>
    <row r="6" spans="1:10" s="1085" customFormat="1" ht="18" customHeight="1">
      <c r="A6" s="3199"/>
      <c r="B6" s="1081" t="s">
        <v>0</v>
      </c>
      <c r="C6" s="656">
        <f t="shared" si="0"/>
        <v>99.999999999999986</v>
      </c>
      <c r="D6" s="1086">
        <f t="shared" ref="D6:J6" si="1">D5/$C5*100</f>
        <v>88.760089606372006</v>
      </c>
      <c r="E6" s="1086">
        <f t="shared" si="1"/>
        <v>2.7938494673906973E-2</v>
      </c>
      <c r="F6" s="1086">
        <f t="shared" si="1"/>
        <v>3.4638653669340296</v>
      </c>
      <c r="G6" s="1086">
        <f t="shared" si="1"/>
        <v>0.42974484534773266</v>
      </c>
      <c r="H6" s="1086">
        <f t="shared" si="1"/>
        <v>7.2320063394984269</v>
      </c>
      <c r="I6" s="1086">
        <f t="shared" si="1"/>
        <v>5.0797263043467211E-4</v>
      </c>
      <c r="J6" s="1087">
        <f t="shared" si="1"/>
        <v>8.5847374543459601E-2</v>
      </c>
    </row>
    <row r="7" spans="1:10" s="1085" customFormat="1" ht="18" customHeight="1">
      <c r="A7" s="3199" t="s">
        <v>1293</v>
      </c>
      <c r="B7" s="1081" t="s">
        <v>1294</v>
      </c>
      <c r="C7" s="1082">
        <f t="shared" si="0"/>
        <v>195611</v>
      </c>
      <c r="D7" s="1082">
        <v>173314</v>
      </c>
      <c r="E7" s="1082">
        <v>65</v>
      </c>
      <c r="F7" s="1082">
        <v>7089</v>
      </c>
      <c r="G7" s="1082">
        <v>683</v>
      </c>
      <c r="H7" s="1082">
        <v>14308</v>
      </c>
      <c r="I7" s="1082">
        <v>1</v>
      </c>
      <c r="J7" s="1084">
        <v>151</v>
      </c>
    </row>
    <row r="8" spans="1:10" s="1085" customFormat="1" ht="18" customHeight="1">
      <c r="A8" s="3199"/>
      <c r="B8" s="1081" t="s">
        <v>0</v>
      </c>
      <c r="C8" s="656">
        <f t="shared" si="0"/>
        <v>99.999999999999986</v>
      </c>
      <c r="D8" s="1086">
        <f t="shared" ref="D8:J8" si="2">D7/$C7*100</f>
        <v>88.601356774414526</v>
      </c>
      <c r="E8" s="1086">
        <f t="shared" si="2"/>
        <v>3.3229215125938724E-2</v>
      </c>
      <c r="F8" s="1086">
        <f t="shared" si="2"/>
        <v>3.6240293235043017</v>
      </c>
      <c r="G8" s="1086">
        <f t="shared" si="2"/>
        <v>0.34916236816947921</v>
      </c>
      <c r="H8" s="1086">
        <f t="shared" si="2"/>
        <v>7.3145170772604811</v>
      </c>
      <c r="I8" s="1086">
        <f t="shared" si="2"/>
        <v>5.1121869424521115E-4</v>
      </c>
      <c r="J8" s="1087">
        <f t="shared" si="2"/>
        <v>7.7194022831026887E-2</v>
      </c>
    </row>
    <row r="9" spans="1:10" s="1085" customFormat="1" ht="18" customHeight="1">
      <c r="A9" s="3199" t="s">
        <v>1295</v>
      </c>
      <c r="B9" s="1081" t="s">
        <v>1292</v>
      </c>
      <c r="C9" s="1082">
        <f t="shared" si="0"/>
        <v>189354</v>
      </c>
      <c r="D9" s="1082">
        <v>168144</v>
      </c>
      <c r="E9" s="1082">
        <v>51</v>
      </c>
      <c r="F9" s="1082">
        <v>6240</v>
      </c>
      <c r="G9" s="1082">
        <v>633</v>
      </c>
      <c r="H9" s="1082">
        <v>14093</v>
      </c>
      <c r="I9" s="1082">
        <v>1</v>
      </c>
      <c r="J9" s="1084">
        <v>192</v>
      </c>
    </row>
    <row r="10" spans="1:10" s="1085" customFormat="1" ht="18" customHeight="1">
      <c r="A10" s="3199"/>
      <c r="B10" s="1081" t="s">
        <v>0</v>
      </c>
      <c r="C10" s="656">
        <f t="shared" si="0"/>
        <v>100</v>
      </c>
      <c r="D10" s="1086">
        <f t="shared" ref="D10:J10" si="3">D9/$C9*100</f>
        <v>88.798757882062176</v>
      </c>
      <c r="E10" s="1086">
        <f t="shared" si="3"/>
        <v>2.6933679774390821E-2</v>
      </c>
      <c r="F10" s="1086">
        <f t="shared" si="3"/>
        <v>3.2954149371019361</v>
      </c>
      <c r="G10" s="1086">
        <f t="shared" si="3"/>
        <v>0.3342944960233214</v>
      </c>
      <c r="H10" s="1086">
        <f t="shared" si="3"/>
        <v>7.4426735109899971</v>
      </c>
      <c r="I10" s="1086">
        <f t="shared" si="3"/>
        <v>5.2811136812531024E-4</v>
      </c>
      <c r="J10" s="1087">
        <f t="shared" si="3"/>
        <v>0.10139738268005957</v>
      </c>
    </row>
    <row r="11" spans="1:10" s="1085" customFormat="1" ht="18" customHeight="1">
      <c r="A11" s="3199" t="s">
        <v>1296</v>
      </c>
      <c r="B11" s="1081" t="s">
        <v>1294</v>
      </c>
      <c r="C11" s="1082">
        <f t="shared" si="0"/>
        <v>209437</v>
      </c>
      <c r="D11" s="1082">
        <v>187671</v>
      </c>
      <c r="E11" s="1082">
        <v>84</v>
      </c>
      <c r="F11" s="1082">
        <v>6099</v>
      </c>
      <c r="G11" s="1082">
        <v>644</v>
      </c>
      <c r="H11" s="1082">
        <v>14728</v>
      </c>
      <c r="I11" s="696" t="s">
        <v>1</v>
      </c>
      <c r="J11" s="1084">
        <v>211</v>
      </c>
    </row>
    <row r="12" spans="1:10" s="1085" customFormat="1" ht="18" customHeight="1">
      <c r="A12" s="3199"/>
      <c r="B12" s="1081" t="s">
        <v>0</v>
      </c>
      <c r="C12" s="656">
        <f t="shared" si="0"/>
        <v>100.00000000000001</v>
      </c>
      <c r="D12" s="1086">
        <f>D11/$C11*100</f>
        <v>89.607375965087357</v>
      </c>
      <c r="E12" s="1086">
        <f>E11/$C11*100</f>
        <v>4.0107526368311233E-2</v>
      </c>
      <c r="F12" s="1086">
        <f>F11/$C11*100</f>
        <v>2.9120928966705981</v>
      </c>
      <c r="G12" s="1086">
        <f>G11/$C11*100</f>
        <v>0.30749103549038614</v>
      </c>
      <c r="H12" s="1086">
        <f>H11/$C11*100</f>
        <v>7.0321862899105696</v>
      </c>
      <c r="I12" s="696" t="s">
        <v>980</v>
      </c>
      <c r="J12" s="1087">
        <f>J11/$C11*100</f>
        <v>0.1007462864727818</v>
      </c>
    </row>
    <row r="13" spans="1:10" s="1085" customFormat="1" ht="18" customHeight="1">
      <c r="A13" s="3199" t="s">
        <v>1297</v>
      </c>
      <c r="B13" s="1081" t="s">
        <v>1294</v>
      </c>
      <c r="C13" s="1082">
        <f t="shared" si="0"/>
        <v>207103</v>
      </c>
      <c r="D13" s="1082">
        <v>184598</v>
      </c>
      <c r="E13" s="1082">
        <v>101</v>
      </c>
      <c r="F13" s="1082">
        <v>6230</v>
      </c>
      <c r="G13" s="1082">
        <v>657</v>
      </c>
      <c r="H13" s="1082">
        <v>15293</v>
      </c>
      <c r="I13" s="696" t="s">
        <v>1</v>
      </c>
      <c r="J13" s="1084">
        <v>224</v>
      </c>
    </row>
    <row r="14" spans="1:10" s="1085" customFormat="1" ht="18" customHeight="1">
      <c r="A14" s="3199"/>
      <c r="B14" s="1081" t="s">
        <v>0</v>
      </c>
      <c r="C14" s="656">
        <f t="shared" si="0"/>
        <v>100.00000000000001</v>
      </c>
      <c r="D14" s="1086">
        <f>D13/$C13*100</f>
        <v>89.133426362727732</v>
      </c>
      <c r="E14" s="1086">
        <f>E13/$C13*100</f>
        <v>4.8768004326349687E-2</v>
      </c>
      <c r="F14" s="1086">
        <f>F13/$C13*100</f>
        <v>3.0081650193382039</v>
      </c>
      <c r="G14" s="1086">
        <f>G13/$C13*100</f>
        <v>0.3172334538852648</v>
      </c>
      <c r="H14" s="1086">
        <f>H13/$C13*100</f>
        <v>7.384248417454117</v>
      </c>
      <c r="I14" s="696" t="s">
        <v>1298</v>
      </c>
      <c r="J14" s="1087">
        <f>J13/$C13*100</f>
        <v>0.10815874226833991</v>
      </c>
    </row>
    <row r="15" spans="1:10" s="1085" customFormat="1" ht="18" customHeight="1">
      <c r="A15" s="3199" t="s">
        <v>769</v>
      </c>
      <c r="B15" s="1081" t="s">
        <v>1299</v>
      </c>
      <c r="C15" s="1082">
        <f t="shared" si="0"/>
        <v>201789</v>
      </c>
      <c r="D15" s="1082">
        <v>180022</v>
      </c>
      <c r="E15" s="1082">
        <v>93</v>
      </c>
      <c r="F15" s="1082">
        <v>5858</v>
      </c>
      <c r="G15" s="1082">
        <v>600</v>
      </c>
      <c r="H15" s="1082">
        <v>15003</v>
      </c>
      <c r="I15" s="1082">
        <v>1</v>
      </c>
      <c r="J15" s="1084">
        <v>212</v>
      </c>
    </row>
    <row r="16" spans="1:10" s="1085" customFormat="1" ht="18" customHeight="1">
      <c r="A16" s="3199"/>
      <c r="B16" s="1081" t="s">
        <v>0</v>
      </c>
      <c r="C16" s="656">
        <f t="shared" si="0"/>
        <v>100.00000000000001</v>
      </c>
      <c r="D16" s="1086">
        <f t="shared" ref="D16:J16" si="4">D15/$C15*100</f>
        <v>89.212989806183685</v>
      </c>
      <c r="E16" s="1086">
        <f t="shared" si="4"/>
        <v>4.6087745119902469E-2</v>
      </c>
      <c r="F16" s="1086">
        <f t="shared" si="4"/>
        <v>2.9030323754020286</v>
      </c>
      <c r="G16" s="1086">
        <f t="shared" si="4"/>
        <v>0.29734029109614502</v>
      </c>
      <c r="H16" s="1086">
        <f t="shared" si="4"/>
        <v>7.4349939788591062</v>
      </c>
      <c r="I16" s="1086">
        <f t="shared" si="4"/>
        <v>4.9556715182690828E-4</v>
      </c>
      <c r="J16" s="1087">
        <f t="shared" si="4"/>
        <v>0.10506023618730455</v>
      </c>
    </row>
    <row r="17" spans="1:11" s="1085" customFormat="1" ht="18" customHeight="1">
      <c r="A17" s="3199" t="s">
        <v>849</v>
      </c>
      <c r="B17" s="1081" t="s">
        <v>1294</v>
      </c>
      <c r="C17" s="1082">
        <f t="shared" si="0"/>
        <v>214267</v>
      </c>
      <c r="D17" s="1082">
        <v>190569</v>
      </c>
      <c r="E17" s="1082">
        <v>88</v>
      </c>
      <c r="F17" s="1082">
        <v>6182</v>
      </c>
      <c r="G17" s="1082">
        <v>650</v>
      </c>
      <c r="H17" s="1082">
        <v>16530</v>
      </c>
      <c r="I17" s="1082">
        <v>1</v>
      </c>
      <c r="J17" s="1084">
        <v>247</v>
      </c>
    </row>
    <row r="18" spans="1:11" s="1085" customFormat="1" ht="18" customHeight="1">
      <c r="A18" s="3199"/>
      <c r="B18" s="1081" t="s">
        <v>0</v>
      </c>
      <c r="C18" s="656">
        <f t="shared" si="0"/>
        <v>99.999999999999986</v>
      </c>
      <c r="D18" s="1086">
        <f t="shared" ref="D18:J18" si="5">D17/$C17*100</f>
        <v>88.93996742382167</v>
      </c>
      <c r="E18" s="1086">
        <f t="shared" si="5"/>
        <v>4.1070253468802942E-2</v>
      </c>
      <c r="F18" s="1086">
        <f t="shared" si="5"/>
        <v>2.8851853061834065</v>
      </c>
      <c r="G18" s="1086">
        <f t="shared" si="5"/>
        <v>0.30335982675820355</v>
      </c>
      <c r="H18" s="1086">
        <f t="shared" si="5"/>
        <v>7.7146737481740075</v>
      </c>
      <c r="I18" s="1086">
        <f t="shared" si="5"/>
        <v>4.6670742578185158E-4</v>
      </c>
      <c r="J18" s="1087">
        <f t="shared" si="5"/>
        <v>0.11527673416811735</v>
      </c>
    </row>
    <row r="19" spans="1:11" s="1085" customFormat="1" ht="18" customHeight="1">
      <c r="A19" s="3199" t="s">
        <v>850</v>
      </c>
      <c r="B19" s="1081" t="s">
        <v>1299</v>
      </c>
      <c r="C19" s="1082">
        <f t="shared" si="0"/>
        <v>216431</v>
      </c>
      <c r="D19" s="1082">
        <v>191777</v>
      </c>
      <c r="E19" s="1082">
        <v>120</v>
      </c>
      <c r="F19" s="1082">
        <v>6331</v>
      </c>
      <c r="G19" s="1082">
        <v>673</v>
      </c>
      <c r="H19" s="1082">
        <v>17159</v>
      </c>
      <c r="I19" s="1082">
        <v>1</v>
      </c>
      <c r="J19" s="1084">
        <v>370</v>
      </c>
    </row>
    <row r="20" spans="1:11" s="1085" customFormat="1" ht="18" customHeight="1">
      <c r="A20" s="3199"/>
      <c r="B20" s="1081" t="s">
        <v>0</v>
      </c>
      <c r="C20" s="656">
        <f t="shared" si="0"/>
        <v>100</v>
      </c>
      <c r="D20" s="1086">
        <f t="shared" ref="D20:J20" si="6">D19/$C19*100</f>
        <v>88.608840692876711</v>
      </c>
      <c r="E20" s="1086">
        <f t="shared" si="6"/>
        <v>5.5444922400210692E-2</v>
      </c>
      <c r="F20" s="1086">
        <f t="shared" si="6"/>
        <v>2.9251816976311158</v>
      </c>
      <c r="G20" s="1086">
        <f t="shared" si="6"/>
        <v>0.31095360646118164</v>
      </c>
      <c r="H20" s="1086">
        <f t="shared" si="6"/>
        <v>7.9281618622101275</v>
      </c>
      <c r="I20" s="1086">
        <f t="shared" si="6"/>
        <v>4.6204102000175579E-4</v>
      </c>
      <c r="J20" s="1087">
        <f t="shared" si="6"/>
        <v>0.17095517740064964</v>
      </c>
    </row>
    <row r="21" spans="1:11" s="1085" customFormat="1" ht="18" customHeight="1">
      <c r="A21" s="3199" t="s">
        <v>1300</v>
      </c>
      <c r="B21" s="1081" t="s">
        <v>1301</v>
      </c>
      <c r="C21" s="1082">
        <f t="shared" si="0"/>
        <v>207676</v>
      </c>
      <c r="D21" s="1082">
        <v>182479</v>
      </c>
      <c r="E21" s="1082">
        <v>144</v>
      </c>
      <c r="F21" s="1082">
        <v>6452</v>
      </c>
      <c r="G21" s="1082">
        <v>660</v>
      </c>
      <c r="H21" s="1082">
        <v>17693</v>
      </c>
      <c r="I21" s="1082">
        <v>1</v>
      </c>
      <c r="J21" s="1084">
        <v>247</v>
      </c>
    </row>
    <row r="22" spans="1:11" s="1085" customFormat="1" ht="18" customHeight="1">
      <c r="A22" s="3202"/>
      <c r="B22" s="1088" t="s">
        <v>0</v>
      </c>
      <c r="C22" s="663">
        <f t="shared" si="0"/>
        <v>99.999999999999986</v>
      </c>
      <c r="D22" s="1089">
        <f t="shared" ref="D22:J22" si="7">D21/$C21*100</f>
        <v>87.86715845836784</v>
      </c>
      <c r="E22" s="1089">
        <f t="shared" si="7"/>
        <v>6.9338777711435123E-2</v>
      </c>
      <c r="F22" s="1089">
        <f t="shared" si="7"/>
        <v>3.1067624569040238</v>
      </c>
      <c r="G22" s="1089">
        <f t="shared" si="7"/>
        <v>0.31780273117741092</v>
      </c>
      <c r="H22" s="1089">
        <f t="shared" si="7"/>
        <v>8.5195207920029272</v>
      </c>
      <c r="I22" s="1089">
        <f t="shared" si="7"/>
        <v>4.8151928966274385E-4</v>
      </c>
      <c r="J22" s="1090">
        <f t="shared" si="7"/>
        <v>0.11893526454669774</v>
      </c>
      <c r="K22" s="1091"/>
    </row>
    <row r="23" spans="1:11" s="665" customFormat="1" ht="14.25">
      <c r="A23" s="1092" t="s">
        <v>1302</v>
      </c>
      <c r="B23" s="1093"/>
    </row>
    <row r="24" spans="1:11" s="665" customFormat="1" ht="29.25" customHeight="1">
      <c r="A24" s="3201" t="s">
        <v>1303</v>
      </c>
      <c r="B24" s="3201"/>
      <c r="C24" s="3201"/>
      <c r="D24" s="3201"/>
      <c r="E24" s="3201"/>
      <c r="F24" s="1094"/>
      <c r="G24" s="1094"/>
      <c r="H24" s="1094"/>
      <c r="I24" s="1094"/>
      <c r="J24" s="1094"/>
      <c r="K24" s="1094"/>
    </row>
    <row r="25" spans="1:11">
      <c r="A25" s="1095"/>
      <c r="B25" s="1081"/>
    </row>
    <row r="26" spans="1:11">
      <c r="A26" s="1095"/>
      <c r="B26" s="1081"/>
    </row>
    <row r="28" spans="1:11">
      <c r="E28" s="1095"/>
    </row>
  </sheetData>
  <mergeCells count="13">
    <mergeCell ref="A24:E24"/>
    <mergeCell ref="A11:A12"/>
    <mergeCell ref="A13:A14"/>
    <mergeCell ref="A15:A16"/>
    <mergeCell ref="A17:A18"/>
    <mergeCell ref="A19:A20"/>
    <mergeCell ref="A21:A22"/>
    <mergeCell ref="A9:A10"/>
    <mergeCell ref="A1:J1"/>
    <mergeCell ref="A2:B2"/>
    <mergeCell ref="A3:A4"/>
    <mergeCell ref="A5:A6"/>
    <mergeCell ref="A7:A8"/>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9" orientation="landscape" r:id="rId1"/>
  <headerFooter differentOddEven="1" scaleWithDoc="0">
    <oddHeader>&amp;L&amp;"Times New Roman,標準"&amp;8 107&amp;"標楷體,標準"年犯罪狀況及其分析</oddHeader>
    <evenHeader>&amp;R&amp;"標楷體,標準"&amp;8第二篇　犯罪之處理</even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K36"/>
  <sheetViews>
    <sheetView showGridLines="0" zoomScaleNormal="100" workbookViewId="0">
      <selection activeCell="G18" sqref="G18"/>
    </sheetView>
  </sheetViews>
  <sheetFormatPr defaultColWidth="9" defaultRowHeight="15"/>
  <cols>
    <col min="1" max="1" width="25.625" style="6" customWidth="1"/>
    <col min="2" max="9" width="12.875" style="6" customWidth="1"/>
    <col min="10" max="16384" width="9" style="6"/>
  </cols>
  <sheetData>
    <row r="1" spans="1:11" ht="24.75" customHeight="1">
      <c r="A1" s="2850" t="s">
        <v>117</v>
      </c>
      <c r="B1" s="2850"/>
      <c r="C1" s="2850"/>
      <c r="D1" s="2850"/>
      <c r="E1" s="2850"/>
      <c r="F1" s="2850"/>
      <c r="G1" s="2850"/>
      <c r="H1" s="2850"/>
      <c r="I1" s="2850"/>
    </row>
    <row r="2" spans="1:11" ht="18.75" customHeight="1">
      <c r="A2" s="2851"/>
      <c r="B2" s="2851" t="s">
        <v>118</v>
      </c>
      <c r="C2" s="2853"/>
      <c r="D2" s="2854" t="s">
        <v>119</v>
      </c>
      <c r="E2" s="2853"/>
      <c r="F2" s="2854" t="s">
        <v>120</v>
      </c>
      <c r="G2" s="2853"/>
      <c r="H2" s="2854" t="s">
        <v>121</v>
      </c>
      <c r="I2" s="2855"/>
    </row>
    <row r="3" spans="1:11" ht="18.75" customHeight="1">
      <c r="A3" s="2852"/>
      <c r="B3" s="256"/>
      <c r="C3" s="296" t="s">
        <v>122</v>
      </c>
      <c r="D3" s="207"/>
      <c r="E3" s="296" t="s">
        <v>122</v>
      </c>
      <c r="F3" s="207"/>
      <c r="G3" s="296" t="s">
        <v>122</v>
      </c>
      <c r="H3" s="207"/>
      <c r="I3" s="297" t="s">
        <v>122</v>
      </c>
    </row>
    <row r="4" spans="1:11" s="289" customFormat="1" ht="19.899999999999999" customHeight="1">
      <c r="A4" s="479" t="s">
        <v>123</v>
      </c>
      <c r="B4" s="480">
        <v>191301</v>
      </c>
      <c r="C4" s="285">
        <v>-7680</v>
      </c>
      <c r="D4" s="286">
        <v>810.73395980463067</v>
      </c>
      <c r="E4" s="474">
        <v>-33.116040195369351</v>
      </c>
      <c r="F4" s="287">
        <v>182112</v>
      </c>
      <c r="G4" s="476">
        <v>-3736</v>
      </c>
      <c r="H4" s="287">
        <v>195498</v>
      </c>
      <c r="I4" s="288">
        <v>-467</v>
      </c>
    </row>
    <row r="5" spans="1:11" ht="20.100000000000001" customHeight="1">
      <c r="A5" s="466" t="s">
        <v>484</v>
      </c>
      <c r="B5" s="481">
        <v>13193</v>
      </c>
      <c r="C5" s="208">
        <v>972</v>
      </c>
      <c r="D5" s="210">
        <v>55.91</v>
      </c>
      <c r="E5" s="474">
        <v>4.0823545503737577</v>
      </c>
      <c r="F5" s="211">
        <v>12833</v>
      </c>
      <c r="G5" s="477">
        <v>1191</v>
      </c>
      <c r="H5" s="211">
        <v>18330</v>
      </c>
      <c r="I5" s="209">
        <v>2219</v>
      </c>
    </row>
    <row r="6" spans="1:11" ht="20.100000000000001" customHeight="1">
      <c r="A6" s="466" t="s">
        <v>485</v>
      </c>
      <c r="B6" s="481">
        <v>8990</v>
      </c>
      <c r="C6" s="208">
        <v>784</v>
      </c>
      <c r="D6" s="210">
        <v>38.1</v>
      </c>
      <c r="E6" s="474">
        <v>3.2994387889998436</v>
      </c>
      <c r="F6" s="211">
        <v>8553</v>
      </c>
      <c r="G6" s="477">
        <v>849</v>
      </c>
      <c r="H6" s="211">
        <v>10921</v>
      </c>
      <c r="I6" s="209">
        <v>1190</v>
      </c>
    </row>
    <row r="7" spans="1:11" ht="20.100000000000001" customHeight="1">
      <c r="A7" s="466" t="s">
        <v>486</v>
      </c>
      <c r="B7" s="481">
        <v>8083</v>
      </c>
      <c r="C7" s="208">
        <v>472</v>
      </c>
      <c r="D7" s="210">
        <v>34.26</v>
      </c>
      <c r="E7" s="474">
        <v>1.982755133204698</v>
      </c>
      <c r="F7" s="211">
        <v>7034</v>
      </c>
      <c r="G7" s="477">
        <v>469</v>
      </c>
      <c r="H7" s="211">
        <v>7302</v>
      </c>
      <c r="I7" s="209">
        <v>453</v>
      </c>
    </row>
    <row r="8" spans="1:11" ht="20.100000000000001" customHeight="1">
      <c r="A8" s="466" t="s">
        <v>487</v>
      </c>
      <c r="B8" s="481">
        <v>7801</v>
      </c>
      <c r="C8" s="208">
        <v>419</v>
      </c>
      <c r="D8" s="210">
        <v>33.06</v>
      </c>
      <c r="E8" s="474">
        <v>1.7539138606381748</v>
      </c>
      <c r="F8" s="211">
        <v>6718</v>
      </c>
      <c r="G8" s="477">
        <v>639</v>
      </c>
      <c r="H8" s="211">
        <v>5639</v>
      </c>
      <c r="I8" s="209">
        <v>485</v>
      </c>
    </row>
    <row r="9" spans="1:11" ht="20.100000000000001" customHeight="1">
      <c r="A9" s="466" t="s">
        <v>488</v>
      </c>
      <c r="B9" s="481">
        <v>4858</v>
      </c>
      <c r="C9" s="212">
        <v>316</v>
      </c>
      <c r="D9" s="210">
        <v>20.59</v>
      </c>
      <c r="E9" s="474">
        <v>1.3279784279353279</v>
      </c>
      <c r="F9" s="211">
        <v>4858</v>
      </c>
      <c r="G9" s="477">
        <v>316</v>
      </c>
      <c r="H9" s="211">
        <v>9792</v>
      </c>
      <c r="I9" s="209">
        <v>-196</v>
      </c>
    </row>
    <row r="10" spans="1:11" ht="20.100000000000001" customHeight="1">
      <c r="A10" s="466" t="s">
        <v>489</v>
      </c>
      <c r="B10" s="481">
        <v>669</v>
      </c>
      <c r="C10" s="208">
        <v>196</v>
      </c>
      <c r="D10" s="210">
        <v>2.84</v>
      </c>
      <c r="E10" s="474">
        <v>0.83406952805226942</v>
      </c>
      <c r="F10" s="211">
        <v>658</v>
      </c>
      <c r="G10" s="477">
        <v>196</v>
      </c>
      <c r="H10" s="211">
        <v>963</v>
      </c>
      <c r="I10" s="209">
        <v>342</v>
      </c>
    </row>
    <row r="11" spans="1:11" ht="20.100000000000001" customHeight="1">
      <c r="A11" s="466" t="s">
        <v>490</v>
      </c>
      <c r="B11" s="481">
        <v>23647</v>
      </c>
      <c r="C11" s="208">
        <v>177</v>
      </c>
      <c r="D11" s="210">
        <v>100.22</v>
      </c>
      <c r="E11" s="474">
        <v>0.68683260758301401</v>
      </c>
      <c r="F11" s="211">
        <v>21936</v>
      </c>
      <c r="G11" s="477">
        <v>258</v>
      </c>
      <c r="H11" s="211">
        <v>29581</v>
      </c>
      <c r="I11" s="209">
        <v>2344</v>
      </c>
    </row>
    <row r="12" spans="1:11" ht="20.100000000000001" customHeight="1">
      <c r="A12" s="466" t="s">
        <v>491</v>
      </c>
      <c r="B12" s="481">
        <v>3033</v>
      </c>
      <c r="C12" s="212">
        <v>166</v>
      </c>
      <c r="D12" s="210">
        <v>12.85</v>
      </c>
      <c r="E12" s="474">
        <v>0.6914320019574145</v>
      </c>
      <c r="F12" s="211">
        <v>2952</v>
      </c>
      <c r="G12" s="477">
        <v>134</v>
      </c>
      <c r="H12" s="211">
        <v>2827</v>
      </c>
      <c r="I12" s="209">
        <v>121</v>
      </c>
    </row>
    <row r="13" spans="1:11" ht="20.100000000000001" customHeight="1">
      <c r="A13" s="466" t="s">
        <v>492</v>
      </c>
      <c r="B13" s="481">
        <v>725</v>
      </c>
      <c r="C13" s="208">
        <v>65</v>
      </c>
      <c r="D13" s="210">
        <v>3.07</v>
      </c>
      <c r="E13" s="474">
        <v>0.27102724844502735</v>
      </c>
      <c r="F13" s="211">
        <v>675</v>
      </c>
      <c r="G13" s="477">
        <v>98</v>
      </c>
      <c r="H13" s="211">
        <v>678</v>
      </c>
      <c r="I13" s="469">
        <v>104</v>
      </c>
      <c r="J13" s="7"/>
      <c r="K13" s="206"/>
    </row>
    <row r="14" spans="1:11" ht="20.100000000000001" customHeight="1">
      <c r="A14" s="466" t="s">
        <v>493</v>
      </c>
      <c r="B14" s="481">
        <v>649</v>
      </c>
      <c r="C14" s="212">
        <v>33</v>
      </c>
      <c r="D14" s="210">
        <v>2.75</v>
      </c>
      <c r="E14" s="474">
        <v>0.13762543188202558</v>
      </c>
      <c r="F14" s="211">
        <v>632</v>
      </c>
      <c r="G14" s="477">
        <v>42</v>
      </c>
      <c r="H14" s="211">
        <v>849</v>
      </c>
      <c r="I14" s="209">
        <v>54</v>
      </c>
    </row>
    <row r="15" spans="1:11" ht="20.100000000000001" customHeight="1">
      <c r="A15" s="466" t="s">
        <v>495</v>
      </c>
      <c r="B15" s="481">
        <v>446</v>
      </c>
      <c r="C15" s="212">
        <v>-13</v>
      </c>
      <c r="D15" s="210">
        <v>1.89</v>
      </c>
      <c r="E15" s="474">
        <v>-5.6558322672321859E-2</v>
      </c>
      <c r="F15" s="213">
        <v>439</v>
      </c>
      <c r="G15" s="477">
        <v>-9</v>
      </c>
      <c r="H15" s="213">
        <v>435</v>
      </c>
      <c r="I15" s="209">
        <v>-18</v>
      </c>
    </row>
    <row r="16" spans="1:11" ht="20.100000000000001" customHeight="1">
      <c r="A16" s="466" t="s">
        <v>496</v>
      </c>
      <c r="B16" s="481">
        <v>100</v>
      </c>
      <c r="C16" s="212">
        <v>-14</v>
      </c>
      <c r="D16" s="210">
        <v>0.42</v>
      </c>
      <c r="E16" s="474">
        <v>-6.3458929814040721E-2</v>
      </c>
      <c r="F16" s="211">
        <v>98</v>
      </c>
      <c r="G16" s="477">
        <v>-8</v>
      </c>
      <c r="H16" s="211">
        <v>102</v>
      </c>
      <c r="I16" s="209">
        <v>-14</v>
      </c>
    </row>
    <row r="17" spans="1:11" ht="20.100000000000001" customHeight="1">
      <c r="A17" s="466" t="s">
        <v>497</v>
      </c>
      <c r="B17" s="481">
        <v>20</v>
      </c>
      <c r="C17" s="208">
        <v>-15</v>
      </c>
      <c r="D17" s="210">
        <v>0.08</v>
      </c>
      <c r="E17" s="474">
        <v>-6.8430373188521285E-2</v>
      </c>
      <c r="F17" s="211">
        <v>23</v>
      </c>
      <c r="G17" s="477">
        <v>-9</v>
      </c>
      <c r="H17" s="211">
        <v>51</v>
      </c>
      <c r="I17" s="209">
        <v>-18</v>
      </c>
    </row>
    <row r="18" spans="1:11" ht="20.100000000000001" customHeight="1">
      <c r="A18" s="466" t="s">
        <v>498</v>
      </c>
      <c r="B18" s="481">
        <v>192</v>
      </c>
      <c r="C18" s="212">
        <v>-15</v>
      </c>
      <c r="D18" s="210">
        <v>0.81</v>
      </c>
      <c r="E18" s="474">
        <v>-6.7859635714968669E-2</v>
      </c>
      <c r="F18" s="211">
        <v>196</v>
      </c>
      <c r="G18" s="477">
        <v>-15</v>
      </c>
      <c r="H18" s="211">
        <v>325</v>
      </c>
      <c r="I18" s="209">
        <v>-37</v>
      </c>
      <c r="J18" s="199"/>
    </row>
    <row r="19" spans="1:11" ht="20.100000000000001" customHeight="1">
      <c r="A19" s="466" t="s">
        <v>499</v>
      </c>
      <c r="B19" s="481">
        <v>150</v>
      </c>
      <c r="C19" s="212">
        <v>-18</v>
      </c>
      <c r="D19" s="210">
        <v>0.64</v>
      </c>
      <c r="E19" s="474">
        <v>-7.246579130490205E-2</v>
      </c>
      <c r="F19" s="211">
        <v>142</v>
      </c>
      <c r="G19" s="477">
        <v>-30</v>
      </c>
      <c r="H19" s="211">
        <v>145</v>
      </c>
      <c r="I19" s="209">
        <v>-38</v>
      </c>
    </row>
    <row r="20" spans="1:11" ht="20.100000000000001" customHeight="1">
      <c r="A20" s="466" t="s">
        <v>494</v>
      </c>
      <c r="B20" s="481">
        <v>228</v>
      </c>
      <c r="C20" s="473">
        <v>-21</v>
      </c>
      <c r="D20" s="210">
        <v>0.97</v>
      </c>
      <c r="E20" s="474">
        <v>-0.09</v>
      </c>
      <c r="F20" s="211">
        <v>227</v>
      </c>
      <c r="G20" s="477">
        <v>-18</v>
      </c>
      <c r="H20" s="211">
        <v>680</v>
      </c>
      <c r="I20" s="209">
        <v>-45</v>
      </c>
    </row>
    <row r="21" spans="1:11" ht="20.100000000000001" customHeight="1">
      <c r="A21" s="466" t="s">
        <v>500</v>
      </c>
      <c r="B21" s="481">
        <v>302</v>
      </c>
      <c r="C21" s="212">
        <v>-21</v>
      </c>
      <c r="D21" s="210">
        <v>1.28</v>
      </c>
      <c r="E21" s="474">
        <v>-8.980030113978188E-2</v>
      </c>
      <c r="F21" s="211">
        <v>314</v>
      </c>
      <c r="G21" s="477">
        <v>-4</v>
      </c>
      <c r="H21" s="211">
        <v>695</v>
      </c>
      <c r="I21" s="209">
        <v>-65</v>
      </c>
    </row>
    <row r="22" spans="1:11" ht="20.100000000000001" customHeight="1">
      <c r="A22" s="466" t="s">
        <v>501</v>
      </c>
      <c r="B22" s="481">
        <v>194</v>
      </c>
      <c r="C22" s="214">
        <v>-34</v>
      </c>
      <c r="D22" s="210">
        <v>0.82</v>
      </c>
      <c r="E22" s="474">
        <v>-0.14691785962808146</v>
      </c>
      <c r="F22" s="211">
        <v>207</v>
      </c>
      <c r="G22" s="477">
        <v>-11</v>
      </c>
      <c r="H22" s="211">
        <v>200</v>
      </c>
      <c r="I22" s="209">
        <v>-34</v>
      </c>
    </row>
    <row r="23" spans="1:11" ht="20.100000000000001" customHeight="1">
      <c r="A23" s="466" t="s">
        <v>502</v>
      </c>
      <c r="B23" s="481">
        <v>5403</v>
      </c>
      <c r="C23" s="214">
        <v>-36</v>
      </c>
      <c r="D23" s="210">
        <v>22.9</v>
      </c>
      <c r="E23" s="474">
        <v>-0.16607999349620428</v>
      </c>
      <c r="F23" s="215">
        <v>4483</v>
      </c>
      <c r="G23" s="477">
        <v>384</v>
      </c>
      <c r="H23" s="215">
        <v>4838</v>
      </c>
      <c r="I23" s="209">
        <v>471</v>
      </c>
    </row>
    <row r="24" spans="1:11" ht="20.100000000000001" customHeight="1">
      <c r="A24" s="466" t="s">
        <v>503</v>
      </c>
      <c r="B24" s="481">
        <v>559</v>
      </c>
      <c r="C24" s="214">
        <v>-36</v>
      </c>
      <c r="D24" s="210">
        <v>2.37</v>
      </c>
      <c r="E24" s="474">
        <v>-0.15331634420486129</v>
      </c>
      <c r="F24" s="211">
        <v>546</v>
      </c>
      <c r="G24" s="477">
        <v>-47</v>
      </c>
      <c r="H24" s="211">
        <v>704</v>
      </c>
      <c r="I24" s="209">
        <v>-134</v>
      </c>
      <c r="J24" s="7"/>
      <c r="K24" s="206"/>
    </row>
    <row r="25" spans="1:11" ht="20.100000000000001" customHeight="1">
      <c r="A25" s="466" t="s">
        <v>504</v>
      </c>
      <c r="B25" s="481">
        <v>1572</v>
      </c>
      <c r="C25" s="214">
        <v>-50</v>
      </c>
      <c r="D25" s="210">
        <v>6.66</v>
      </c>
      <c r="E25" s="474">
        <v>-0.21868758033661351</v>
      </c>
      <c r="F25" s="211">
        <v>1572</v>
      </c>
      <c r="G25" s="477">
        <v>-46</v>
      </c>
      <c r="H25" s="211">
        <v>1565</v>
      </c>
      <c r="I25" s="209">
        <v>-20</v>
      </c>
      <c r="J25" s="7"/>
      <c r="K25" s="206"/>
    </row>
    <row r="26" spans="1:11" ht="20.100000000000001" customHeight="1">
      <c r="A26" s="466" t="s">
        <v>505</v>
      </c>
      <c r="B26" s="481">
        <v>137</v>
      </c>
      <c r="C26" s="214">
        <v>-55</v>
      </c>
      <c r="D26" s="210">
        <v>0.57999999999999996</v>
      </c>
      <c r="E26" s="474">
        <v>-0.23424661863417384</v>
      </c>
      <c r="F26" s="211">
        <v>142</v>
      </c>
      <c r="G26" s="477">
        <v>-59</v>
      </c>
      <c r="H26" s="211">
        <v>151</v>
      </c>
      <c r="I26" s="209">
        <v>-47</v>
      </c>
      <c r="J26" s="7"/>
      <c r="K26" s="206"/>
    </row>
    <row r="27" spans="1:11" ht="20.100000000000001" customHeight="1">
      <c r="A27" s="466" t="s">
        <v>506</v>
      </c>
      <c r="B27" s="481">
        <v>115</v>
      </c>
      <c r="C27" s="214">
        <v>-58</v>
      </c>
      <c r="D27" s="210">
        <v>0.49</v>
      </c>
      <c r="E27" s="474">
        <v>-0.24367013033183371</v>
      </c>
      <c r="F27" s="211">
        <v>115</v>
      </c>
      <c r="G27" s="477">
        <v>-58</v>
      </c>
      <c r="H27" s="211">
        <v>121</v>
      </c>
      <c r="I27" s="209">
        <v>-54</v>
      </c>
      <c r="J27" s="7"/>
      <c r="K27" s="206"/>
    </row>
    <row r="28" spans="1:11" ht="20.100000000000001" customHeight="1">
      <c r="A28" s="466" t="s">
        <v>507</v>
      </c>
      <c r="B28" s="481">
        <v>1847</v>
      </c>
      <c r="C28" s="214">
        <v>-81</v>
      </c>
      <c r="D28" s="210">
        <v>7.83</v>
      </c>
      <c r="E28" s="474">
        <v>-0.34639312878482897</v>
      </c>
      <c r="F28" s="213">
        <v>705</v>
      </c>
      <c r="G28" s="477">
        <v>178</v>
      </c>
      <c r="H28" s="213">
        <v>553</v>
      </c>
      <c r="I28" s="209">
        <v>107</v>
      </c>
      <c r="J28" s="7"/>
      <c r="K28" s="206"/>
    </row>
    <row r="29" spans="1:11" ht="20.100000000000001" customHeight="1">
      <c r="A29" s="466" t="s">
        <v>508</v>
      </c>
      <c r="B29" s="481">
        <v>575</v>
      </c>
      <c r="C29" s="214">
        <v>-110</v>
      </c>
      <c r="D29" s="210">
        <v>2.44</v>
      </c>
      <c r="E29" s="474">
        <v>-0.46499444668963053</v>
      </c>
      <c r="F29" s="211">
        <v>568</v>
      </c>
      <c r="G29" s="477">
        <v>-88</v>
      </c>
      <c r="H29" s="211">
        <v>992</v>
      </c>
      <c r="I29" s="209">
        <v>-158</v>
      </c>
      <c r="J29" s="7"/>
      <c r="K29" s="206"/>
    </row>
    <row r="30" spans="1:11" ht="20.100000000000001" customHeight="1">
      <c r="A30" s="466" t="s">
        <v>509</v>
      </c>
      <c r="B30" s="481">
        <v>995</v>
      </c>
      <c r="C30" s="214">
        <v>-120</v>
      </c>
      <c r="D30" s="210">
        <v>4.22</v>
      </c>
      <c r="E30" s="474">
        <v>-0.50856760300574866</v>
      </c>
      <c r="F30" s="211">
        <v>947</v>
      </c>
      <c r="G30" s="477">
        <v>-72</v>
      </c>
      <c r="H30" s="211">
        <v>888</v>
      </c>
      <c r="I30" s="209">
        <v>-44</v>
      </c>
      <c r="J30" s="7"/>
      <c r="K30" s="206"/>
    </row>
    <row r="31" spans="1:11" ht="20.100000000000001" customHeight="1">
      <c r="A31" s="466" t="s">
        <v>510</v>
      </c>
      <c r="B31" s="481">
        <v>2964</v>
      </c>
      <c r="C31" s="214">
        <v>-127</v>
      </c>
      <c r="D31" s="210">
        <v>12.56</v>
      </c>
      <c r="E31" s="474">
        <v>-0.54852238644911999</v>
      </c>
      <c r="F31" s="211">
        <v>2610</v>
      </c>
      <c r="G31" s="477">
        <v>-5</v>
      </c>
      <c r="H31" s="211">
        <v>2671</v>
      </c>
      <c r="I31" s="209">
        <v>3</v>
      </c>
      <c r="J31" s="7"/>
      <c r="K31" s="206"/>
    </row>
    <row r="32" spans="1:11" ht="20.100000000000001" customHeight="1">
      <c r="A32" s="466" t="s">
        <v>511</v>
      </c>
      <c r="B32" s="481">
        <v>1218</v>
      </c>
      <c r="C32" s="214">
        <v>-322</v>
      </c>
      <c r="D32" s="210">
        <v>5.16</v>
      </c>
      <c r="E32" s="474">
        <v>-1.3709364202949352</v>
      </c>
      <c r="F32" s="211">
        <v>1213</v>
      </c>
      <c r="G32" s="477">
        <v>-308</v>
      </c>
      <c r="H32" s="211">
        <v>1372</v>
      </c>
      <c r="I32" s="209">
        <v>-371</v>
      </c>
      <c r="J32" s="7"/>
      <c r="K32" s="206"/>
    </row>
    <row r="33" spans="1:11" ht="20.100000000000001" customHeight="1">
      <c r="A33" s="466" t="s">
        <v>512</v>
      </c>
      <c r="B33" s="481">
        <v>59876</v>
      </c>
      <c r="C33" s="214">
        <v>-4277</v>
      </c>
      <c r="D33" s="210">
        <v>253.75</v>
      </c>
      <c r="E33" s="474">
        <v>-18.314392318948705</v>
      </c>
      <c r="F33" s="211">
        <v>59841</v>
      </c>
      <c r="G33" s="477">
        <v>-4297</v>
      </c>
      <c r="H33" s="211">
        <v>59918</v>
      </c>
      <c r="I33" s="209">
        <v>-5258</v>
      </c>
      <c r="J33" s="7"/>
      <c r="K33" s="206"/>
    </row>
    <row r="34" spans="1:11" ht="20.100000000000001" customHeight="1">
      <c r="A34" s="466" t="s">
        <v>513</v>
      </c>
      <c r="B34" s="481">
        <v>42272</v>
      </c>
      <c r="C34" s="214">
        <v>-5319</v>
      </c>
      <c r="D34" s="210">
        <v>179.15</v>
      </c>
      <c r="E34" s="474">
        <v>-22.677139726140467</v>
      </c>
      <c r="F34" s="471">
        <v>40406</v>
      </c>
      <c r="G34" s="477">
        <v>-2856</v>
      </c>
      <c r="H34" s="471">
        <v>31398</v>
      </c>
      <c r="I34" s="467">
        <v>-630</v>
      </c>
      <c r="J34" s="7"/>
      <c r="K34" s="206"/>
    </row>
    <row r="35" spans="1:11" ht="20.100000000000001" customHeight="1">
      <c r="A35" s="468" t="s">
        <v>514</v>
      </c>
      <c r="B35" s="482">
        <v>467</v>
      </c>
      <c r="C35" s="216">
        <v>-559</v>
      </c>
      <c r="D35" s="217">
        <v>1.9791467855827336</v>
      </c>
      <c r="E35" s="475">
        <v>-2.3719835827436326</v>
      </c>
      <c r="F35" s="472">
        <v>469</v>
      </c>
      <c r="G35" s="478">
        <v>-550</v>
      </c>
      <c r="H35" s="472">
        <v>812</v>
      </c>
      <c r="I35" s="470">
        <v>-1179</v>
      </c>
      <c r="J35" s="7"/>
      <c r="K35" s="206"/>
    </row>
    <row r="36" spans="1:11" ht="15.75">
      <c r="A36" s="2848" t="s">
        <v>124</v>
      </c>
      <c r="B36" s="2849"/>
      <c r="C36" s="2849"/>
    </row>
  </sheetData>
  <sortState ref="A5:C34">
    <sortCondition descending="1" ref="C5"/>
  </sortState>
  <mergeCells count="7">
    <mergeCell ref="A36:C36"/>
    <mergeCell ref="A1:I1"/>
    <mergeCell ref="A2:A3"/>
    <mergeCell ref="B2:C2"/>
    <mergeCell ref="D2:E2"/>
    <mergeCell ref="F2:G2"/>
    <mergeCell ref="H2:I2"/>
  </mergeCells>
  <phoneticPr fontId="6" type="noConversion"/>
  <printOptions horizontalCentered="1" verticalCentered="1"/>
  <pageMargins left="0.70866141732283472" right="0.70866141732283472" top="0.74803149606299213" bottom="0.74803149606299213" header="0.31496062992125984" footer="0.31496062992125984"/>
  <pageSetup paperSize="11" scale="45" orientation="landscape" r:id="rId1"/>
  <headerFooter differentOddEven="1" scaleWithDoc="0">
    <oddHeader>&amp;L&amp;"Times New Roman,標準"&amp;8 107&amp;"標楷體,標準"年犯罪狀況及其分析</oddHeader>
    <evenHeader>&amp;R&amp;"標楷體,標準"&amp;8第一篇　&amp;"Times New Roman,標準"107&amp;"標楷體,標準"年犯罪狀況及近&amp;"Times New Roman,標準"10&amp;"標楷體,標準"年犯罪趨勢分析</even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M19"/>
  <sheetViews>
    <sheetView showGridLines="0" workbookViewId="0">
      <selection activeCell="B16" sqref="B16"/>
    </sheetView>
  </sheetViews>
  <sheetFormatPr defaultColWidth="9" defaultRowHeight="15.75"/>
  <cols>
    <col min="1" max="1" width="11.25" style="1097" customWidth="1"/>
    <col min="2" max="2" width="13.625" style="1097" customWidth="1"/>
    <col min="3" max="3" width="6.625" style="1097" customWidth="1"/>
    <col min="4" max="5" width="13.625" style="1097" customWidth="1"/>
    <col min="6" max="6" width="10.625" style="1097" customWidth="1"/>
    <col min="7" max="7" width="6.625" style="1097" customWidth="1"/>
    <col min="8" max="8" width="10.625" style="1097" customWidth="1"/>
    <col min="9" max="11" width="9.625" style="1097" customWidth="1"/>
    <col min="12" max="12" width="15.625" style="1097" customWidth="1"/>
    <col min="13" max="16384" width="9" style="1097"/>
  </cols>
  <sheetData>
    <row r="1" spans="1:13" ht="20.25">
      <c r="A1" s="3204" t="s">
        <v>1304</v>
      </c>
      <c r="B1" s="3205"/>
      <c r="C1" s="3205"/>
      <c r="D1" s="3205"/>
      <c r="E1" s="3205"/>
      <c r="F1" s="3205"/>
      <c r="G1" s="3205"/>
      <c r="H1" s="3205"/>
      <c r="I1" s="3205"/>
      <c r="J1" s="3205"/>
      <c r="K1" s="3205"/>
      <c r="L1" s="3205"/>
    </row>
    <row r="2" spans="1:13">
      <c r="A2" s="1098" t="s">
        <v>1305</v>
      </c>
      <c r="B2" s="1099"/>
      <c r="C2" s="1099"/>
      <c r="D2" s="1099"/>
      <c r="E2" s="1099"/>
      <c r="F2" s="1099"/>
      <c r="G2" s="1099"/>
      <c r="H2" s="1099"/>
      <c r="I2" s="1099"/>
      <c r="J2" s="1099"/>
      <c r="K2" s="2834" t="s">
        <v>1306</v>
      </c>
      <c r="L2" s="2834"/>
    </row>
    <row r="3" spans="1:13" ht="29.25" customHeight="1">
      <c r="A3" s="3206" t="s">
        <v>1307</v>
      </c>
      <c r="B3" s="1100" t="s">
        <v>1308</v>
      </c>
      <c r="C3" s="1101"/>
      <c r="D3" s="1101"/>
      <c r="E3" s="1101"/>
      <c r="F3" s="1102" t="s">
        <v>1309</v>
      </c>
      <c r="G3" s="1101"/>
      <c r="H3" s="1101"/>
      <c r="I3" s="1101"/>
      <c r="J3" s="1101"/>
      <c r="K3" s="1101"/>
      <c r="L3" s="3209" t="s">
        <v>1310</v>
      </c>
    </row>
    <row r="4" spans="1:13" ht="9" customHeight="1">
      <c r="A4" s="3207"/>
      <c r="B4" s="3211" t="s">
        <v>1311</v>
      </c>
      <c r="C4" s="3212"/>
      <c r="D4" s="3215" t="s">
        <v>1312</v>
      </c>
      <c r="E4" s="3218" t="s">
        <v>1313</v>
      </c>
      <c r="F4" s="3221" t="s">
        <v>1314</v>
      </c>
      <c r="G4" s="3212"/>
      <c r="H4" s="3223" t="s">
        <v>1315</v>
      </c>
      <c r="I4" s="3223"/>
      <c r="J4" s="3223" t="s">
        <v>1316</v>
      </c>
      <c r="K4" s="3223"/>
      <c r="L4" s="3210"/>
    </row>
    <row r="5" spans="1:13" ht="24.95" customHeight="1">
      <c r="A5" s="3207"/>
      <c r="B5" s="3213"/>
      <c r="C5" s="3214"/>
      <c r="D5" s="3216"/>
      <c r="E5" s="3219"/>
      <c r="F5" s="3222"/>
      <c r="G5" s="3214"/>
      <c r="H5" s="3223"/>
      <c r="I5" s="3223"/>
      <c r="J5" s="3223"/>
      <c r="K5" s="3223"/>
      <c r="L5" s="3210"/>
    </row>
    <row r="6" spans="1:13" ht="24.95" customHeight="1">
      <c r="A6" s="3208"/>
      <c r="B6" s="1103"/>
      <c r="C6" s="1104" t="s">
        <v>1317</v>
      </c>
      <c r="D6" s="3217"/>
      <c r="E6" s="3220"/>
      <c r="F6" s="1105"/>
      <c r="G6" s="1104" t="s">
        <v>1317</v>
      </c>
      <c r="H6" s="1106" t="s">
        <v>1318</v>
      </c>
      <c r="I6" s="1106" t="s">
        <v>1319</v>
      </c>
      <c r="J6" s="1106" t="s">
        <v>1318</v>
      </c>
      <c r="K6" s="1106" t="s">
        <v>1319</v>
      </c>
      <c r="L6" s="1107" t="s">
        <v>1320</v>
      </c>
    </row>
    <row r="7" spans="1:13" s="1115" customFormat="1" ht="29.1" customHeight="1">
      <c r="A7" s="1108" t="s">
        <v>1321</v>
      </c>
      <c r="B7" s="385">
        <v>23140948</v>
      </c>
      <c r="C7" s="1109">
        <v>100</v>
      </c>
      <c r="D7" s="385">
        <v>11635980</v>
      </c>
      <c r="E7" s="1110">
        <v>11504968</v>
      </c>
      <c r="F7" s="1111">
        <f t="shared" ref="F7:F16" si="0">SUM(H7,J7)</f>
        <v>179697</v>
      </c>
      <c r="G7" s="1109">
        <v>100</v>
      </c>
      <c r="H7" s="1112">
        <v>153244</v>
      </c>
      <c r="I7" s="1113">
        <f t="shared" ref="I7:I16" si="1">H7/F7*100</f>
        <v>85.279108721904095</v>
      </c>
      <c r="J7" s="1112">
        <v>26453</v>
      </c>
      <c r="K7" s="1113">
        <f t="shared" ref="K7:K16" si="2">J7/F7*100</f>
        <v>14.720891278095907</v>
      </c>
      <c r="L7" s="1114">
        <f t="shared" ref="L7:L16" si="3">(H7+J7)/B7*100000</f>
        <v>776.53257766276477</v>
      </c>
    </row>
    <row r="8" spans="1:13" s="1115" customFormat="1" ht="29.1" customHeight="1">
      <c r="A8" s="1108" t="s">
        <v>1322</v>
      </c>
      <c r="B8" s="385">
        <v>23193518</v>
      </c>
      <c r="C8" s="1109">
        <v>100</v>
      </c>
      <c r="D8" s="385">
        <v>11640450</v>
      </c>
      <c r="E8" s="1110">
        <v>11553068</v>
      </c>
      <c r="F8" s="1111">
        <f t="shared" si="0"/>
        <v>174929</v>
      </c>
      <c r="G8" s="1109">
        <v>97</v>
      </c>
      <c r="H8" s="1112">
        <v>148490</v>
      </c>
      <c r="I8" s="1113">
        <f t="shared" si="1"/>
        <v>84.885867980723603</v>
      </c>
      <c r="J8" s="1112">
        <v>26439</v>
      </c>
      <c r="K8" s="1113">
        <f t="shared" si="2"/>
        <v>15.114132019276392</v>
      </c>
      <c r="L8" s="1114">
        <f t="shared" si="3"/>
        <v>754.21503542498374</v>
      </c>
    </row>
    <row r="9" spans="1:13" s="1115" customFormat="1" ht="29.1" customHeight="1">
      <c r="A9" s="1108" t="s">
        <v>1323</v>
      </c>
      <c r="B9" s="385">
        <v>23270367</v>
      </c>
      <c r="C9" s="1109">
        <v>101</v>
      </c>
      <c r="D9" s="385">
        <v>11659496</v>
      </c>
      <c r="E9" s="1110">
        <v>11610871</v>
      </c>
      <c r="F9" s="1111">
        <f t="shared" si="0"/>
        <v>173482</v>
      </c>
      <c r="G9" s="1109">
        <v>97</v>
      </c>
      <c r="H9" s="1112">
        <v>147682</v>
      </c>
      <c r="I9" s="1113">
        <f t="shared" si="1"/>
        <v>85.128140095226016</v>
      </c>
      <c r="J9" s="1112">
        <v>25800</v>
      </c>
      <c r="K9" s="1113">
        <f t="shared" si="2"/>
        <v>14.871859904773983</v>
      </c>
      <c r="L9" s="1114">
        <f t="shared" si="3"/>
        <v>745.50607646196556</v>
      </c>
    </row>
    <row r="10" spans="1:13" s="1115" customFormat="1" ht="29.1" customHeight="1">
      <c r="A10" s="1108" t="s">
        <v>1324</v>
      </c>
      <c r="B10" s="385">
        <v>23344670</v>
      </c>
      <c r="C10" s="1109">
        <v>101</v>
      </c>
      <c r="D10" s="385">
        <v>11678996</v>
      </c>
      <c r="E10" s="1110">
        <v>11665674</v>
      </c>
      <c r="F10" s="1111">
        <f t="shared" si="0"/>
        <v>168265</v>
      </c>
      <c r="G10" s="1109">
        <v>94</v>
      </c>
      <c r="H10" s="1112">
        <v>143595</v>
      </c>
      <c r="I10" s="1113">
        <f t="shared" si="1"/>
        <v>85.338602799156092</v>
      </c>
      <c r="J10" s="1112">
        <v>24670</v>
      </c>
      <c r="K10" s="1113">
        <f t="shared" si="2"/>
        <v>14.661397200843906</v>
      </c>
      <c r="L10" s="1114">
        <f t="shared" si="3"/>
        <v>720.78551549454335</v>
      </c>
    </row>
    <row r="11" spans="1:13" s="1115" customFormat="1" ht="29.1" customHeight="1">
      <c r="A11" s="1108" t="s">
        <v>1325</v>
      </c>
      <c r="B11" s="385">
        <v>23403635</v>
      </c>
      <c r="C11" s="1109">
        <v>101</v>
      </c>
      <c r="D11" s="385">
        <v>11691322</v>
      </c>
      <c r="E11" s="1110">
        <v>11712313</v>
      </c>
      <c r="F11" s="1111">
        <f t="shared" si="0"/>
        <v>188206</v>
      </c>
      <c r="G11" s="1109">
        <v>105</v>
      </c>
      <c r="H11" s="1112">
        <v>162924</v>
      </c>
      <c r="I11" s="1113">
        <f t="shared" si="1"/>
        <v>86.566846965559023</v>
      </c>
      <c r="J11" s="1112">
        <v>25282</v>
      </c>
      <c r="K11" s="1113">
        <f t="shared" si="2"/>
        <v>13.433153034440984</v>
      </c>
      <c r="L11" s="1114">
        <f t="shared" si="3"/>
        <v>804.17422336316565</v>
      </c>
    </row>
    <row r="12" spans="1:13" s="1115" customFormat="1" ht="29.1" customHeight="1">
      <c r="A12" s="1108" t="s">
        <v>1326</v>
      </c>
      <c r="B12" s="385">
        <v>23462914</v>
      </c>
      <c r="C12" s="1109">
        <v>101</v>
      </c>
      <c r="D12" s="385">
        <v>11705009</v>
      </c>
      <c r="E12" s="1110">
        <v>11757905</v>
      </c>
      <c r="F12" s="1111">
        <f t="shared" si="0"/>
        <v>184702</v>
      </c>
      <c r="G12" s="1109">
        <v>103</v>
      </c>
      <c r="H12" s="1109">
        <v>159591</v>
      </c>
      <c r="I12" s="1113">
        <f t="shared" si="1"/>
        <v>86.404586848003817</v>
      </c>
      <c r="J12" s="1109">
        <v>25111</v>
      </c>
      <c r="K12" s="1113">
        <f t="shared" si="2"/>
        <v>13.595413151996189</v>
      </c>
      <c r="L12" s="1114">
        <f t="shared" si="3"/>
        <v>787.2082725956376</v>
      </c>
    </row>
    <row r="13" spans="1:13" s="1115" customFormat="1" ht="29.1" customHeight="1">
      <c r="A13" s="1108" t="s">
        <v>1327</v>
      </c>
      <c r="B13" s="385">
        <v>23515945</v>
      </c>
      <c r="C13" s="1109">
        <v>102</v>
      </c>
      <c r="D13" s="385">
        <v>11715658</v>
      </c>
      <c r="E13" s="1110">
        <v>11800287</v>
      </c>
      <c r="F13" s="1111">
        <f t="shared" si="0"/>
        <v>180733</v>
      </c>
      <c r="G13" s="1109">
        <v>101</v>
      </c>
      <c r="H13" s="1109">
        <v>156108</v>
      </c>
      <c r="I13" s="1113">
        <f t="shared" si="1"/>
        <v>86.374928762317893</v>
      </c>
      <c r="J13" s="1109">
        <v>24625</v>
      </c>
      <c r="K13" s="1113">
        <f t="shared" si="2"/>
        <v>13.625071237682103</v>
      </c>
      <c r="L13" s="1114">
        <f t="shared" si="3"/>
        <v>768.55512291766286</v>
      </c>
    </row>
    <row r="14" spans="1:13" s="1115" customFormat="1" ht="29.1" customHeight="1">
      <c r="A14" s="1108" t="s">
        <v>1328</v>
      </c>
      <c r="B14" s="385">
        <v>23555522</v>
      </c>
      <c r="C14" s="1109">
        <v>102</v>
      </c>
      <c r="D14" s="385">
        <v>11719425</v>
      </c>
      <c r="E14" s="1110">
        <v>11836097</v>
      </c>
      <c r="F14" s="1111">
        <f t="shared" si="0"/>
        <v>192158</v>
      </c>
      <c r="G14" s="1109">
        <v>107</v>
      </c>
      <c r="H14" s="1116">
        <v>165604</v>
      </c>
      <c r="I14" s="1113">
        <f t="shared" si="1"/>
        <v>86.181163417604267</v>
      </c>
      <c r="J14" s="1109">
        <v>26554</v>
      </c>
      <c r="K14" s="1113">
        <f t="shared" si="2"/>
        <v>13.818836582395738</v>
      </c>
      <c r="L14" s="1114">
        <f t="shared" si="3"/>
        <v>815.76625642174258</v>
      </c>
    </row>
    <row r="15" spans="1:13" s="1115" customFormat="1" ht="29.1" customHeight="1">
      <c r="A15" s="1108" t="s">
        <v>1329</v>
      </c>
      <c r="B15" s="385">
        <v>23580080</v>
      </c>
      <c r="C15" s="1109">
        <v>102</v>
      </c>
      <c r="D15" s="385">
        <v>11716246</v>
      </c>
      <c r="E15" s="1110">
        <v>11863834</v>
      </c>
      <c r="F15" s="1111">
        <f t="shared" si="0"/>
        <v>192230</v>
      </c>
      <c r="G15" s="1109">
        <v>107</v>
      </c>
      <c r="H15" s="1116">
        <v>165517</v>
      </c>
      <c r="I15" s="1113">
        <f t="shared" si="1"/>
        <v>86.103625864849391</v>
      </c>
      <c r="J15" s="1109">
        <v>26713</v>
      </c>
      <c r="K15" s="1113">
        <f t="shared" si="2"/>
        <v>13.896374135150602</v>
      </c>
      <c r="L15" s="1114">
        <f t="shared" si="3"/>
        <v>815.22200094316895</v>
      </c>
      <c r="M15" s="1117"/>
    </row>
    <row r="16" spans="1:13" s="1115" customFormat="1" ht="28.5" customHeight="1">
      <c r="A16" s="1118" t="s">
        <v>1330</v>
      </c>
      <c r="B16" s="388">
        <v>23596026</v>
      </c>
      <c r="C16" s="1119">
        <v>102</v>
      </c>
      <c r="D16" s="388">
        <v>11709050</v>
      </c>
      <c r="E16" s="1120">
        <v>11886976</v>
      </c>
      <c r="F16" s="1121">
        <f t="shared" si="0"/>
        <v>182829</v>
      </c>
      <c r="G16" s="1119">
        <v>102</v>
      </c>
      <c r="H16" s="1122">
        <v>156310</v>
      </c>
      <c r="I16" s="1123">
        <f t="shared" si="1"/>
        <v>85.495189494008059</v>
      </c>
      <c r="J16" s="1119">
        <v>26519</v>
      </c>
      <c r="K16" s="1123">
        <f t="shared" si="2"/>
        <v>14.504810505991939</v>
      </c>
      <c r="L16" s="1124">
        <f t="shared" si="3"/>
        <v>774.82962597176322</v>
      </c>
      <c r="M16" s="1117"/>
    </row>
    <row r="17" spans="1:12" s="1128" customFormat="1" ht="15.75" customHeight="1">
      <c r="A17" s="1125" t="s">
        <v>1331</v>
      </c>
      <c r="B17" s="1126"/>
      <c r="C17" s="1126"/>
      <c r="D17" s="1126"/>
      <c r="E17" s="1126"/>
      <c r="F17" s="1127"/>
      <c r="G17" s="1127"/>
      <c r="H17" s="1127"/>
      <c r="I17" s="1127"/>
      <c r="J17" s="1127"/>
      <c r="K17" s="1127"/>
      <c r="L17" s="1127"/>
    </row>
    <row r="18" spans="1:12" s="1128" customFormat="1" ht="15.75" customHeight="1">
      <c r="A18" s="3203" t="s">
        <v>1332</v>
      </c>
      <c r="B18" s="3203"/>
      <c r="C18" s="3203"/>
      <c r="D18" s="3203"/>
      <c r="E18" s="3203"/>
      <c r="F18" s="3203"/>
      <c r="G18" s="1127"/>
      <c r="H18" s="1127"/>
      <c r="I18" s="1129"/>
      <c r="J18" s="1127"/>
      <c r="K18" s="1127"/>
      <c r="L18" s="1127"/>
    </row>
    <row r="19" spans="1:12" ht="15.75" customHeight="1">
      <c r="A19" s="3203"/>
      <c r="B19" s="3203"/>
      <c r="C19" s="3203"/>
      <c r="D19" s="3203"/>
      <c r="E19" s="3203"/>
      <c r="F19" s="3203"/>
      <c r="G19" s="1130"/>
      <c r="H19" s="1130"/>
      <c r="I19" s="1130"/>
      <c r="J19" s="1130"/>
      <c r="K19" s="1130"/>
      <c r="L19" s="1130"/>
    </row>
  </sheetData>
  <mergeCells count="11">
    <mergeCell ref="A18:F19"/>
    <mergeCell ref="A1:L1"/>
    <mergeCell ref="K2:L2"/>
    <mergeCell ref="A3:A6"/>
    <mergeCell ref="L3:L5"/>
    <mergeCell ref="B4:C5"/>
    <mergeCell ref="D4:D6"/>
    <mergeCell ref="E4:E6"/>
    <mergeCell ref="F4:G5"/>
    <mergeCell ref="H4:I5"/>
    <mergeCell ref="J4:K5"/>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71"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G98"/>
  <sheetViews>
    <sheetView showGridLines="0" workbookViewId="0">
      <selection activeCell="B16" sqref="B16"/>
    </sheetView>
  </sheetViews>
  <sheetFormatPr defaultRowHeight="12.75"/>
  <cols>
    <col min="1" max="1" width="6.375" style="1135" customWidth="1"/>
    <col min="2" max="2" width="3.125" style="1135" customWidth="1"/>
    <col min="3" max="30" width="6.5" style="1135" customWidth="1"/>
    <col min="31" max="256" width="9" style="1135"/>
    <col min="257" max="257" width="6.375" style="1135" customWidth="1"/>
    <col min="258" max="258" width="3.125" style="1135" customWidth="1"/>
    <col min="259" max="286" width="6.5" style="1135" customWidth="1"/>
    <col min="287" max="512" width="9" style="1135"/>
    <col min="513" max="513" width="6.375" style="1135" customWidth="1"/>
    <col min="514" max="514" width="3.125" style="1135" customWidth="1"/>
    <col min="515" max="542" width="6.5" style="1135" customWidth="1"/>
    <col min="543" max="768" width="9" style="1135"/>
    <col min="769" max="769" width="6.375" style="1135" customWidth="1"/>
    <col min="770" max="770" width="3.125" style="1135" customWidth="1"/>
    <col min="771" max="798" width="6.5" style="1135" customWidth="1"/>
    <col min="799" max="1024" width="9" style="1135"/>
    <col min="1025" max="1025" width="6.375" style="1135" customWidth="1"/>
    <col min="1026" max="1026" width="3.125" style="1135" customWidth="1"/>
    <col min="1027" max="1054" width="6.5" style="1135" customWidth="1"/>
    <col min="1055" max="1280" width="9" style="1135"/>
    <col min="1281" max="1281" width="6.375" style="1135" customWidth="1"/>
    <col min="1282" max="1282" width="3.125" style="1135" customWidth="1"/>
    <col min="1283" max="1310" width="6.5" style="1135" customWidth="1"/>
    <col min="1311" max="1536" width="9" style="1135"/>
    <col min="1537" max="1537" width="6.375" style="1135" customWidth="1"/>
    <col min="1538" max="1538" width="3.125" style="1135" customWidth="1"/>
    <col min="1539" max="1566" width="6.5" style="1135" customWidth="1"/>
    <col min="1567" max="1792" width="9" style="1135"/>
    <col min="1793" max="1793" width="6.375" style="1135" customWidth="1"/>
    <col min="1794" max="1794" width="3.125" style="1135" customWidth="1"/>
    <col min="1795" max="1822" width="6.5" style="1135" customWidth="1"/>
    <col min="1823" max="2048" width="9" style="1135"/>
    <col min="2049" max="2049" width="6.375" style="1135" customWidth="1"/>
    <col min="2050" max="2050" width="3.125" style="1135" customWidth="1"/>
    <col min="2051" max="2078" width="6.5" style="1135" customWidth="1"/>
    <col min="2079" max="2304" width="9" style="1135"/>
    <col min="2305" max="2305" width="6.375" style="1135" customWidth="1"/>
    <col min="2306" max="2306" width="3.125" style="1135" customWidth="1"/>
    <col min="2307" max="2334" width="6.5" style="1135" customWidth="1"/>
    <col min="2335" max="2560" width="9" style="1135"/>
    <col min="2561" max="2561" width="6.375" style="1135" customWidth="1"/>
    <col min="2562" max="2562" width="3.125" style="1135" customWidth="1"/>
    <col min="2563" max="2590" width="6.5" style="1135" customWidth="1"/>
    <col min="2591" max="2816" width="9" style="1135"/>
    <col min="2817" max="2817" width="6.375" style="1135" customWidth="1"/>
    <col min="2818" max="2818" width="3.125" style="1135" customWidth="1"/>
    <col min="2819" max="2846" width="6.5" style="1135" customWidth="1"/>
    <col min="2847" max="3072" width="9" style="1135"/>
    <col min="3073" max="3073" width="6.375" style="1135" customWidth="1"/>
    <col min="3074" max="3074" width="3.125" style="1135" customWidth="1"/>
    <col min="3075" max="3102" width="6.5" style="1135" customWidth="1"/>
    <col min="3103" max="3328" width="9" style="1135"/>
    <col min="3329" max="3329" width="6.375" style="1135" customWidth="1"/>
    <col min="3330" max="3330" width="3.125" style="1135" customWidth="1"/>
    <col min="3331" max="3358" width="6.5" style="1135" customWidth="1"/>
    <col min="3359" max="3584" width="9" style="1135"/>
    <col min="3585" max="3585" width="6.375" style="1135" customWidth="1"/>
    <col min="3586" max="3586" width="3.125" style="1135" customWidth="1"/>
    <col min="3587" max="3614" width="6.5" style="1135" customWidth="1"/>
    <col min="3615" max="3840" width="9" style="1135"/>
    <col min="3841" max="3841" width="6.375" style="1135" customWidth="1"/>
    <col min="3842" max="3842" width="3.125" style="1135" customWidth="1"/>
    <col min="3843" max="3870" width="6.5" style="1135" customWidth="1"/>
    <col min="3871" max="4096" width="9" style="1135"/>
    <col min="4097" max="4097" width="6.375" style="1135" customWidth="1"/>
    <col min="4098" max="4098" width="3.125" style="1135" customWidth="1"/>
    <col min="4099" max="4126" width="6.5" style="1135" customWidth="1"/>
    <col min="4127" max="4352" width="9" style="1135"/>
    <col min="4353" max="4353" width="6.375" style="1135" customWidth="1"/>
    <col min="4354" max="4354" width="3.125" style="1135" customWidth="1"/>
    <col min="4355" max="4382" width="6.5" style="1135" customWidth="1"/>
    <col min="4383" max="4608" width="9" style="1135"/>
    <col min="4609" max="4609" width="6.375" style="1135" customWidth="1"/>
    <col min="4610" max="4610" width="3.125" style="1135" customWidth="1"/>
    <col min="4611" max="4638" width="6.5" style="1135" customWidth="1"/>
    <col min="4639" max="4864" width="9" style="1135"/>
    <col min="4865" max="4865" width="6.375" style="1135" customWidth="1"/>
    <col min="4866" max="4866" width="3.125" style="1135" customWidth="1"/>
    <col min="4867" max="4894" width="6.5" style="1135" customWidth="1"/>
    <col min="4895" max="5120" width="9" style="1135"/>
    <col min="5121" max="5121" width="6.375" style="1135" customWidth="1"/>
    <col min="5122" max="5122" width="3.125" style="1135" customWidth="1"/>
    <col min="5123" max="5150" width="6.5" style="1135" customWidth="1"/>
    <col min="5151" max="5376" width="9" style="1135"/>
    <col min="5377" max="5377" width="6.375" style="1135" customWidth="1"/>
    <col min="5378" max="5378" width="3.125" style="1135" customWidth="1"/>
    <col min="5379" max="5406" width="6.5" style="1135" customWidth="1"/>
    <col min="5407" max="5632" width="9" style="1135"/>
    <col min="5633" max="5633" width="6.375" style="1135" customWidth="1"/>
    <col min="5634" max="5634" width="3.125" style="1135" customWidth="1"/>
    <col min="5635" max="5662" width="6.5" style="1135" customWidth="1"/>
    <col min="5663" max="5888" width="9" style="1135"/>
    <col min="5889" max="5889" width="6.375" style="1135" customWidth="1"/>
    <col min="5890" max="5890" width="3.125" style="1135" customWidth="1"/>
    <col min="5891" max="5918" width="6.5" style="1135" customWidth="1"/>
    <col min="5919" max="6144" width="9" style="1135"/>
    <col min="6145" max="6145" width="6.375" style="1135" customWidth="1"/>
    <col min="6146" max="6146" width="3.125" style="1135" customWidth="1"/>
    <col min="6147" max="6174" width="6.5" style="1135" customWidth="1"/>
    <col min="6175" max="6400" width="9" style="1135"/>
    <col min="6401" max="6401" width="6.375" style="1135" customWidth="1"/>
    <col min="6402" max="6402" width="3.125" style="1135" customWidth="1"/>
    <col min="6403" max="6430" width="6.5" style="1135" customWidth="1"/>
    <col min="6431" max="6656" width="9" style="1135"/>
    <col min="6657" max="6657" width="6.375" style="1135" customWidth="1"/>
    <col min="6658" max="6658" width="3.125" style="1135" customWidth="1"/>
    <col min="6659" max="6686" width="6.5" style="1135" customWidth="1"/>
    <col min="6687" max="6912" width="9" style="1135"/>
    <col min="6913" max="6913" width="6.375" style="1135" customWidth="1"/>
    <col min="6914" max="6914" width="3.125" style="1135" customWidth="1"/>
    <col min="6915" max="6942" width="6.5" style="1135" customWidth="1"/>
    <col min="6943" max="7168" width="9" style="1135"/>
    <col min="7169" max="7169" width="6.375" style="1135" customWidth="1"/>
    <col min="7170" max="7170" width="3.125" style="1135" customWidth="1"/>
    <col min="7171" max="7198" width="6.5" style="1135" customWidth="1"/>
    <col min="7199" max="7424" width="9" style="1135"/>
    <col min="7425" max="7425" width="6.375" style="1135" customWidth="1"/>
    <col min="7426" max="7426" width="3.125" style="1135" customWidth="1"/>
    <col min="7427" max="7454" width="6.5" style="1135" customWidth="1"/>
    <col min="7455" max="7680" width="9" style="1135"/>
    <col min="7681" max="7681" width="6.375" style="1135" customWidth="1"/>
    <col min="7682" max="7682" width="3.125" style="1135" customWidth="1"/>
    <col min="7683" max="7710" width="6.5" style="1135" customWidth="1"/>
    <col min="7711" max="7936" width="9" style="1135"/>
    <col min="7937" max="7937" width="6.375" style="1135" customWidth="1"/>
    <col min="7938" max="7938" width="3.125" style="1135" customWidth="1"/>
    <col min="7939" max="7966" width="6.5" style="1135" customWidth="1"/>
    <col min="7967" max="8192" width="9" style="1135"/>
    <col min="8193" max="8193" width="6.375" style="1135" customWidth="1"/>
    <col min="8194" max="8194" width="3.125" style="1135" customWidth="1"/>
    <col min="8195" max="8222" width="6.5" style="1135" customWidth="1"/>
    <col min="8223" max="8448" width="9" style="1135"/>
    <col min="8449" max="8449" width="6.375" style="1135" customWidth="1"/>
    <col min="8450" max="8450" width="3.125" style="1135" customWidth="1"/>
    <col min="8451" max="8478" width="6.5" style="1135" customWidth="1"/>
    <col min="8479" max="8704" width="9" style="1135"/>
    <col min="8705" max="8705" width="6.375" style="1135" customWidth="1"/>
    <col min="8706" max="8706" width="3.125" style="1135" customWidth="1"/>
    <col min="8707" max="8734" width="6.5" style="1135" customWidth="1"/>
    <col min="8735" max="8960" width="9" style="1135"/>
    <col min="8961" max="8961" width="6.375" style="1135" customWidth="1"/>
    <col min="8962" max="8962" width="3.125" style="1135" customWidth="1"/>
    <col min="8963" max="8990" width="6.5" style="1135" customWidth="1"/>
    <col min="8991" max="9216" width="9" style="1135"/>
    <col min="9217" max="9217" width="6.375" style="1135" customWidth="1"/>
    <col min="9218" max="9218" width="3.125" style="1135" customWidth="1"/>
    <col min="9219" max="9246" width="6.5" style="1135" customWidth="1"/>
    <col min="9247" max="9472" width="9" style="1135"/>
    <col min="9473" max="9473" width="6.375" style="1135" customWidth="1"/>
    <col min="9474" max="9474" width="3.125" style="1135" customWidth="1"/>
    <col min="9475" max="9502" width="6.5" style="1135" customWidth="1"/>
    <col min="9503" max="9728" width="9" style="1135"/>
    <col min="9729" max="9729" width="6.375" style="1135" customWidth="1"/>
    <col min="9730" max="9730" width="3.125" style="1135" customWidth="1"/>
    <col min="9731" max="9758" width="6.5" style="1135" customWidth="1"/>
    <col min="9759" max="9984" width="9" style="1135"/>
    <col min="9985" max="9985" width="6.375" style="1135" customWidth="1"/>
    <col min="9986" max="9986" width="3.125" style="1135" customWidth="1"/>
    <col min="9987" max="10014" width="6.5" style="1135" customWidth="1"/>
    <col min="10015" max="10240" width="9" style="1135"/>
    <col min="10241" max="10241" width="6.375" style="1135" customWidth="1"/>
    <col min="10242" max="10242" width="3.125" style="1135" customWidth="1"/>
    <col min="10243" max="10270" width="6.5" style="1135" customWidth="1"/>
    <col min="10271" max="10496" width="9" style="1135"/>
    <col min="10497" max="10497" width="6.375" style="1135" customWidth="1"/>
    <col min="10498" max="10498" width="3.125" style="1135" customWidth="1"/>
    <col min="10499" max="10526" width="6.5" style="1135" customWidth="1"/>
    <col min="10527" max="10752" width="9" style="1135"/>
    <col min="10753" max="10753" width="6.375" style="1135" customWidth="1"/>
    <col min="10754" max="10754" width="3.125" style="1135" customWidth="1"/>
    <col min="10755" max="10782" width="6.5" style="1135" customWidth="1"/>
    <col min="10783" max="11008" width="9" style="1135"/>
    <col min="11009" max="11009" width="6.375" style="1135" customWidth="1"/>
    <col min="11010" max="11010" width="3.125" style="1135" customWidth="1"/>
    <col min="11011" max="11038" width="6.5" style="1135" customWidth="1"/>
    <col min="11039" max="11264" width="9" style="1135"/>
    <col min="11265" max="11265" width="6.375" style="1135" customWidth="1"/>
    <col min="11266" max="11266" width="3.125" style="1135" customWidth="1"/>
    <col min="11267" max="11294" width="6.5" style="1135" customWidth="1"/>
    <col min="11295" max="11520" width="9" style="1135"/>
    <col min="11521" max="11521" width="6.375" style="1135" customWidth="1"/>
    <col min="11522" max="11522" width="3.125" style="1135" customWidth="1"/>
    <col min="11523" max="11550" width="6.5" style="1135" customWidth="1"/>
    <col min="11551" max="11776" width="9" style="1135"/>
    <col min="11777" max="11777" width="6.375" style="1135" customWidth="1"/>
    <col min="11778" max="11778" width="3.125" style="1135" customWidth="1"/>
    <col min="11779" max="11806" width="6.5" style="1135" customWidth="1"/>
    <col min="11807" max="12032" width="9" style="1135"/>
    <col min="12033" max="12033" width="6.375" style="1135" customWidth="1"/>
    <col min="12034" max="12034" width="3.125" style="1135" customWidth="1"/>
    <col min="12035" max="12062" width="6.5" style="1135" customWidth="1"/>
    <col min="12063" max="12288" width="9" style="1135"/>
    <col min="12289" max="12289" width="6.375" style="1135" customWidth="1"/>
    <col min="12290" max="12290" width="3.125" style="1135" customWidth="1"/>
    <col min="12291" max="12318" width="6.5" style="1135" customWidth="1"/>
    <col min="12319" max="12544" width="9" style="1135"/>
    <col min="12545" max="12545" width="6.375" style="1135" customWidth="1"/>
    <col min="12546" max="12546" width="3.125" style="1135" customWidth="1"/>
    <col min="12547" max="12574" width="6.5" style="1135" customWidth="1"/>
    <col min="12575" max="12800" width="9" style="1135"/>
    <col min="12801" max="12801" width="6.375" style="1135" customWidth="1"/>
    <col min="12802" max="12802" width="3.125" style="1135" customWidth="1"/>
    <col min="12803" max="12830" width="6.5" style="1135" customWidth="1"/>
    <col min="12831" max="13056" width="9" style="1135"/>
    <col min="13057" max="13057" width="6.375" style="1135" customWidth="1"/>
    <col min="13058" max="13058" width="3.125" style="1135" customWidth="1"/>
    <col min="13059" max="13086" width="6.5" style="1135" customWidth="1"/>
    <col min="13087" max="13312" width="9" style="1135"/>
    <col min="13313" max="13313" width="6.375" style="1135" customWidth="1"/>
    <col min="13314" max="13314" width="3.125" style="1135" customWidth="1"/>
    <col min="13315" max="13342" width="6.5" style="1135" customWidth="1"/>
    <col min="13343" max="13568" width="9" style="1135"/>
    <col min="13569" max="13569" width="6.375" style="1135" customWidth="1"/>
    <col min="13570" max="13570" width="3.125" style="1135" customWidth="1"/>
    <col min="13571" max="13598" width="6.5" style="1135" customWidth="1"/>
    <col min="13599" max="13824" width="9" style="1135"/>
    <col min="13825" max="13825" width="6.375" style="1135" customWidth="1"/>
    <col min="13826" max="13826" width="3.125" style="1135" customWidth="1"/>
    <col min="13827" max="13854" width="6.5" style="1135" customWidth="1"/>
    <col min="13855" max="14080" width="9" style="1135"/>
    <col min="14081" max="14081" width="6.375" style="1135" customWidth="1"/>
    <col min="14082" max="14082" width="3.125" style="1135" customWidth="1"/>
    <col min="14083" max="14110" width="6.5" style="1135" customWidth="1"/>
    <col min="14111" max="14336" width="9" style="1135"/>
    <col min="14337" max="14337" width="6.375" style="1135" customWidth="1"/>
    <col min="14338" max="14338" width="3.125" style="1135" customWidth="1"/>
    <col min="14339" max="14366" width="6.5" style="1135" customWidth="1"/>
    <col min="14367" max="14592" width="9" style="1135"/>
    <col min="14593" max="14593" width="6.375" style="1135" customWidth="1"/>
    <col min="14594" max="14594" width="3.125" style="1135" customWidth="1"/>
    <col min="14595" max="14622" width="6.5" style="1135" customWidth="1"/>
    <col min="14623" max="14848" width="9" style="1135"/>
    <col min="14849" max="14849" width="6.375" style="1135" customWidth="1"/>
    <col min="14850" max="14850" width="3.125" style="1135" customWidth="1"/>
    <col min="14851" max="14878" width="6.5" style="1135" customWidth="1"/>
    <col min="14879" max="15104" width="9" style="1135"/>
    <col min="15105" max="15105" width="6.375" style="1135" customWidth="1"/>
    <col min="15106" max="15106" width="3.125" style="1135" customWidth="1"/>
    <col min="15107" max="15134" width="6.5" style="1135" customWidth="1"/>
    <col min="15135" max="15360" width="9" style="1135"/>
    <col min="15361" max="15361" width="6.375" style="1135" customWidth="1"/>
    <col min="15362" max="15362" width="3.125" style="1135" customWidth="1"/>
    <col min="15363" max="15390" width="6.5" style="1135" customWidth="1"/>
    <col min="15391" max="15616" width="9" style="1135"/>
    <col min="15617" max="15617" width="6.375" style="1135" customWidth="1"/>
    <col min="15618" max="15618" width="3.125" style="1135" customWidth="1"/>
    <col min="15619" max="15646" width="6.5" style="1135" customWidth="1"/>
    <col min="15647" max="15872" width="9" style="1135"/>
    <col min="15873" max="15873" width="6.375" style="1135" customWidth="1"/>
    <col min="15874" max="15874" width="3.125" style="1135" customWidth="1"/>
    <col min="15875" max="15902" width="6.5" style="1135" customWidth="1"/>
    <col min="15903" max="16128" width="9" style="1135"/>
    <col min="16129" max="16129" width="6.375" style="1135" customWidth="1"/>
    <col min="16130" max="16130" width="3.125" style="1135" customWidth="1"/>
    <col min="16131" max="16158" width="6.5" style="1135" customWidth="1"/>
    <col min="16159" max="16384" width="9" style="1135"/>
  </cols>
  <sheetData>
    <row r="1" spans="1:32" s="1131" customFormat="1" ht="24.75" customHeight="1">
      <c r="A1" s="3230" t="s">
        <v>1333</v>
      </c>
      <c r="B1" s="3230"/>
      <c r="C1" s="3230"/>
      <c r="D1" s="3230"/>
      <c r="E1" s="3230"/>
      <c r="F1" s="3230"/>
      <c r="G1" s="3230"/>
      <c r="H1" s="3230"/>
      <c r="I1" s="3230"/>
      <c r="J1" s="3230"/>
      <c r="K1" s="3230"/>
      <c r="L1" s="3230"/>
      <c r="M1" s="3230"/>
      <c r="N1" s="3230"/>
      <c r="O1" s="3230"/>
      <c r="P1" s="3230"/>
      <c r="Q1" s="3230"/>
      <c r="R1" s="3230"/>
      <c r="S1" s="3230"/>
      <c r="T1" s="3230"/>
      <c r="U1" s="3230"/>
      <c r="V1" s="3230"/>
      <c r="W1" s="3230"/>
      <c r="X1" s="3230"/>
      <c r="Y1" s="3230"/>
      <c r="Z1" s="3230"/>
      <c r="AA1" s="3230"/>
      <c r="AB1" s="3230"/>
    </row>
    <row r="2" spans="1:32" ht="21.75" customHeight="1">
      <c r="A2" s="1132"/>
      <c r="B2" s="1132"/>
      <c r="C2" s="1132"/>
      <c r="D2" s="1132"/>
      <c r="E2" s="1132"/>
      <c r="F2" s="1132"/>
      <c r="G2" s="1132"/>
      <c r="H2" s="1132"/>
      <c r="I2" s="1132"/>
      <c r="J2" s="1132"/>
      <c r="K2" s="1132"/>
      <c r="L2" s="1132"/>
      <c r="M2" s="1132"/>
      <c r="N2" s="1132"/>
      <c r="O2" s="1132"/>
      <c r="P2" s="1132"/>
      <c r="Q2" s="1132"/>
      <c r="R2" s="1132"/>
      <c r="S2" s="1132"/>
      <c r="T2" s="1132"/>
      <c r="U2" s="1132"/>
      <c r="V2" s="1132"/>
      <c r="W2" s="1132"/>
      <c r="X2" s="1132"/>
      <c r="Y2" s="1132"/>
      <c r="Z2" s="1132"/>
      <c r="AA2" s="1133"/>
      <c r="AB2" s="1134"/>
      <c r="AC2" s="1133" t="s">
        <v>1334</v>
      </c>
    </row>
    <row r="3" spans="1:32" ht="6" customHeight="1">
      <c r="A3" s="3231" t="s">
        <v>1335</v>
      </c>
      <c r="B3" s="3232"/>
      <c r="C3" s="3237" t="s">
        <v>1336</v>
      </c>
      <c r="D3" s="3240"/>
      <c r="E3" s="1136"/>
      <c r="F3" s="1137"/>
      <c r="G3" s="3242" t="s">
        <v>1337</v>
      </c>
      <c r="H3" s="3243"/>
      <c r="I3" s="3243"/>
      <c r="J3" s="3244"/>
      <c r="K3" s="3248" t="s">
        <v>1338</v>
      </c>
      <c r="L3" s="3243"/>
      <c r="M3" s="3243"/>
      <c r="N3" s="3244"/>
      <c r="O3" s="3249" t="s">
        <v>1339</v>
      </c>
      <c r="P3" s="3250"/>
      <c r="Q3" s="3250"/>
      <c r="R3" s="3251"/>
      <c r="S3" s="3248" t="s">
        <v>1340</v>
      </c>
      <c r="T3" s="3243"/>
      <c r="U3" s="3243"/>
      <c r="V3" s="3244"/>
      <c r="W3" s="3248" t="s">
        <v>1341</v>
      </c>
      <c r="X3" s="3243"/>
      <c r="Y3" s="3243"/>
      <c r="Z3" s="3244"/>
      <c r="AA3" s="3255" t="s">
        <v>1342</v>
      </c>
      <c r="AB3" s="3256"/>
      <c r="AC3" s="3256"/>
      <c r="AD3" s="3257"/>
    </row>
    <row r="4" spans="1:32" ht="20.100000000000001" customHeight="1">
      <c r="A4" s="3233"/>
      <c r="B4" s="3234"/>
      <c r="C4" s="3238"/>
      <c r="D4" s="3241"/>
      <c r="E4" s="3228" t="s">
        <v>1343</v>
      </c>
      <c r="F4" s="3228" t="s">
        <v>1344</v>
      </c>
      <c r="G4" s="3245"/>
      <c r="H4" s="3246"/>
      <c r="I4" s="3246"/>
      <c r="J4" s="3247"/>
      <c r="K4" s="3245"/>
      <c r="L4" s="3246"/>
      <c r="M4" s="3246"/>
      <c r="N4" s="3247"/>
      <c r="O4" s="3252"/>
      <c r="P4" s="3253"/>
      <c r="Q4" s="3253"/>
      <c r="R4" s="3254"/>
      <c r="S4" s="3245"/>
      <c r="T4" s="3246"/>
      <c r="U4" s="3246"/>
      <c r="V4" s="3247"/>
      <c r="W4" s="3245"/>
      <c r="X4" s="3246"/>
      <c r="Y4" s="3246"/>
      <c r="Z4" s="3247"/>
      <c r="AA4" s="3258"/>
      <c r="AB4" s="3259"/>
      <c r="AC4" s="3259"/>
      <c r="AD4" s="3260"/>
    </row>
    <row r="5" spans="1:32" ht="5.0999999999999996" customHeight="1">
      <c r="A5" s="3233"/>
      <c r="B5" s="3234"/>
      <c r="C5" s="3238"/>
      <c r="D5" s="3224" t="s">
        <v>1245</v>
      </c>
      <c r="E5" s="3267"/>
      <c r="F5" s="3267"/>
      <c r="G5" s="3226" t="s">
        <v>1345</v>
      </c>
      <c r="H5" s="1138"/>
      <c r="I5" s="3228" t="s">
        <v>1343</v>
      </c>
      <c r="J5" s="3228" t="s">
        <v>1346</v>
      </c>
      <c r="K5" s="3226" t="s">
        <v>1345</v>
      </c>
      <c r="L5" s="1138"/>
      <c r="M5" s="3228" t="s">
        <v>1343</v>
      </c>
      <c r="N5" s="3228" t="s">
        <v>1347</v>
      </c>
      <c r="O5" s="3226" t="s">
        <v>1345</v>
      </c>
      <c r="P5" s="1138"/>
      <c r="Q5" s="3228" t="s">
        <v>1343</v>
      </c>
      <c r="R5" s="3228" t="s">
        <v>1346</v>
      </c>
      <c r="S5" s="3226" t="s">
        <v>1348</v>
      </c>
      <c r="T5" s="1138"/>
      <c r="U5" s="3228" t="s">
        <v>1343</v>
      </c>
      <c r="V5" s="3228" t="s">
        <v>1346</v>
      </c>
      <c r="W5" s="3226" t="s">
        <v>1345</v>
      </c>
      <c r="X5" s="1138"/>
      <c r="Y5" s="3228" t="s">
        <v>1349</v>
      </c>
      <c r="Z5" s="3228" t="s">
        <v>1346</v>
      </c>
      <c r="AA5" s="3226" t="s">
        <v>1345</v>
      </c>
      <c r="AB5" s="1138"/>
      <c r="AC5" s="3228" t="s">
        <v>1349</v>
      </c>
      <c r="AD5" s="3228" t="s">
        <v>1344</v>
      </c>
    </row>
    <row r="6" spans="1:32" ht="18" customHeight="1">
      <c r="A6" s="3235"/>
      <c r="B6" s="3236"/>
      <c r="C6" s="3239"/>
      <c r="D6" s="3225"/>
      <c r="E6" s="3229"/>
      <c r="F6" s="3229"/>
      <c r="G6" s="3227"/>
      <c r="H6" s="1139" t="s">
        <v>1245</v>
      </c>
      <c r="I6" s="3229"/>
      <c r="J6" s="3229"/>
      <c r="K6" s="3227"/>
      <c r="L6" s="1139" t="s">
        <v>1245</v>
      </c>
      <c r="M6" s="3229"/>
      <c r="N6" s="3229"/>
      <c r="O6" s="3227"/>
      <c r="P6" s="1139" t="s">
        <v>1245</v>
      </c>
      <c r="Q6" s="3229"/>
      <c r="R6" s="3229"/>
      <c r="S6" s="3227"/>
      <c r="T6" s="1139" t="s">
        <v>400</v>
      </c>
      <c r="U6" s="3229"/>
      <c r="V6" s="3229"/>
      <c r="W6" s="3227"/>
      <c r="X6" s="1139" t="s">
        <v>934</v>
      </c>
      <c r="Y6" s="3229"/>
      <c r="Z6" s="3229"/>
      <c r="AA6" s="3227"/>
      <c r="AB6" s="1139" t="s">
        <v>1245</v>
      </c>
      <c r="AC6" s="3229"/>
      <c r="AD6" s="3229"/>
    </row>
    <row r="7" spans="1:32" ht="6" customHeight="1">
      <c r="A7" s="1140"/>
      <c r="B7" s="1141"/>
      <c r="C7" s="1142"/>
      <c r="D7" s="1143"/>
      <c r="E7" s="1144"/>
      <c r="F7" s="1144"/>
      <c r="G7" s="1142"/>
      <c r="H7" s="1143"/>
      <c r="I7" s="1142"/>
      <c r="J7" s="1142"/>
      <c r="K7" s="1142"/>
      <c r="L7" s="1145"/>
      <c r="M7" s="1142"/>
      <c r="N7" s="1142"/>
      <c r="O7" s="1142"/>
      <c r="P7" s="1145"/>
      <c r="Q7" s="1146"/>
      <c r="R7" s="1146"/>
      <c r="S7" s="1145"/>
      <c r="T7" s="1145"/>
      <c r="U7" s="1147"/>
      <c r="V7" s="1147"/>
      <c r="W7" s="1145"/>
      <c r="X7" s="1143"/>
      <c r="Y7" s="1146"/>
      <c r="Z7" s="1148"/>
      <c r="AA7" s="1142"/>
      <c r="AB7" s="1148"/>
      <c r="AC7" s="1146"/>
      <c r="AD7" s="1142"/>
    </row>
    <row r="8" spans="1:32" ht="12.75" hidden="1" customHeight="1">
      <c r="A8" s="1149" t="s">
        <v>1350</v>
      </c>
      <c r="B8" s="1150"/>
      <c r="C8" s="1142">
        <v>126978</v>
      </c>
      <c r="D8" s="1143">
        <v>100</v>
      </c>
      <c r="E8" s="1144">
        <v>109711</v>
      </c>
      <c r="F8" s="1144">
        <v>16989</v>
      </c>
      <c r="G8" s="1142">
        <v>26263</v>
      </c>
      <c r="H8" s="1143">
        <v>20.6831104600797</v>
      </c>
      <c r="I8" s="1142">
        <v>24822</v>
      </c>
      <c r="J8" s="1142">
        <v>1441</v>
      </c>
      <c r="K8" s="1142">
        <v>5374</v>
      </c>
      <c r="L8" s="1143">
        <v>4.2322292050591441</v>
      </c>
      <c r="M8" s="1142">
        <v>3955</v>
      </c>
      <c r="N8" s="1142">
        <v>1418</v>
      </c>
      <c r="O8" s="1142">
        <v>3870</v>
      </c>
      <c r="P8" s="1143">
        <v>3.047772055001654</v>
      </c>
      <c r="Q8" s="1144">
        <v>3238</v>
      </c>
      <c r="R8" s="1144">
        <v>632</v>
      </c>
      <c r="S8" s="1145">
        <v>481</v>
      </c>
      <c r="T8" s="1143">
        <v>0.37880577737875853</v>
      </c>
      <c r="U8" s="1147">
        <v>479</v>
      </c>
      <c r="V8" s="1147">
        <v>2</v>
      </c>
      <c r="W8" s="1145">
        <v>653</v>
      </c>
      <c r="X8" s="1143">
        <v>0.51426231315660986</v>
      </c>
      <c r="Y8" s="1146">
        <v>351</v>
      </c>
      <c r="Z8" s="1148">
        <v>302</v>
      </c>
      <c r="AA8" s="1142">
        <v>4773</v>
      </c>
      <c r="AB8" s="1143">
        <v>3.7589188678353729</v>
      </c>
      <c r="AC8" s="1146">
        <v>3599</v>
      </c>
      <c r="AD8" s="1142">
        <v>1173</v>
      </c>
    </row>
    <row r="9" spans="1:32" ht="12.75" hidden="1" customHeight="1">
      <c r="A9" s="1149" t="s">
        <v>1351</v>
      </c>
      <c r="B9" s="1150"/>
      <c r="C9" s="1142">
        <v>145740</v>
      </c>
      <c r="D9" s="1143">
        <v>100</v>
      </c>
      <c r="E9" s="1144">
        <v>123398</v>
      </c>
      <c r="F9" s="1144">
        <v>21934</v>
      </c>
      <c r="G9" s="1142">
        <v>28696</v>
      </c>
      <c r="H9" s="1143">
        <v>19.689858652394676</v>
      </c>
      <c r="I9" s="1142">
        <v>26848</v>
      </c>
      <c r="J9" s="1142">
        <v>1848</v>
      </c>
      <c r="K9" s="1142">
        <v>5469</v>
      </c>
      <c r="L9" s="1143">
        <v>3.7525730753396456</v>
      </c>
      <c r="M9" s="1142">
        <v>3908</v>
      </c>
      <c r="N9" s="1142">
        <v>1561</v>
      </c>
      <c r="O9" s="1142">
        <v>3692</v>
      </c>
      <c r="P9" s="1143">
        <v>2.5332784410594207</v>
      </c>
      <c r="Q9" s="1146">
        <v>3012</v>
      </c>
      <c r="R9" s="1146">
        <v>680</v>
      </c>
      <c r="S9" s="1145">
        <v>557</v>
      </c>
      <c r="T9" s="1143">
        <v>0.38218745711541102</v>
      </c>
      <c r="U9" s="1147">
        <v>548</v>
      </c>
      <c r="V9" s="1147">
        <v>9</v>
      </c>
      <c r="W9" s="1145">
        <v>1174</v>
      </c>
      <c r="X9" s="1143">
        <v>0.80554411966515715</v>
      </c>
      <c r="Y9" s="1146">
        <v>668</v>
      </c>
      <c r="Z9" s="1148">
        <v>506</v>
      </c>
      <c r="AA9" s="1142">
        <v>6871</v>
      </c>
      <c r="AB9" s="1143">
        <v>4.7145601756552766</v>
      </c>
      <c r="AC9" s="1146">
        <v>4898</v>
      </c>
      <c r="AD9" s="1142">
        <v>1973</v>
      </c>
    </row>
    <row r="10" spans="1:32" ht="12.75" hidden="1" customHeight="1">
      <c r="A10" s="1149" t="s">
        <v>1352</v>
      </c>
      <c r="B10" s="1150"/>
      <c r="C10" s="1142">
        <v>173711</v>
      </c>
      <c r="D10" s="1143">
        <v>100</v>
      </c>
      <c r="E10" s="1144">
        <v>147453</v>
      </c>
      <c r="F10" s="1144">
        <v>25743</v>
      </c>
      <c r="G10" s="1142">
        <v>41081</v>
      </c>
      <c r="H10" s="1143">
        <v>23.64904928300453</v>
      </c>
      <c r="I10" s="1142">
        <v>38389</v>
      </c>
      <c r="J10" s="1142">
        <v>2692</v>
      </c>
      <c r="K10" s="1142">
        <v>5847</v>
      </c>
      <c r="L10" s="1143">
        <v>3.3659353754223971</v>
      </c>
      <c r="M10" s="1142">
        <v>4245</v>
      </c>
      <c r="N10" s="1142">
        <v>1599</v>
      </c>
      <c r="O10" s="1142">
        <v>3951</v>
      </c>
      <c r="P10" s="1143">
        <v>2.2744673624583363</v>
      </c>
      <c r="Q10" s="1146">
        <v>3125</v>
      </c>
      <c r="R10" s="1146">
        <v>826</v>
      </c>
      <c r="S10" s="1145">
        <v>550</v>
      </c>
      <c r="T10" s="1143">
        <v>0.31661783076489108</v>
      </c>
      <c r="U10" s="1147">
        <v>543</v>
      </c>
      <c r="V10" s="1147">
        <v>7</v>
      </c>
      <c r="W10" s="1145">
        <v>915</v>
      </c>
      <c r="X10" s="1143">
        <v>0.52673693663613697</v>
      </c>
      <c r="Y10" s="1146">
        <v>510</v>
      </c>
      <c r="Z10" s="1148">
        <v>405</v>
      </c>
      <c r="AA10" s="1142">
        <v>7928</v>
      </c>
      <c r="AB10" s="1143">
        <v>4.5639021132801032</v>
      </c>
      <c r="AC10" s="1146">
        <v>5514</v>
      </c>
      <c r="AD10" s="1142">
        <v>2414</v>
      </c>
    </row>
    <row r="11" spans="1:32" ht="12.75" hidden="1" customHeight="1">
      <c r="A11" s="1149" t="s">
        <v>1353</v>
      </c>
      <c r="B11" s="1150"/>
      <c r="C11" s="1142">
        <v>198685</v>
      </c>
      <c r="D11" s="1143">
        <v>100</v>
      </c>
      <c r="E11" s="1144">
        <v>169967</v>
      </c>
      <c r="F11" s="1144">
        <v>28140</v>
      </c>
      <c r="G11" s="1142">
        <v>43867</v>
      </c>
      <c r="H11" s="1143">
        <v>22.078667237083828</v>
      </c>
      <c r="I11" s="1142">
        <v>40967</v>
      </c>
      <c r="J11" s="1142">
        <v>2900</v>
      </c>
      <c r="K11" s="1142">
        <v>6027</v>
      </c>
      <c r="L11" s="1143">
        <v>3.0334449002189392</v>
      </c>
      <c r="M11" s="1142">
        <v>4252</v>
      </c>
      <c r="N11" s="1142">
        <v>1775</v>
      </c>
      <c r="O11" s="1142">
        <v>4426</v>
      </c>
      <c r="P11" s="1143">
        <v>2.2276467775624731</v>
      </c>
      <c r="Q11" s="1146">
        <v>3579</v>
      </c>
      <c r="R11" s="1146">
        <v>847</v>
      </c>
      <c r="S11" s="1145">
        <v>640</v>
      </c>
      <c r="T11" s="1143">
        <v>0.322117925359237</v>
      </c>
      <c r="U11" s="1147">
        <v>635</v>
      </c>
      <c r="V11" s="1147">
        <v>5</v>
      </c>
      <c r="W11" s="1145">
        <v>775</v>
      </c>
      <c r="X11" s="1143">
        <v>0.39006467523970106</v>
      </c>
      <c r="Y11" s="1146">
        <v>411</v>
      </c>
      <c r="Z11" s="1148">
        <v>364</v>
      </c>
      <c r="AA11" s="1142">
        <v>8509</v>
      </c>
      <c r="AB11" s="1143">
        <v>4.2826584795027305</v>
      </c>
      <c r="AC11" s="1146">
        <v>5968</v>
      </c>
      <c r="AD11" s="1142">
        <v>2541</v>
      </c>
    </row>
    <row r="12" spans="1:32" ht="12.75" hidden="1" customHeight="1">
      <c r="A12" s="1149" t="s">
        <v>1354</v>
      </c>
      <c r="B12" s="1150"/>
      <c r="C12" s="1142">
        <v>190474</v>
      </c>
      <c r="D12" s="1143">
        <v>100</v>
      </c>
      <c r="E12" s="1144">
        <v>162299</v>
      </c>
      <c r="F12" s="1144">
        <v>27784</v>
      </c>
      <c r="G12" s="1142">
        <v>45899</v>
      </c>
      <c r="H12" s="1143">
        <v>24.097252118399361</v>
      </c>
      <c r="I12" s="1142">
        <v>42703</v>
      </c>
      <c r="J12" s="1142">
        <v>3196</v>
      </c>
      <c r="K12" s="1142">
        <v>5989</v>
      </c>
      <c r="L12" s="1143">
        <v>3.1442611590033289</v>
      </c>
      <c r="M12" s="1142">
        <v>4278</v>
      </c>
      <c r="N12" s="1142">
        <v>1711</v>
      </c>
      <c r="O12" s="1142">
        <v>4829</v>
      </c>
      <c r="P12" s="1143">
        <v>2.5352541554227876</v>
      </c>
      <c r="Q12" s="1146">
        <v>3809</v>
      </c>
      <c r="R12" s="1146">
        <v>1020</v>
      </c>
      <c r="S12" s="1145">
        <v>669</v>
      </c>
      <c r="T12" s="1143">
        <v>0.35122903913395004</v>
      </c>
      <c r="U12" s="1147">
        <v>656</v>
      </c>
      <c r="V12" s="1147">
        <v>13</v>
      </c>
      <c r="W12" s="1145">
        <v>277</v>
      </c>
      <c r="X12" s="1143">
        <v>0.14542667240673268</v>
      </c>
      <c r="Y12" s="1146">
        <v>157</v>
      </c>
      <c r="Z12" s="1148">
        <v>120</v>
      </c>
      <c r="AA12" s="1142">
        <v>8703</v>
      </c>
      <c r="AB12" s="1143">
        <v>4.5691275449667677</v>
      </c>
      <c r="AC12" s="1146">
        <v>6146</v>
      </c>
      <c r="AD12" s="1142">
        <v>2557</v>
      </c>
    </row>
    <row r="13" spans="1:32" ht="12.75" customHeight="1">
      <c r="A13" s="1149" t="s">
        <v>1355</v>
      </c>
      <c r="B13" s="1150"/>
      <c r="C13" s="1142">
        <v>180081</v>
      </c>
      <c r="D13" s="1143">
        <v>100</v>
      </c>
      <c r="E13" s="1144">
        <v>153244</v>
      </c>
      <c r="F13" s="1144">
        <v>26453</v>
      </c>
      <c r="G13" s="1142">
        <v>43333</v>
      </c>
      <c r="H13" s="1143">
        <v>24.063060511658644</v>
      </c>
      <c r="I13" s="1142">
        <v>40193</v>
      </c>
      <c r="J13" s="1142">
        <v>3139</v>
      </c>
      <c r="K13" s="1142">
        <v>6024</v>
      </c>
      <c r="L13" s="1143">
        <v>3.3451613440618386</v>
      </c>
      <c r="M13" s="1142">
        <v>4402</v>
      </c>
      <c r="N13" s="1142">
        <v>1622</v>
      </c>
      <c r="O13" s="1142">
        <v>3967</v>
      </c>
      <c r="P13" s="1143">
        <v>2.2028975849756498</v>
      </c>
      <c r="Q13" s="1146">
        <v>3105</v>
      </c>
      <c r="R13" s="1146">
        <v>862</v>
      </c>
      <c r="S13" s="1145">
        <v>681</v>
      </c>
      <c r="T13" s="1143">
        <v>0.37816315991137323</v>
      </c>
      <c r="U13" s="1147">
        <v>672</v>
      </c>
      <c r="V13" s="1147">
        <v>9</v>
      </c>
      <c r="W13" s="1145">
        <v>562</v>
      </c>
      <c r="X13" s="1143">
        <v>0.31208178541878379</v>
      </c>
      <c r="Y13" s="1146">
        <v>292</v>
      </c>
      <c r="Z13" s="1148">
        <v>270</v>
      </c>
      <c r="AA13" s="1142">
        <v>8382</v>
      </c>
      <c r="AB13" s="1143">
        <v>4.6545721092175185</v>
      </c>
      <c r="AC13" s="1142">
        <v>5853</v>
      </c>
      <c r="AD13" s="1151">
        <v>2529</v>
      </c>
      <c r="AF13" s="1135" t="s">
        <v>1356</v>
      </c>
    </row>
    <row r="14" spans="1:32" ht="12.75" customHeight="1">
      <c r="A14" s="1149" t="s">
        <v>1357</v>
      </c>
      <c r="B14" s="1150"/>
      <c r="C14" s="1142">
        <v>175300</v>
      </c>
      <c r="D14" s="1143">
        <v>100</v>
      </c>
      <c r="E14" s="1152">
        <v>148490</v>
      </c>
      <c r="F14" s="1153">
        <v>26439</v>
      </c>
      <c r="G14" s="1142">
        <v>43911</v>
      </c>
      <c r="H14" s="1143">
        <v>25.049058756417569</v>
      </c>
      <c r="I14" s="1142">
        <v>40647</v>
      </c>
      <c r="J14" s="1142">
        <v>3264</v>
      </c>
      <c r="K14" s="1142">
        <v>5317</v>
      </c>
      <c r="L14" s="1143">
        <v>3.0330861380490588</v>
      </c>
      <c r="M14" s="1142">
        <v>3860</v>
      </c>
      <c r="N14" s="1142">
        <v>1455</v>
      </c>
      <c r="O14" s="1142">
        <v>3470</v>
      </c>
      <c r="P14" s="1143">
        <v>1.9794637763833427</v>
      </c>
      <c r="Q14" s="1146">
        <v>2751</v>
      </c>
      <c r="R14" s="1146">
        <v>719</v>
      </c>
      <c r="S14" s="1142">
        <v>758</v>
      </c>
      <c r="T14" s="1143">
        <v>0.4324015972618368</v>
      </c>
      <c r="U14" s="1147">
        <v>738</v>
      </c>
      <c r="V14" s="1147">
        <v>20</v>
      </c>
      <c r="W14" s="1142">
        <v>807</v>
      </c>
      <c r="X14" s="1143">
        <v>0.46035367940673128</v>
      </c>
      <c r="Y14" s="1146">
        <v>419</v>
      </c>
      <c r="Z14" s="1148">
        <v>388</v>
      </c>
      <c r="AA14" s="1142">
        <v>8804</v>
      </c>
      <c r="AB14" s="1143">
        <v>5.0222475755847116</v>
      </c>
      <c r="AC14" s="1142">
        <v>5753</v>
      </c>
      <c r="AD14" s="1151">
        <v>3051</v>
      </c>
    </row>
    <row r="15" spans="1:32" ht="12.75" customHeight="1">
      <c r="A15" s="1149" t="s">
        <v>1358</v>
      </c>
      <c r="B15" s="1150"/>
      <c r="C15" s="1142">
        <v>173864</v>
      </c>
      <c r="D15" s="1143">
        <v>100</v>
      </c>
      <c r="E15" s="1152">
        <v>147682</v>
      </c>
      <c r="F15" s="1153">
        <v>25800</v>
      </c>
      <c r="G15" s="1142">
        <v>47476</v>
      </c>
      <c r="H15" s="1143">
        <v>27.306400404914189</v>
      </c>
      <c r="I15" s="1142">
        <v>43945</v>
      </c>
      <c r="J15" s="1142">
        <v>3531</v>
      </c>
      <c r="K15" s="1142">
        <v>4833</v>
      </c>
      <c r="L15" s="1143">
        <v>2.7797588920075462</v>
      </c>
      <c r="M15" s="1142">
        <v>3472</v>
      </c>
      <c r="N15" s="1142">
        <v>1361</v>
      </c>
      <c r="O15" s="1142">
        <v>3765</v>
      </c>
      <c r="P15" s="1143">
        <v>2.165485666958082</v>
      </c>
      <c r="Q15" s="1146">
        <v>3027</v>
      </c>
      <c r="R15" s="1146">
        <v>738</v>
      </c>
      <c r="S15" s="1142">
        <v>860</v>
      </c>
      <c r="T15" s="1143">
        <v>0.4946394883357107</v>
      </c>
      <c r="U15" s="1147">
        <v>842</v>
      </c>
      <c r="V15" s="1147">
        <v>18</v>
      </c>
      <c r="W15" s="1142">
        <v>550</v>
      </c>
      <c r="X15" s="1143">
        <v>0.31633920765655915</v>
      </c>
      <c r="Y15" s="1146">
        <v>307</v>
      </c>
      <c r="Z15" s="1148">
        <v>243</v>
      </c>
      <c r="AA15" s="1142">
        <v>9753</v>
      </c>
      <c r="AB15" s="1143">
        <v>5.6095568950444026</v>
      </c>
      <c r="AC15" s="1142">
        <v>6653</v>
      </c>
      <c r="AD15" s="1151">
        <v>3100</v>
      </c>
    </row>
    <row r="16" spans="1:32" ht="12.75" customHeight="1">
      <c r="A16" s="1149" t="s">
        <v>1359</v>
      </c>
      <c r="B16" s="1150"/>
      <c r="C16" s="1142">
        <v>168595</v>
      </c>
      <c r="D16" s="1143">
        <v>100</v>
      </c>
      <c r="E16" s="1152">
        <v>143595</v>
      </c>
      <c r="F16" s="1153">
        <v>24670</v>
      </c>
      <c r="G16" s="1142">
        <v>48231</v>
      </c>
      <c r="H16" s="1143">
        <v>28.607609952845575</v>
      </c>
      <c r="I16" s="1142">
        <v>44430</v>
      </c>
      <c r="J16" s="1142">
        <v>3801</v>
      </c>
      <c r="K16" s="1142">
        <v>4467</v>
      </c>
      <c r="L16" s="1143">
        <v>2.6495447670452861</v>
      </c>
      <c r="M16" s="1142">
        <v>3235</v>
      </c>
      <c r="N16" s="1142">
        <v>1232</v>
      </c>
      <c r="O16" s="1142">
        <v>3630</v>
      </c>
      <c r="P16" s="1143">
        <v>2.1530887630119517</v>
      </c>
      <c r="Q16" s="1146">
        <v>2940</v>
      </c>
      <c r="R16" s="1146">
        <v>690</v>
      </c>
      <c r="S16" s="1142">
        <v>843</v>
      </c>
      <c r="T16" s="1143">
        <v>0.500014828435007</v>
      </c>
      <c r="U16" s="1147">
        <v>823</v>
      </c>
      <c r="V16" s="1147">
        <v>20</v>
      </c>
      <c r="W16" s="1142">
        <v>132</v>
      </c>
      <c r="X16" s="1143">
        <v>7.8294136836798256E-2</v>
      </c>
      <c r="Y16" s="1146">
        <v>67</v>
      </c>
      <c r="Z16" s="1148">
        <v>65</v>
      </c>
      <c r="AA16" s="1142">
        <v>9035</v>
      </c>
      <c r="AB16" s="1143">
        <v>5.3589964115187279</v>
      </c>
      <c r="AC16" s="1142">
        <v>6091</v>
      </c>
      <c r="AD16" s="1151">
        <v>2944</v>
      </c>
    </row>
    <row r="17" spans="1:30" ht="12.75" customHeight="1">
      <c r="A17" s="1149" t="s">
        <v>1360</v>
      </c>
      <c r="B17" s="1150"/>
      <c r="C17" s="1142">
        <v>188557</v>
      </c>
      <c r="D17" s="1143">
        <v>100</v>
      </c>
      <c r="E17" s="1152">
        <v>162924</v>
      </c>
      <c r="F17" s="1153">
        <v>25282</v>
      </c>
      <c r="G17" s="1142">
        <v>70939</v>
      </c>
      <c r="H17" s="1143">
        <v>37.622045323164876</v>
      </c>
      <c r="I17" s="1142">
        <v>65891</v>
      </c>
      <c r="J17" s="1142">
        <v>5048</v>
      </c>
      <c r="K17" s="1142">
        <v>4740</v>
      </c>
      <c r="L17" s="1143">
        <v>2.5138287096209631</v>
      </c>
      <c r="M17" s="1142">
        <v>3382</v>
      </c>
      <c r="N17" s="1142">
        <v>1358</v>
      </c>
      <c r="O17" s="1142">
        <v>3583</v>
      </c>
      <c r="P17" s="1143">
        <v>1.9002211532852136</v>
      </c>
      <c r="Q17" s="1146">
        <v>2974</v>
      </c>
      <c r="R17" s="1146">
        <v>609</v>
      </c>
      <c r="S17" s="1142">
        <v>675</v>
      </c>
      <c r="T17" s="1143">
        <v>0.35798193649665622</v>
      </c>
      <c r="U17" s="1147">
        <v>666</v>
      </c>
      <c r="V17" s="1147">
        <v>9</v>
      </c>
      <c r="W17" s="1142">
        <v>23</v>
      </c>
      <c r="X17" s="1143">
        <v>1.2197903021367544E-2</v>
      </c>
      <c r="Y17" s="1146">
        <v>12</v>
      </c>
      <c r="Z17" s="1148">
        <v>11</v>
      </c>
      <c r="AA17" s="1142">
        <v>8836</v>
      </c>
      <c r="AB17" s="1143">
        <v>4.686116134643636</v>
      </c>
      <c r="AC17" s="1142">
        <v>5973</v>
      </c>
      <c r="AD17" s="1151">
        <v>2863</v>
      </c>
    </row>
    <row r="18" spans="1:30" ht="12.75" customHeight="1">
      <c r="A18" s="1149" t="s">
        <v>1361</v>
      </c>
      <c r="B18" s="1150"/>
      <c r="C18" s="1142">
        <v>185053</v>
      </c>
      <c r="D18" s="1143">
        <v>100</v>
      </c>
      <c r="E18" s="1152">
        <v>159591</v>
      </c>
      <c r="F18" s="1153">
        <v>25111</v>
      </c>
      <c r="G18" s="1142">
        <v>67788</v>
      </c>
      <c r="H18" s="1143">
        <v>36.631667684393122</v>
      </c>
      <c r="I18" s="1142">
        <v>62593</v>
      </c>
      <c r="J18" s="1142">
        <v>5195</v>
      </c>
      <c r="K18" s="1142">
        <v>3813</v>
      </c>
      <c r="L18" s="1143">
        <v>2.060490778317563</v>
      </c>
      <c r="M18" s="1142">
        <v>2738</v>
      </c>
      <c r="N18" s="1142">
        <v>1075</v>
      </c>
      <c r="O18" s="1142">
        <v>3152</v>
      </c>
      <c r="P18" s="1143">
        <v>1.7032958125509989</v>
      </c>
      <c r="Q18" s="1146">
        <v>2632</v>
      </c>
      <c r="R18" s="1146">
        <v>520</v>
      </c>
      <c r="S18" s="1142">
        <v>595</v>
      </c>
      <c r="T18" s="1143">
        <v>0.32152950776264094</v>
      </c>
      <c r="U18" s="1147">
        <v>586</v>
      </c>
      <c r="V18" s="1147">
        <v>9</v>
      </c>
      <c r="W18" s="1142">
        <v>533</v>
      </c>
      <c r="X18" s="1143">
        <v>0.28802559266804645</v>
      </c>
      <c r="Y18" s="1146">
        <v>302</v>
      </c>
      <c r="Z18" s="1148">
        <v>231</v>
      </c>
      <c r="AA18" s="1142">
        <v>8104</v>
      </c>
      <c r="AB18" s="1143">
        <v>4.3792859342999035</v>
      </c>
      <c r="AC18" s="1142">
        <v>5596</v>
      </c>
      <c r="AD18" s="1151">
        <v>2508</v>
      </c>
    </row>
    <row r="19" spans="1:30" ht="12.75" customHeight="1">
      <c r="A19" s="1149" t="s">
        <v>1362</v>
      </c>
      <c r="B19" s="1150"/>
      <c r="C19" s="1142">
        <v>181132</v>
      </c>
      <c r="D19" s="1143">
        <v>100</v>
      </c>
      <c r="E19" s="1152">
        <v>156108</v>
      </c>
      <c r="F19" s="1153">
        <v>24625</v>
      </c>
      <c r="G19" s="1142">
        <v>61209</v>
      </c>
      <c r="H19" s="1143">
        <v>33.79248283020118</v>
      </c>
      <c r="I19" s="1142">
        <v>56232</v>
      </c>
      <c r="J19" s="1142">
        <v>4977</v>
      </c>
      <c r="K19" s="1142">
        <v>3461</v>
      </c>
      <c r="L19" s="1143">
        <v>1.9107612128171718</v>
      </c>
      <c r="M19" s="1142">
        <v>2471</v>
      </c>
      <c r="N19" s="1142">
        <v>990</v>
      </c>
      <c r="O19" s="1142">
        <v>2723</v>
      </c>
      <c r="P19" s="1143">
        <v>1.5033235430514764</v>
      </c>
      <c r="Q19" s="1146">
        <v>2321</v>
      </c>
      <c r="R19" s="1146">
        <v>402</v>
      </c>
      <c r="S19" s="1142">
        <v>480</v>
      </c>
      <c r="T19" s="1143">
        <v>0.26500011041671268</v>
      </c>
      <c r="U19" s="1147">
        <v>478</v>
      </c>
      <c r="V19" s="1147">
        <v>2</v>
      </c>
      <c r="W19" s="1142">
        <v>295</v>
      </c>
      <c r="X19" s="1143">
        <v>0.16286465119360466</v>
      </c>
      <c r="Y19" s="1146">
        <v>181</v>
      </c>
      <c r="Z19" s="1148">
        <v>114</v>
      </c>
      <c r="AA19" s="1142">
        <v>8262</v>
      </c>
      <c r="AB19" s="1143">
        <v>4.5613144005476673</v>
      </c>
      <c r="AC19" s="1142">
        <v>5431</v>
      </c>
      <c r="AD19" s="1151">
        <v>2831</v>
      </c>
    </row>
    <row r="20" spans="1:30" ht="12.75" customHeight="1">
      <c r="A20" s="1149" t="s">
        <v>1363</v>
      </c>
      <c r="B20" s="1150"/>
      <c r="C20" s="1142">
        <v>192539</v>
      </c>
      <c r="D20" s="1143">
        <v>100</v>
      </c>
      <c r="E20" s="1152">
        <v>165604</v>
      </c>
      <c r="F20" s="1153">
        <v>26554</v>
      </c>
      <c r="G20" s="1142">
        <v>61387</v>
      </c>
      <c r="H20" s="1143">
        <v>31.882891258394402</v>
      </c>
      <c r="I20" s="1142">
        <v>56276</v>
      </c>
      <c r="J20" s="1142">
        <v>5111</v>
      </c>
      <c r="K20" s="1142">
        <v>3562</v>
      </c>
      <c r="L20" s="1143">
        <v>1.8500148021959189</v>
      </c>
      <c r="M20" s="1142">
        <v>2527</v>
      </c>
      <c r="N20" s="1142">
        <v>1035</v>
      </c>
      <c r="O20" s="1142">
        <v>2429</v>
      </c>
      <c r="P20" s="1143">
        <v>1.2615625925137244</v>
      </c>
      <c r="Q20" s="1146">
        <v>2122</v>
      </c>
      <c r="R20" s="1146">
        <v>307</v>
      </c>
      <c r="S20" s="1142">
        <v>496</v>
      </c>
      <c r="T20" s="1143">
        <v>0.25761014651577085</v>
      </c>
      <c r="U20" s="1147">
        <v>493</v>
      </c>
      <c r="V20" s="1147">
        <v>3</v>
      </c>
      <c r="W20" s="1142">
        <v>176</v>
      </c>
      <c r="X20" s="1143">
        <v>9.141005198946707E-2</v>
      </c>
      <c r="Y20" s="1146">
        <v>108</v>
      </c>
      <c r="Z20" s="1148">
        <v>68</v>
      </c>
      <c r="AA20" s="1142">
        <v>7280</v>
      </c>
      <c r="AB20" s="1143">
        <v>3.7810521504734109</v>
      </c>
      <c r="AC20" s="1142">
        <v>4892</v>
      </c>
      <c r="AD20" s="1151">
        <v>2388</v>
      </c>
    </row>
    <row r="21" spans="1:30" ht="12.75" customHeight="1">
      <c r="A21" s="1149" t="s">
        <v>1364</v>
      </c>
      <c r="B21" s="1150"/>
      <c r="C21" s="1142">
        <v>192555</v>
      </c>
      <c r="D21" s="1143">
        <v>100</v>
      </c>
      <c r="E21" s="1152">
        <v>165517</v>
      </c>
      <c r="F21" s="1153">
        <v>26713</v>
      </c>
      <c r="G21" s="1142">
        <v>59046</v>
      </c>
      <c r="H21" s="1143">
        <v>30.664485471683417</v>
      </c>
      <c r="I21" s="1142">
        <v>54182</v>
      </c>
      <c r="J21" s="1142">
        <v>4864</v>
      </c>
      <c r="K21" s="1142">
        <v>3450</v>
      </c>
      <c r="L21" s="1143">
        <v>1.7916958790994779</v>
      </c>
      <c r="M21" s="1142">
        <v>2479</v>
      </c>
      <c r="N21" s="1142">
        <v>971</v>
      </c>
      <c r="O21" s="1142">
        <v>2354</v>
      </c>
      <c r="P21" s="1143">
        <v>1.2225078548986004</v>
      </c>
      <c r="Q21" s="1146">
        <v>2028</v>
      </c>
      <c r="R21" s="1146">
        <v>326</v>
      </c>
      <c r="S21" s="1142">
        <v>516</v>
      </c>
      <c r="T21" s="1143">
        <v>0.26797538365661755</v>
      </c>
      <c r="U21" s="1147">
        <v>514</v>
      </c>
      <c r="V21" s="1147">
        <v>2</v>
      </c>
      <c r="W21" s="1142">
        <v>45</v>
      </c>
      <c r="X21" s="1143">
        <v>2.3369946249123627E-2</v>
      </c>
      <c r="Y21" s="1146">
        <v>20</v>
      </c>
      <c r="Z21" s="1148">
        <v>25</v>
      </c>
      <c r="AA21" s="1142">
        <v>5400</v>
      </c>
      <c r="AB21" s="1143">
        <v>2.8043935498948356</v>
      </c>
      <c r="AC21" s="1142">
        <v>3976</v>
      </c>
      <c r="AD21" s="1151">
        <v>1424</v>
      </c>
    </row>
    <row r="22" spans="1:30" ht="12.75" customHeight="1">
      <c r="A22" s="1149" t="s">
        <v>1365</v>
      </c>
      <c r="B22" s="1150"/>
      <c r="C22" s="1142">
        <v>183159</v>
      </c>
      <c r="D22" s="1143">
        <v>100</v>
      </c>
      <c r="E22" s="1152">
        <v>156310</v>
      </c>
      <c r="F22" s="1153">
        <v>26519</v>
      </c>
      <c r="G22" s="1142">
        <v>52695</v>
      </c>
      <c r="H22" s="1143">
        <v>28.77008500810771</v>
      </c>
      <c r="I22" s="1142">
        <v>48340</v>
      </c>
      <c r="J22" s="1142">
        <v>4355</v>
      </c>
      <c r="K22" s="1142">
        <v>3242</v>
      </c>
      <c r="L22" s="1143">
        <v>1.7700467899475318</v>
      </c>
      <c r="M22" s="1142">
        <v>2263</v>
      </c>
      <c r="N22" s="1142">
        <v>979</v>
      </c>
      <c r="O22" s="1142">
        <v>1988</v>
      </c>
      <c r="P22" s="1143">
        <v>1.0853957490486408</v>
      </c>
      <c r="Q22" s="1146">
        <v>1768</v>
      </c>
      <c r="R22" s="1146">
        <v>220</v>
      </c>
      <c r="S22" s="1142">
        <v>480</v>
      </c>
      <c r="T22" s="1143">
        <v>0.26206738407613056</v>
      </c>
      <c r="U22" s="1147">
        <v>478</v>
      </c>
      <c r="V22" s="1147">
        <v>2</v>
      </c>
      <c r="W22" s="1142">
        <v>397</v>
      </c>
      <c r="X22" s="1143">
        <v>0.21675156557963302</v>
      </c>
      <c r="Y22" s="1146">
        <v>200</v>
      </c>
      <c r="Z22" s="1148">
        <v>197</v>
      </c>
      <c r="AA22" s="1142">
        <v>4823</v>
      </c>
      <c r="AB22" s="1143">
        <v>2.633231236248287</v>
      </c>
      <c r="AC22" s="1142">
        <v>3425</v>
      </c>
      <c r="AD22" s="1151">
        <v>1398</v>
      </c>
    </row>
    <row r="23" spans="1:30" ht="6" customHeight="1">
      <c r="A23" s="1154"/>
      <c r="B23" s="1155"/>
      <c r="C23" s="1156"/>
      <c r="D23" s="1157"/>
      <c r="E23" s="1157"/>
      <c r="F23" s="1157"/>
      <c r="G23" s="1156"/>
      <c r="H23" s="1157"/>
      <c r="I23" s="1157"/>
      <c r="J23" s="1157"/>
      <c r="K23" s="1156"/>
      <c r="L23" s="1158"/>
      <c r="M23" s="1158"/>
      <c r="N23" s="1158"/>
      <c r="O23" s="1156"/>
      <c r="P23" s="1159"/>
      <c r="Q23" s="1159"/>
      <c r="R23" s="1159"/>
      <c r="S23" s="1158"/>
      <c r="T23" s="1159"/>
      <c r="U23" s="1159"/>
      <c r="V23" s="1159"/>
      <c r="W23" s="1158"/>
      <c r="X23" s="1157"/>
      <c r="Y23" s="1157"/>
      <c r="Z23" s="1157"/>
      <c r="AA23" s="1156"/>
      <c r="AB23" s="1160"/>
      <c r="AC23" s="1161"/>
      <c r="AD23" s="1162"/>
    </row>
    <row r="24" spans="1:30">
      <c r="A24" s="1132"/>
      <c r="B24" s="1132"/>
      <c r="C24" s="1132"/>
      <c r="D24" s="1132"/>
      <c r="E24" s="1132"/>
      <c r="F24" s="1132"/>
      <c r="G24" s="1132"/>
      <c r="H24" s="1132"/>
      <c r="I24" s="1132"/>
      <c r="J24" s="1132"/>
      <c r="K24" s="1132"/>
      <c r="L24" s="1132"/>
      <c r="M24" s="1132"/>
      <c r="N24" s="1132"/>
      <c r="O24" s="1132"/>
      <c r="P24" s="1132"/>
      <c r="Q24" s="1132"/>
      <c r="R24" s="1132"/>
      <c r="S24" s="1132"/>
      <c r="T24" s="1132"/>
      <c r="U24" s="1132"/>
      <c r="V24" s="1132"/>
      <c r="W24" s="1132"/>
      <c r="X24" s="1132"/>
      <c r="Y24" s="1132"/>
      <c r="Z24" s="1132"/>
      <c r="AA24" s="1132"/>
      <c r="AB24" s="1132"/>
      <c r="AC24" s="1134"/>
    </row>
    <row r="25" spans="1:30" ht="20.100000000000001" customHeight="1">
      <c r="A25" s="3231" t="s">
        <v>1335</v>
      </c>
      <c r="B25" s="3232"/>
      <c r="C25" s="3242" t="s">
        <v>1366</v>
      </c>
      <c r="D25" s="3240"/>
      <c r="E25" s="3240"/>
      <c r="F25" s="3261"/>
      <c r="G25" s="3265" t="s">
        <v>1367</v>
      </c>
      <c r="H25" s="3231"/>
      <c r="I25" s="3231"/>
      <c r="J25" s="3232"/>
      <c r="K25" s="3242" t="s">
        <v>1368</v>
      </c>
      <c r="L25" s="3240"/>
      <c r="M25" s="3240"/>
      <c r="N25" s="3261"/>
      <c r="O25" s="3242" t="s">
        <v>1369</v>
      </c>
      <c r="P25" s="3240"/>
      <c r="Q25" s="3240"/>
      <c r="R25" s="3261"/>
      <c r="S25" s="3242" t="s">
        <v>1370</v>
      </c>
      <c r="T25" s="3240"/>
      <c r="U25" s="3240"/>
      <c r="V25" s="3261"/>
      <c r="W25" s="3242" t="s">
        <v>1371</v>
      </c>
      <c r="X25" s="3240"/>
      <c r="Y25" s="3240"/>
      <c r="Z25" s="3261"/>
      <c r="AA25" s="3242" t="s">
        <v>1372</v>
      </c>
      <c r="AB25" s="3240"/>
      <c r="AC25" s="3240"/>
      <c r="AD25" s="3261"/>
    </row>
    <row r="26" spans="1:30" ht="5.0999999999999996" customHeight="1">
      <c r="A26" s="3233"/>
      <c r="B26" s="3234"/>
      <c r="C26" s="3262"/>
      <c r="D26" s="3263"/>
      <c r="E26" s="3263"/>
      <c r="F26" s="3264"/>
      <c r="G26" s="3266"/>
      <c r="H26" s="3233"/>
      <c r="I26" s="3233"/>
      <c r="J26" s="3234"/>
      <c r="K26" s="3262"/>
      <c r="L26" s="3263"/>
      <c r="M26" s="3263"/>
      <c r="N26" s="3264"/>
      <c r="O26" s="3262"/>
      <c r="P26" s="3263"/>
      <c r="Q26" s="3263"/>
      <c r="R26" s="3264"/>
      <c r="S26" s="3262"/>
      <c r="T26" s="3263"/>
      <c r="U26" s="3263"/>
      <c r="V26" s="3264"/>
      <c r="W26" s="3262"/>
      <c r="X26" s="3263"/>
      <c r="Y26" s="3263"/>
      <c r="Z26" s="3264"/>
      <c r="AA26" s="3262"/>
      <c r="AB26" s="3263"/>
      <c r="AC26" s="3263"/>
      <c r="AD26" s="3264"/>
    </row>
    <row r="27" spans="1:30" ht="18" customHeight="1">
      <c r="A27" s="3233"/>
      <c r="B27" s="3234"/>
      <c r="C27" s="3226" t="s">
        <v>1373</v>
      </c>
      <c r="D27" s="1138"/>
      <c r="E27" s="3228" t="s">
        <v>1349</v>
      </c>
      <c r="F27" s="3228" t="s">
        <v>1344</v>
      </c>
      <c r="G27" s="3226" t="s">
        <v>1345</v>
      </c>
      <c r="H27" s="1138"/>
      <c r="I27" s="3228" t="s">
        <v>1374</v>
      </c>
      <c r="J27" s="3228" t="s">
        <v>1347</v>
      </c>
      <c r="K27" s="3226" t="s">
        <v>1345</v>
      </c>
      <c r="L27" s="1138"/>
      <c r="M27" s="3228" t="s">
        <v>1374</v>
      </c>
      <c r="N27" s="3228" t="s">
        <v>1344</v>
      </c>
      <c r="O27" s="3226" t="s">
        <v>1373</v>
      </c>
      <c r="P27" s="1138"/>
      <c r="Q27" s="3228" t="s">
        <v>1343</v>
      </c>
      <c r="R27" s="3228" t="s">
        <v>1347</v>
      </c>
      <c r="S27" s="3226" t="s">
        <v>1375</v>
      </c>
      <c r="T27" s="1138"/>
      <c r="U27" s="3228" t="s">
        <v>1374</v>
      </c>
      <c r="V27" s="3228" t="s">
        <v>1346</v>
      </c>
      <c r="W27" s="3226" t="s">
        <v>1373</v>
      </c>
      <c r="X27" s="1138"/>
      <c r="Y27" s="3228" t="s">
        <v>1374</v>
      </c>
      <c r="Z27" s="3228" t="s">
        <v>1376</v>
      </c>
      <c r="AA27" s="3226" t="s">
        <v>1373</v>
      </c>
      <c r="AB27" s="1138"/>
      <c r="AC27" s="3228" t="s">
        <v>1377</v>
      </c>
      <c r="AD27" s="3228" t="s">
        <v>1347</v>
      </c>
    </row>
    <row r="28" spans="1:30" ht="18" customHeight="1">
      <c r="A28" s="3235"/>
      <c r="B28" s="3236"/>
      <c r="C28" s="3227"/>
      <c r="D28" s="1139" t="s">
        <v>1245</v>
      </c>
      <c r="E28" s="3229"/>
      <c r="F28" s="3229"/>
      <c r="G28" s="3227"/>
      <c r="H28" s="1139" t="s">
        <v>1245</v>
      </c>
      <c r="I28" s="3229"/>
      <c r="J28" s="3229"/>
      <c r="K28" s="3227"/>
      <c r="L28" s="1139" t="s">
        <v>1245</v>
      </c>
      <c r="M28" s="3229"/>
      <c r="N28" s="3229"/>
      <c r="O28" s="3227"/>
      <c r="P28" s="1139" t="s">
        <v>1245</v>
      </c>
      <c r="Q28" s="3229"/>
      <c r="R28" s="3229"/>
      <c r="S28" s="3227"/>
      <c r="T28" s="1139" t="s">
        <v>934</v>
      </c>
      <c r="U28" s="3229"/>
      <c r="V28" s="3229"/>
      <c r="W28" s="3227"/>
      <c r="X28" s="1139" t="s">
        <v>934</v>
      </c>
      <c r="Y28" s="3229"/>
      <c r="Z28" s="3229"/>
      <c r="AA28" s="3227"/>
      <c r="AB28" s="1139" t="s">
        <v>934</v>
      </c>
      <c r="AC28" s="3229"/>
      <c r="AD28" s="3229"/>
    </row>
    <row r="29" spans="1:30" ht="6" customHeight="1">
      <c r="A29" s="1140"/>
      <c r="B29" s="1141"/>
      <c r="C29" s="1145"/>
      <c r="D29" s="1143"/>
      <c r="E29" s="1151"/>
      <c r="F29" s="1151"/>
      <c r="G29" s="1142"/>
      <c r="H29" s="1143"/>
      <c r="I29" s="1144"/>
      <c r="J29" s="1144"/>
      <c r="K29" s="1142"/>
      <c r="L29" s="1143"/>
      <c r="M29" s="1142"/>
      <c r="N29" s="1144"/>
      <c r="O29" s="1142"/>
      <c r="P29" s="1143"/>
      <c r="Q29" s="1151"/>
      <c r="R29" s="1144"/>
      <c r="S29" s="1142"/>
      <c r="T29" s="1143"/>
      <c r="U29" s="1144"/>
      <c r="V29" s="1144"/>
      <c r="W29" s="1142"/>
      <c r="X29" s="1143"/>
      <c r="Y29" s="1144"/>
      <c r="Z29" s="1144"/>
      <c r="AA29" s="1142"/>
      <c r="AB29" s="1143"/>
      <c r="AC29" s="1144"/>
      <c r="AD29" s="1144"/>
    </row>
    <row r="30" spans="1:30" ht="12" hidden="1" customHeight="1">
      <c r="A30" s="1149" t="s">
        <v>1378</v>
      </c>
      <c r="B30" s="1150"/>
      <c r="C30" s="1145">
        <v>423</v>
      </c>
      <c r="D30" s="1143">
        <v>0.33312857345366914</v>
      </c>
      <c r="E30" s="1151">
        <v>399</v>
      </c>
      <c r="F30" s="1151">
        <v>24</v>
      </c>
      <c r="G30" s="1142">
        <v>2272</v>
      </c>
      <c r="H30" s="1143">
        <v>1.7892863330655702</v>
      </c>
      <c r="I30" s="1144">
        <v>2034</v>
      </c>
      <c r="J30" s="1144">
        <v>238</v>
      </c>
      <c r="K30" s="1142">
        <v>6566</v>
      </c>
      <c r="L30" s="1143">
        <v>5.1709744995196019</v>
      </c>
      <c r="M30" s="1142">
        <v>5531</v>
      </c>
      <c r="N30" s="1144">
        <v>1035</v>
      </c>
      <c r="O30" s="1142">
        <v>242</v>
      </c>
      <c r="P30" s="1143">
        <v>0.19058419568744192</v>
      </c>
      <c r="Q30" s="1151">
        <v>227</v>
      </c>
      <c r="R30" s="1144">
        <v>15</v>
      </c>
      <c r="S30" s="1142">
        <v>2139</v>
      </c>
      <c r="T30" s="1143">
        <v>1.6845437792373481</v>
      </c>
      <c r="U30" s="1144">
        <v>1957</v>
      </c>
      <c r="V30" s="1144">
        <v>182</v>
      </c>
      <c r="W30" s="1142">
        <v>16129</v>
      </c>
      <c r="X30" s="1143">
        <v>12.702200381168391</v>
      </c>
      <c r="Y30" s="1144">
        <v>14516</v>
      </c>
      <c r="Z30" s="1144">
        <v>1613</v>
      </c>
      <c r="AA30" s="1142">
        <v>2286</v>
      </c>
      <c r="AB30" s="1143">
        <v>1.8003118650474885</v>
      </c>
      <c r="AC30" s="1144">
        <v>2166</v>
      </c>
      <c r="AD30" s="1144">
        <v>120</v>
      </c>
    </row>
    <row r="31" spans="1:30" ht="12" hidden="1" customHeight="1">
      <c r="A31" s="1149" t="s">
        <v>1379</v>
      </c>
      <c r="B31" s="1150"/>
      <c r="C31" s="1145">
        <v>481</v>
      </c>
      <c r="D31" s="1143">
        <v>0.33003979689858653</v>
      </c>
      <c r="E31" s="1151">
        <v>458</v>
      </c>
      <c r="F31" s="1151">
        <v>23</v>
      </c>
      <c r="G31" s="1142">
        <v>2329</v>
      </c>
      <c r="H31" s="1143">
        <v>1.5980513242761081</v>
      </c>
      <c r="I31" s="1144">
        <v>2111</v>
      </c>
      <c r="J31" s="1144">
        <v>217</v>
      </c>
      <c r="K31" s="1142">
        <v>7717</v>
      </c>
      <c r="L31" s="1143">
        <v>5.2950459722794019</v>
      </c>
      <c r="M31" s="1142">
        <v>6495</v>
      </c>
      <c r="N31" s="1144">
        <v>1222</v>
      </c>
      <c r="O31" s="1142">
        <v>300</v>
      </c>
      <c r="P31" s="1143">
        <v>0.20584602717167558</v>
      </c>
      <c r="Q31" s="1151">
        <v>293</v>
      </c>
      <c r="R31" s="1144">
        <v>7</v>
      </c>
      <c r="S31" s="1142">
        <v>2499</v>
      </c>
      <c r="T31" s="1143">
        <v>1.7146974063400575</v>
      </c>
      <c r="U31" s="1144">
        <v>2273</v>
      </c>
      <c r="V31" s="1144">
        <v>226</v>
      </c>
      <c r="W31" s="1142">
        <v>17883</v>
      </c>
      <c r="X31" s="1143">
        <v>12.270481679703583</v>
      </c>
      <c r="Y31" s="1144">
        <v>15843</v>
      </c>
      <c r="Z31" s="1144">
        <v>2040</v>
      </c>
      <c r="AA31" s="1142">
        <v>2439</v>
      </c>
      <c r="AB31" s="1143">
        <v>1.6735282009057224</v>
      </c>
      <c r="AC31" s="1144">
        <v>2347</v>
      </c>
      <c r="AD31" s="1144">
        <v>92</v>
      </c>
    </row>
    <row r="32" spans="1:30" ht="12" hidden="1" customHeight="1">
      <c r="A32" s="1149" t="s">
        <v>1380</v>
      </c>
      <c r="B32" s="1150"/>
      <c r="C32" s="1145">
        <v>455</v>
      </c>
      <c r="D32" s="1143">
        <v>0.2619292963600463</v>
      </c>
      <c r="E32" s="1151">
        <v>423</v>
      </c>
      <c r="F32" s="1151">
        <v>32</v>
      </c>
      <c r="G32" s="1142">
        <v>2324</v>
      </c>
      <c r="H32" s="1143">
        <v>1.3378542521774672</v>
      </c>
      <c r="I32" s="1144">
        <v>2016</v>
      </c>
      <c r="J32" s="1144">
        <v>303</v>
      </c>
      <c r="K32" s="1142">
        <v>7568</v>
      </c>
      <c r="L32" s="1143">
        <v>4.3566613513249015</v>
      </c>
      <c r="M32" s="1142">
        <v>6412</v>
      </c>
      <c r="N32" s="1144">
        <v>1156</v>
      </c>
      <c r="O32" s="1142">
        <v>288</v>
      </c>
      <c r="P32" s="1143">
        <v>0.16579260956416117</v>
      </c>
      <c r="Q32" s="1151">
        <v>278</v>
      </c>
      <c r="R32" s="1144">
        <v>10</v>
      </c>
      <c r="S32" s="1142">
        <v>3328</v>
      </c>
      <c r="T32" s="1143">
        <v>1.9158257105191958</v>
      </c>
      <c r="U32" s="1144">
        <v>2998</v>
      </c>
      <c r="V32" s="1144">
        <v>330</v>
      </c>
      <c r="W32" s="1142">
        <v>23250</v>
      </c>
      <c r="X32" s="1143">
        <v>13.384299209606763</v>
      </c>
      <c r="Y32" s="1144">
        <v>20770</v>
      </c>
      <c r="Z32" s="1144">
        <v>2480</v>
      </c>
      <c r="AA32" s="1142">
        <v>2351</v>
      </c>
      <c r="AB32" s="1143">
        <v>1.3533973093241072</v>
      </c>
      <c r="AC32" s="1144">
        <v>2222</v>
      </c>
      <c r="AD32" s="1144">
        <v>129</v>
      </c>
    </row>
    <row r="33" spans="1:30" ht="12" hidden="1" customHeight="1">
      <c r="A33" s="1149" t="s">
        <v>1381</v>
      </c>
      <c r="B33" s="1150"/>
      <c r="C33" s="1145">
        <v>491</v>
      </c>
      <c r="D33" s="1143">
        <v>0.24712484586153963</v>
      </c>
      <c r="E33" s="1151">
        <v>455</v>
      </c>
      <c r="F33" s="1151">
        <v>36</v>
      </c>
      <c r="G33" s="1142">
        <v>2071</v>
      </c>
      <c r="H33" s="1143">
        <v>1.0423534740921558</v>
      </c>
      <c r="I33" s="1144">
        <v>1815</v>
      </c>
      <c r="J33" s="1144">
        <v>252</v>
      </c>
      <c r="K33" s="1142">
        <v>7373</v>
      </c>
      <c r="L33" s="1143">
        <v>3.7108991619900848</v>
      </c>
      <c r="M33" s="1142">
        <v>6206</v>
      </c>
      <c r="N33" s="1144">
        <v>1167</v>
      </c>
      <c r="O33" s="1142">
        <v>416</v>
      </c>
      <c r="P33" s="1143">
        <v>0.20937665148350404</v>
      </c>
      <c r="Q33" s="1151">
        <v>399</v>
      </c>
      <c r="R33" s="1144">
        <v>17</v>
      </c>
      <c r="S33" s="1142">
        <v>3723</v>
      </c>
      <c r="T33" s="1143">
        <v>1.8738203689256865</v>
      </c>
      <c r="U33" s="1144">
        <v>3361</v>
      </c>
      <c r="V33" s="1144">
        <v>362</v>
      </c>
      <c r="W33" s="1142">
        <v>28694</v>
      </c>
      <c r="X33" s="1143">
        <v>14.441955859778041</v>
      </c>
      <c r="Y33" s="1144">
        <v>25815</v>
      </c>
      <c r="Z33" s="1144">
        <v>2879</v>
      </c>
      <c r="AA33" s="1142">
        <v>2212</v>
      </c>
      <c r="AB33" s="1143">
        <v>1.1133200795228628</v>
      </c>
      <c r="AC33" s="1144">
        <v>2100</v>
      </c>
      <c r="AD33" s="1144">
        <v>112</v>
      </c>
    </row>
    <row r="34" spans="1:30" ht="12" hidden="1" customHeight="1">
      <c r="A34" s="1149" t="s">
        <v>1382</v>
      </c>
      <c r="B34" s="1150"/>
      <c r="C34" s="1145">
        <v>434</v>
      </c>
      <c r="D34" s="1143">
        <v>0.22785262030513351</v>
      </c>
      <c r="E34" s="1151">
        <v>405</v>
      </c>
      <c r="F34" s="1151">
        <v>29</v>
      </c>
      <c r="G34" s="1142">
        <v>1881</v>
      </c>
      <c r="H34" s="1143">
        <v>0.98753635666810158</v>
      </c>
      <c r="I34" s="1144">
        <v>1642</v>
      </c>
      <c r="J34" s="1144">
        <v>237</v>
      </c>
      <c r="K34" s="1142">
        <v>7463</v>
      </c>
      <c r="L34" s="1143">
        <v>3.918120058380671</v>
      </c>
      <c r="M34" s="1142">
        <v>6211</v>
      </c>
      <c r="N34" s="1144">
        <v>1252</v>
      </c>
      <c r="O34" s="1142">
        <v>304</v>
      </c>
      <c r="P34" s="1143">
        <v>0.15960183542110734</v>
      </c>
      <c r="Q34" s="1151">
        <v>281</v>
      </c>
      <c r="R34" s="1144">
        <v>23</v>
      </c>
      <c r="S34" s="1142">
        <v>3961</v>
      </c>
      <c r="T34" s="1143">
        <v>2.0795489148125204</v>
      </c>
      <c r="U34" s="1144">
        <v>3615</v>
      </c>
      <c r="V34" s="1144">
        <v>346</v>
      </c>
      <c r="W34" s="1142">
        <v>22488</v>
      </c>
      <c r="X34" s="1143">
        <v>11.806335772861388</v>
      </c>
      <c r="Y34" s="1144">
        <v>19737</v>
      </c>
      <c r="Z34" s="1144">
        <v>2751</v>
      </c>
      <c r="AA34" s="1142">
        <v>2164</v>
      </c>
      <c r="AB34" s="1143">
        <v>1.1361130653002509</v>
      </c>
      <c r="AC34" s="1144">
        <v>2062</v>
      </c>
      <c r="AD34" s="1144">
        <v>102</v>
      </c>
    </row>
    <row r="35" spans="1:30" ht="12" customHeight="1">
      <c r="A35" s="1149" t="s">
        <v>1355</v>
      </c>
      <c r="B35" s="1150"/>
      <c r="C35" s="1145">
        <v>431</v>
      </c>
      <c r="D35" s="1143">
        <v>0.2393367429101349</v>
      </c>
      <c r="E35" s="1151">
        <v>404</v>
      </c>
      <c r="F35" s="1142">
        <v>27</v>
      </c>
      <c r="G35" s="1142">
        <v>1584</v>
      </c>
      <c r="H35" s="1143">
        <v>0.87960417811984615</v>
      </c>
      <c r="I35" s="1144">
        <v>1386</v>
      </c>
      <c r="J35" s="1144">
        <v>198</v>
      </c>
      <c r="K35" s="1142">
        <v>7756</v>
      </c>
      <c r="L35" s="1143">
        <v>4.3069507610464175</v>
      </c>
      <c r="M35" s="1142">
        <v>6436</v>
      </c>
      <c r="N35" s="1144">
        <v>1320</v>
      </c>
      <c r="O35" s="1142">
        <v>286</v>
      </c>
      <c r="P35" s="1143">
        <v>0.15881742104941665</v>
      </c>
      <c r="Q35" s="1151">
        <v>271</v>
      </c>
      <c r="R35" s="1144">
        <v>15</v>
      </c>
      <c r="S35" s="1142">
        <v>3852</v>
      </c>
      <c r="T35" s="1143">
        <v>2.1390374331550799</v>
      </c>
      <c r="U35" s="1144">
        <v>3474</v>
      </c>
      <c r="V35" s="1144">
        <v>378</v>
      </c>
      <c r="W35" s="1142">
        <v>21271</v>
      </c>
      <c r="X35" s="1143">
        <v>11.811906864133363</v>
      </c>
      <c r="Y35" s="1144">
        <v>18516</v>
      </c>
      <c r="Z35" s="1144">
        <v>2755</v>
      </c>
      <c r="AA35" s="1142">
        <v>1800</v>
      </c>
      <c r="AB35" s="1143">
        <v>0.9995502024089159</v>
      </c>
      <c r="AC35" s="1144">
        <v>1732</v>
      </c>
      <c r="AD35" s="1144">
        <v>68</v>
      </c>
    </row>
    <row r="36" spans="1:30" ht="12" customHeight="1">
      <c r="A36" s="1149" t="s">
        <v>1383</v>
      </c>
      <c r="B36" s="1150"/>
      <c r="C36" s="1145">
        <v>385</v>
      </c>
      <c r="D36" s="1143">
        <v>0.21962350256702795</v>
      </c>
      <c r="E36" s="1151">
        <v>360</v>
      </c>
      <c r="F36" s="1142">
        <v>25</v>
      </c>
      <c r="G36" s="1142">
        <v>1600</v>
      </c>
      <c r="H36" s="1143">
        <v>0.91272104962920697</v>
      </c>
      <c r="I36" s="1144">
        <v>1356</v>
      </c>
      <c r="J36" s="1144">
        <v>242</v>
      </c>
      <c r="K36" s="1142">
        <v>7667</v>
      </c>
      <c r="L36" s="1143">
        <v>4.3736451796919571</v>
      </c>
      <c r="M36" s="1142">
        <v>6376</v>
      </c>
      <c r="N36" s="1144">
        <v>1291</v>
      </c>
      <c r="O36" s="1142">
        <v>260</v>
      </c>
      <c r="P36" s="1143">
        <v>0.14831717056474614</v>
      </c>
      <c r="Q36" s="1151">
        <v>247</v>
      </c>
      <c r="R36" s="1144">
        <v>13</v>
      </c>
      <c r="S36" s="1142">
        <v>4094</v>
      </c>
      <c r="T36" s="1143">
        <v>2.3354249857387335</v>
      </c>
      <c r="U36" s="1144">
        <v>3685</v>
      </c>
      <c r="V36" s="1144">
        <v>409</v>
      </c>
      <c r="W36" s="1142">
        <v>21392</v>
      </c>
      <c r="X36" s="1143">
        <v>12.203080433542498</v>
      </c>
      <c r="Y36" s="1144">
        <v>18573</v>
      </c>
      <c r="Z36" s="1144">
        <v>2819</v>
      </c>
      <c r="AA36" s="1142">
        <v>1460</v>
      </c>
      <c r="AB36" s="1143">
        <v>0.83285795778665139</v>
      </c>
      <c r="AC36" s="1144">
        <v>1383</v>
      </c>
      <c r="AD36" s="1144">
        <v>77</v>
      </c>
    </row>
    <row r="37" spans="1:30" ht="12" customHeight="1">
      <c r="A37" s="1149" t="s">
        <v>1384</v>
      </c>
      <c r="B37" s="1150"/>
      <c r="C37" s="1145">
        <v>365</v>
      </c>
      <c r="D37" s="1143">
        <v>0.20993420144480743</v>
      </c>
      <c r="E37" s="1151">
        <v>346</v>
      </c>
      <c r="F37" s="1142">
        <v>19</v>
      </c>
      <c r="G37" s="1142">
        <v>1525</v>
      </c>
      <c r="H37" s="1143">
        <v>0.87712234850227766</v>
      </c>
      <c r="I37" s="1144">
        <v>1307</v>
      </c>
      <c r="J37" s="1144">
        <v>216</v>
      </c>
      <c r="K37" s="1142">
        <v>7916</v>
      </c>
      <c r="L37" s="1143">
        <v>4.5529839414714957</v>
      </c>
      <c r="M37" s="1142">
        <v>6540</v>
      </c>
      <c r="N37" s="1144">
        <v>1376</v>
      </c>
      <c r="O37" s="1142">
        <v>294</v>
      </c>
      <c r="P37" s="1143">
        <v>0.16909768554732435</v>
      </c>
      <c r="Q37" s="1151">
        <v>276</v>
      </c>
      <c r="R37" s="1144">
        <v>18</v>
      </c>
      <c r="S37" s="1142">
        <v>4128</v>
      </c>
      <c r="T37" s="1143">
        <v>2.3742695440114114</v>
      </c>
      <c r="U37" s="1144">
        <v>3738</v>
      </c>
      <c r="V37" s="1144">
        <v>390</v>
      </c>
      <c r="W37" s="1142">
        <v>20468</v>
      </c>
      <c r="X37" s="1143">
        <v>11.772419822389914</v>
      </c>
      <c r="Y37" s="1144">
        <v>17563</v>
      </c>
      <c r="Z37" s="1144">
        <v>2905</v>
      </c>
      <c r="AA37" s="1142">
        <v>1266</v>
      </c>
      <c r="AB37" s="1143">
        <v>0.72815533980582525</v>
      </c>
      <c r="AC37" s="1144">
        <v>1214</v>
      </c>
      <c r="AD37" s="1144">
        <v>52</v>
      </c>
    </row>
    <row r="38" spans="1:30" ht="12" customHeight="1">
      <c r="A38" s="1149" t="s">
        <v>1359</v>
      </c>
      <c r="B38" s="1150"/>
      <c r="C38" s="1145">
        <v>310</v>
      </c>
      <c r="D38" s="1143">
        <v>0.18387259408642012</v>
      </c>
      <c r="E38" s="1151">
        <v>291</v>
      </c>
      <c r="F38" s="1142">
        <v>19</v>
      </c>
      <c r="G38" s="1142">
        <v>1406</v>
      </c>
      <c r="H38" s="1143">
        <v>0.83395118479195707</v>
      </c>
      <c r="I38" s="1144">
        <v>1217</v>
      </c>
      <c r="J38" s="1144">
        <v>188</v>
      </c>
      <c r="K38" s="1142">
        <v>8224</v>
      </c>
      <c r="L38" s="1143">
        <v>4.8779619798926426</v>
      </c>
      <c r="M38" s="1142">
        <v>6773</v>
      </c>
      <c r="N38" s="1144">
        <v>1451</v>
      </c>
      <c r="O38" s="1142">
        <v>277</v>
      </c>
      <c r="P38" s="1143">
        <v>0.16429905987722057</v>
      </c>
      <c r="Q38" s="1151">
        <v>262</v>
      </c>
      <c r="R38" s="1144">
        <v>15</v>
      </c>
      <c r="S38" s="1142">
        <v>4204</v>
      </c>
      <c r="T38" s="1143">
        <v>2.4935496307719687</v>
      </c>
      <c r="U38" s="1144">
        <v>3790</v>
      </c>
      <c r="V38" s="1144">
        <v>414</v>
      </c>
      <c r="W38" s="1142">
        <v>19462</v>
      </c>
      <c r="X38" s="1143">
        <v>11.54364008422551</v>
      </c>
      <c r="Y38" s="1144">
        <v>16637</v>
      </c>
      <c r="Z38" s="1144">
        <v>2825</v>
      </c>
      <c r="AA38" s="1142">
        <v>1045</v>
      </c>
      <c r="AB38" s="1143">
        <v>0.61982858329131951</v>
      </c>
      <c r="AC38" s="1144">
        <v>997</v>
      </c>
      <c r="AD38" s="1144">
        <v>48</v>
      </c>
    </row>
    <row r="39" spans="1:30" ht="12" customHeight="1">
      <c r="A39" s="1149" t="s">
        <v>1385</v>
      </c>
      <c r="B39" s="1150"/>
      <c r="C39" s="1145">
        <v>277</v>
      </c>
      <c r="D39" s="1143">
        <v>0.14690517986603521</v>
      </c>
      <c r="E39" s="1151">
        <v>261</v>
      </c>
      <c r="F39" s="1142">
        <v>16</v>
      </c>
      <c r="G39" s="1142">
        <v>1346</v>
      </c>
      <c r="H39" s="1143">
        <v>0.71384249855481374</v>
      </c>
      <c r="I39" s="1144">
        <v>1146</v>
      </c>
      <c r="J39" s="1144">
        <v>199</v>
      </c>
      <c r="K39" s="1142">
        <v>8500</v>
      </c>
      <c r="L39" s="1143">
        <v>4.507920681809745</v>
      </c>
      <c r="M39" s="1142">
        <v>7032</v>
      </c>
      <c r="N39" s="1144">
        <v>1468</v>
      </c>
      <c r="O39" s="1142">
        <v>252</v>
      </c>
      <c r="P39" s="1143">
        <v>0.13364658962541831</v>
      </c>
      <c r="Q39" s="1151">
        <v>239</v>
      </c>
      <c r="R39" s="1144">
        <v>13</v>
      </c>
      <c r="S39" s="1142">
        <v>4042</v>
      </c>
      <c r="T39" s="1143">
        <v>2.1436488701029397</v>
      </c>
      <c r="U39" s="1144">
        <v>3665</v>
      </c>
      <c r="V39" s="1144">
        <v>377</v>
      </c>
      <c r="W39" s="1142">
        <v>19930</v>
      </c>
      <c r="X39" s="1143">
        <v>10.569748139819788</v>
      </c>
      <c r="Y39" s="1144">
        <v>16878</v>
      </c>
      <c r="Z39" s="1144">
        <v>3052</v>
      </c>
      <c r="AA39" s="1142">
        <v>924</v>
      </c>
      <c r="AB39" s="1143">
        <v>0.49003749529320051</v>
      </c>
      <c r="AC39" s="1144">
        <v>881</v>
      </c>
      <c r="AD39" s="1144">
        <v>43</v>
      </c>
    </row>
    <row r="40" spans="1:30" ht="12" customHeight="1">
      <c r="A40" s="1149" t="s">
        <v>1386</v>
      </c>
      <c r="B40" s="1150"/>
      <c r="C40" s="1145">
        <v>287</v>
      </c>
      <c r="D40" s="1143">
        <v>0.1550907037443327</v>
      </c>
      <c r="E40" s="1151">
        <v>271</v>
      </c>
      <c r="F40" s="1142">
        <v>16</v>
      </c>
      <c r="G40" s="1142">
        <v>1365</v>
      </c>
      <c r="H40" s="1143">
        <v>0.73762651780841171</v>
      </c>
      <c r="I40" s="1144">
        <v>1182</v>
      </c>
      <c r="J40" s="1144">
        <v>181</v>
      </c>
      <c r="K40" s="1142">
        <v>8878</v>
      </c>
      <c r="L40" s="1143">
        <v>4.7975444872550028</v>
      </c>
      <c r="M40" s="1142">
        <v>7343</v>
      </c>
      <c r="N40" s="1144">
        <v>1535</v>
      </c>
      <c r="O40" s="1142">
        <v>233</v>
      </c>
      <c r="P40" s="1143">
        <v>0.12590987446839555</v>
      </c>
      <c r="Q40" s="1151">
        <v>223</v>
      </c>
      <c r="R40" s="1144">
        <v>10</v>
      </c>
      <c r="S40" s="1142">
        <v>3948</v>
      </c>
      <c r="T40" s="1143">
        <v>2.133442851507406</v>
      </c>
      <c r="U40" s="1144">
        <v>3572</v>
      </c>
      <c r="V40" s="1144">
        <v>376</v>
      </c>
      <c r="W40" s="1142">
        <v>20213</v>
      </c>
      <c r="X40" s="1143">
        <v>10.922816706565145</v>
      </c>
      <c r="Y40" s="1144">
        <v>17154</v>
      </c>
      <c r="Z40" s="1144">
        <v>3059</v>
      </c>
      <c r="AA40" s="1142">
        <v>818</v>
      </c>
      <c r="AB40" s="1143">
        <v>0.44203552495771481</v>
      </c>
      <c r="AC40" s="1144">
        <v>783</v>
      </c>
      <c r="AD40" s="1144">
        <v>35</v>
      </c>
    </row>
    <row r="41" spans="1:30" ht="12" customHeight="1">
      <c r="A41" s="1149" t="s">
        <v>1362</v>
      </c>
      <c r="B41" s="1150"/>
      <c r="C41" s="1145">
        <v>253</v>
      </c>
      <c r="D41" s="1143">
        <v>0.13967714153214231</v>
      </c>
      <c r="E41" s="1151">
        <v>231</v>
      </c>
      <c r="F41" s="1142">
        <v>22</v>
      </c>
      <c r="G41" s="1142">
        <v>1345</v>
      </c>
      <c r="H41" s="1143">
        <v>0.7425523927301636</v>
      </c>
      <c r="I41" s="1144">
        <v>1166</v>
      </c>
      <c r="J41" s="1144">
        <v>178</v>
      </c>
      <c r="K41" s="1142">
        <v>9545</v>
      </c>
      <c r="L41" s="1143">
        <v>5.2696376123490056</v>
      </c>
      <c r="M41" s="1142">
        <v>7939</v>
      </c>
      <c r="N41" s="1144">
        <v>1606</v>
      </c>
      <c r="O41" s="1142">
        <v>154</v>
      </c>
      <c r="P41" s="1143">
        <v>8.5020868758695314E-2</v>
      </c>
      <c r="Q41" s="1151">
        <v>145</v>
      </c>
      <c r="R41" s="1144">
        <v>9</v>
      </c>
      <c r="S41" s="1142">
        <v>4185</v>
      </c>
      <c r="T41" s="1143">
        <v>2.3104697126957134</v>
      </c>
      <c r="U41" s="1144">
        <v>3835</v>
      </c>
      <c r="V41" s="1144">
        <v>350</v>
      </c>
      <c r="W41" s="1142">
        <v>18900</v>
      </c>
      <c r="X41" s="1143">
        <v>10.43437934765806</v>
      </c>
      <c r="Y41" s="1144">
        <v>16136</v>
      </c>
      <c r="Z41" s="1144">
        <v>2764</v>
      </c>
      <c r="AA41" s="1142">
        <v>716</v>
      </c>
      <c r="AB41" s="1143">
        <v>0.39529183137159646</v>
      </c>
      <c r="AC41" s="1144">
        <v>679</v>
      </c>
      <c r="AD41" s="1144">
        <v>37</v>
      </c>
    </row>
    <row r="42" spans="1:30" ht="12" customHeight="1">
      <c r="A42" s="1149" t="s">
        <v>1363</v>
      </c>
      <c r="B42" s="1150"/>
      <c r="C42" s="1145">
        <v>232</v>
      </c>
      <c r="D42" s="1143">
        <v>0.12049506853157022</v>
      </c>
      <c r="E42" s="1151">
        <v>212</v>
      </c>
      <c r="F42" s="1142">
        <v>20</v>
      </c>
      <c r="G42" s="1142">
        <v>1377</v>
      </c>
      <c r="H42" s="1143">
        <v>0.71517978175850094</v>
      </c>
      <c r="I42" s="1144">
        <v>1176</v>
      </c>
      <c r="J42" s="1144">
        <v>201</v>
      </c>
      <c r="K42" s="1142">
        <v>10540</v>
      </c>
      <c r="L42" s="1143">
        <v>5.4742156134601299</v>
      </c>
      <c r="M42" s="1142">
        <v>8723</v>
      </c>
      <c r="N42" s="1144">
        <v>1817</v>
      </c>
      <c r="O42" s="1142">
        <v>177</v>
      </c>
      <c r="P42" s="1143">
        <v>9.1929427284861767E-2</v>
      </c>
      <c r="Q42" s="1151">
        <v>162</v>
      </c>
      <c r="R42" s="1144">
        <v>15</v>
      </c>
      <c r="S42" s="1142">
        <v>4623</v>
      </c>
      <c r="T42" s="1143">
        <v>2.4010719906096947</v>
      </c>
      <c r="U42" s="1144">
        <v>4210</v>
      </c>
      <c r="V42" s="1144">
        <v>413</v>
      </c>
      <c r="W42" s="1142">
        <v>21764</v>
      </c>
      <c r="X42" s="1143">
        <v>11.303683928970235</v>
      </c>
      <c r="Y42" s="1144">
        <v>18482</v>
      </c>
      <c r="Z42" s="1144">
        <v>3282</v>
      </c>
      <c r="AA42" s="1142">
        <v>742</v>
      </c>
      <c r="AB42" s="1143">
        <v>0.38537646918286683</v>
      </c>
      <c r="AC42" s="1144">
        <v>721</v>
      </c>
      <c r="AD42" s="1144">
        <v>21</v>
      </c>
    </row>
    <row r="43" spans="1:30" ht="12" customHeight="1">
      <c r="A43" s="1149" t="s">
        <v>1387</v>
      </c>
      <c r="B43" s="1150"/>
      <c r="C43" s="1145">
        <v>251</v>
      </c>
      <c r="D43" s="1143">
        <v>0.1303523668562229</v>
      </c>
      <c r="E43" s="1151">
        <v>233</v>
      </c>
      <c r="F43" s="1142">
        <v>18</v>
      </c>
      <c r="G43" s="1142">
        <v>1346</v>
      </c>
      <c r="H43" s="1143">
        <v>0.69902105891823119</v>
      </c>
      <c r="I43" s="1144">
        <v>1139</v>
      </c>
      <c r="J43" s="1144">
        <v>207</v>
      </c>
      <c r="K43" s="1142">
        <v>11059</v>
      </c>
      <c r="L43" s="1143">
        <v>5.7432941237568489</v>
      </c>
      <c r="M43" s="1142">
        <v>9207</v>
      </c>
      <c r="N43" s="1144">
        <v>1852</v>
      </c>
      <c r="O43" s="1142">
        <v>212</v>
      </c>
      <c r="P43" s="1143">
        <v>0.11009841344031576</v>
      </c>
      <c r="Q43" s="1151">
        <v>199</v>
      </c>
      <c r="R43" s="1144">
        <v>13</v>
      </c>
      <c r="S43" s="1142">
        <v>4538</v>
      </c>
      <c r="T43" s="1143">
        <v>2.3567292461894005</v>
      </c>
      <c r="U43" s="1144">
        <v>4158</v>
      </c>
      <c r="V43" s="1144">
        <v>380</v>
      </c>
      <c r="W43" s="1142">
        <v>21724</v>
      </c>
      <c r="X43" s="1143">
        <v>11.281971384799148</v>
      </c>
      <c r="Y43" s="1144">
        <v>18379</v>
      </c>
      <c r="Z43" s="1144">
        <v>3345</v>
      </c>
      <c r="AA43" s="1142">
        <v>647</v>
      </c>
      <c r="AB43" s="1143">
        <v>0.33600789384851082</v>
      </c>
      <c r="AC43" s="1144">
        <v>621</v>
      </c>
      <c r="AD43" s="1144">
        <v>26</v>
      </c>
    </row>
    <row r="44" spans="1:30" ht="12" customHeight="1">
      <c r="A44" s="1149" t="s">
        <v>1365</v>
      </c>
      <c r="B44" s="1150"/>
      <c r="C44" s="1145">
        <v>242</v>
      </c>
      <c r="D44" s="1143">
        <v>0.13212563947171582</v>
      </c>
      <c r="E44" s="1151">
        <v>217</v>
      </c>
      <c r="F44" s="1142">
        <v>25</v>
      </c>
      <c r="G44" s="1142">
        <v>1373</v>
      </c>
      <c r="H44" s="1143">
        <v>0.7496219132010985</v>
      </c>
      <c r="I44" s="1144">
        <v>1159</v>
      </c>
      <c r="J44" s="1144">
        <v>214</v>
      </c>
      <c r="K44" s="1142">
        <v>11957</v>
      </c>
      <c r="L44" s="1143">
        <v>6.5282077320797773</v>
      </c>
      <c r="M44" s="1142">
        <v>9966</v>
      </c>
      <c r="N44" s="1144">
        <v>1991</v>
      </c>
      <c r="O44" s="1142">
        <v>197</v>
      </c>
      <c r="P44" s="1143">
        <v>0.1075568222145786</v>
      </c>
      <c r="Q44" s="1151">
        <v>191</v>
      </c>
      <c r="R44" s="1144">
        <v>6</v>
      </c>
      <c r="S44" s="1142">
        <v>4759</v>
      </c>
      <c r="T44" s="1143">
        <v>2.5982889183714697</v>
      </c>
      <c r="U44" s="1144">
        <v>4326</v>
      </c>
      <c r="V44" s="1144">
        <v>433</v>
      </c>
      <c r="W44" s="1142">
        <v>21408</v>
      </c>
      <c r="X44" s="1143">
        <v>11.688205329795423</v>
      </c>
      <c r="Y44" s="1144">
        <v>17796</v>
      </c>
      <c r="Z44" s="1144">
        <v>3612</v>
      </c>
      <c r="AA44" s="1142">
        <v>493</v>
      </c>
      <c r="AB44" s="1143">
        <v>0.26916504239485911</v>
      </c>
      <c r="AC44" s="1144">
        <v>481</v>
      </c>
      <c r="AD44" s="1144">
        <v>12</v>
      </c>
    </row>
    <row r="45" spans="1:30" ht="6" customHeight="1">
      <c r="A45" s="1154"/>
      <c r="B45" s="1155"/>
      <c r="C45" s="1158"/>
      <c r="D45" s="1157"/>
      <c r="E45" s="1157"/>
      <c r="F45" s="1157"/>
      <c r="G45" s="1156"/>
      <c r="H45" s="1157"/>
      <c r="I45" s="1157"/>
      <c r="J45" s="1157"/>
      <c r="K45" s="1156"/>
      <c r="L45" s="1157"/>
      <c r="M45" s="1157"/>
      <c r="N45" s="1157"/>
      <c r="O45" s="1156"/>
      <c r="P45" s="1157"/>
      <c r="Q45" s="1157"/>
      <c r="R45" s="1157"/>
      <c r="S45" s="1156"/>
      <c r="T45" s="1157"/>
      <c r="U45" s="1157"/>
      <c r="V45" s="1157"/>
      <c r="W45" s="1156"/>
      <c r="X45" s="1157"/>
      <c r="Y45" s="1157"/>
      <c r="Z45" s="1157"/>
      <c r="AA45" s="1156"/>
      <c r="AB45" s="1157"/>
      <c r="AC45" s="1162"/>
      <c r="AD45" s="1162"/>
    </row>
    <row r="46" spans="1:30">
      <c r="AB46" s="1134"/>
      <c r="AC46" s="1134"/>
    </row>
    <row r="47" spans="1:30" ht="20.100000000000001" customHeight="1">
      <c r="A47" s="3231" t="s">
        <v>1335</v>
      </c>
      <c r="B47" s="3232"/>
      <c r="C47" s="3248" t="s">
        <v>1388</v>
      </c>
      <c r="D47" s="3268"/>
      <c r="E47" s="3268"/>
      <c r="F47" s="3269"/>
      <c r="G47" s="3242" t="s">
        <v>1389</v>
      </c>
      <c r="H47" s="3240"/>
      <c r="I47" s="3240"/>
      <c r="J47" s="3261"/>
      <c r="K47" s="3265" t="s">
        <v>1390</v>
      </c>
      <c r="L47" s="3231"/>
      <c r="M47" s="3231"/>
      <c r="N47" s="3232"/>
      <c r="O47" s="3242" t="s">
        <v>1391</v>
      </c>
      <c r="P47" s="3240"/>
      <c r="Q47" s="3240"/>
      <c r="R47" s="3261"/>
      <c r="S47" s="3242" t="s">
        <v>1392</v>
      </c>
      <c r="T47" s="3240"/>
      <c r="U47" s="3240"/>
      <c r="V47" s="3261"/>
      <c r="W47" s="3242" t="s">
        <v>1393</v>
      </c>
      <c r="X47" s="3240"/>
      <c r="Y47" s="3240"/>
      <c r="Z47" s="3261"/>
      <c r="AA47" s="3242" t="s">
        <v>1394</v>
      </c>
      <c r="AB47" s="3240"/>
      <c r="AC47" s="3240"/>
      <c r="AD47" s="3261"/>
    </row>
    <row r="48" spans="1:30" ht="5.0999999999999996" customHeight="1">
      <c r="A48" s="3233"/>
      <c r="B48" s="3234"/>
      <c r="C48" s="3270"/>
      <c r="D48" s="3271"/>
      <c r="E48" s="3271"/>
      <c r="F48" s="3272"/>
      <c r="G48" s="3262"/>
      <c r="H48" s="3263"/>
      <c r="I48" s="3263"/>
      <c r="J48" s="3264"/>
      <c r="K48" s="3266"/>
      <c r="L48" s="3233"/>
      <c r="M48" s="3233"/>
      <c r="N48" s="3234"/>
      <c r="O48" s="3262"/>
      <c r="P48" s="3263"/>
      <c r="Q48" s="3263"/>
      <c r="R48" s="3264"/>
      <c r="S48" s="3262"/>
      <c r="T48" s="3263"/>
      <c r="U48" s="3263"/>
      <c r="V48" s="3264"/>
      <c r="W48" s="3262"/>
      <c r="X48" s="3263"/>
      <c r="Y48" s="3263"/>
      <c r="Z48" s="3264"/>
      <c r="AA48" s="3262"/>
      <c r="AB48" s="3263"/>
      <c r="AC48" s="3263"/>
      <c r="AD48" s="3264"/>
    </row>
    <row r="49" spans="1:30" ht="18" customHeight="1">
      <c r="A49" s="3233"/>
      <c r="B49" s="3234"/>
      <c r="C49" s="3226" t="s">
        <v>1373</v>
      </c>
      <c r="D49" s="1138"/>
      <c r="E49" s="3228" t="s">
        <v>1374</v>
      </c>
      <c r="F49" s="3228" t="s">
        <v>1347</v>
      </c>
      <c r="G49" s="3226" t="s">
        <v>1345</v>
      </c>
      <c r="H49" s="1138"/>
      <c r="I49" s="3228" t="s">
        <v>1343</v>
      </c>
      <c r="J49" s="3228" t="s">
        <v>1347</v>
      </c>
      <c r="K49" s="3226" t="s">
        <v>1373</v>
      </c>
      <c r="L49" s="1138"/>
      <c r="M49" s="3228" t="s">
        <v>1343</v>
      </c>
      <c r="N49" s="3228" t="s">
        <v>1344</v>
      </c>
      <c r="O49" s="3226" t="s">
        <v>1373</v>
      </c>
      <c r="P49" s="1138"/>
      <c r="Q49" s="3228" t="s">
        <v>1374</v>
      </c>
      <c r="R49" s="3228" t="s">
        <v>1344</v>
      </c>
      <c r="S49" s="3226" t="s">
        <v>1345</v>
      </c>
      <c r="T49" s="1138"/>
      <c r="U49" s="3228" t="s">
        <v>1374</v>
      </c>
      <c r="V49" s="3228" t="s">
        <v>1347</v>
      </c>
      <c r="W49" s="3226" t="s">
        <v>1345</v>
      </c>
      <c r="X49" s="1138"/>
      <c r="Y49" s="3228" t="s">
        <v>1374</v>
      </c>
      <c r="Z49" s="3228" t="s">
        <v>1347</v>
      </c>
      <c r="AA49" s="3226" t="s">
        <v>1345</v>
      </c>
      <c r="AB49" s="1138"/>
      <c r="AC49" s="3228" t="s">
        <v>1374</v>
      </c>
      <c r="AD49" s="3228" t="s">
        <v>1347</v>
      </c>
    </row>
    <row r="50" spans="1:30" ht="18" customHeight="1">
      <c r="A50" s="3235"/>
      <c r="B50" s="3236"/>
      <c r="C50" s="3227"/>
      <c r="D50" s="1139" t="s">
        <v>934</v>
      </c>
      <c r="E50" s="3229"/>
      <c r="F50" s="3229"/>
      <c r="G50" s="3227"/>
      <c r="H50" s="1139" t="s">
        <v>934</v>
      </c>
      <c r="I50" s="3229"/>
      <c r="J50" s="3229"/>
      <c r="K50" s="3227"/>
      <c r="L50" s="1139" t="s">
        <v>934</v>
      </c>
      <c r="M50" s="3229"/>
      <c r="N50" s="3229"/>
      <c r="O50" s="3227"/>
      <c r="P50" s="1139" t="s">
        <v>1245</v>
      </c>
      <c r="Q50" s="3229"/>
      <c r="R50" s="3229"/>
      <c r="S50" s="3227"/>
      <c r="T50" s="1139" t="s">
        <v>1245</v>
      </c>
      <c r="U50" s="3229"/>
      <c r="V50" s="3229"/>
      <c r="W50" s="3227"/>
      <c r="X50" s="1139" t="s">
        <v>934</v>
      </c>
      <c r="Y50" s="3229"/>
      <c r="Z50" s="3229"/>
      <c r="AA50" s="3227"/>
      <c r="AB50" s="1139" t="s">
        <v>1245</v>
      </c>
      <c r="AC50" s="3229"/>
      <c r="AD50" s="3229"/>
    </row>
    <row r="51" spans="1:30" ht="6" customHeight="1">
      <c r="A51" s="1140"/>
      <c r="B51" s="1141"/>
      <c r="C51" s="1142"/>
      <c r="D51" s="1145"/>
      <c r="E51" s="1144"/>
      <c r="F51" s="1144"/>
      <c r="G51" s="1145"/>
      <c r="H51" s="1143"/>
      <c r="I51" s="1151"/>
      <c r="J51" s="1151"/>
      <c r="K51" s="1145"/>
      <c r="L51" s="1143"/>
      <c r="M51" s="1144"/>
      <c r="N51" s="1163"/>
      <c r="O51" s="1142"/>
      <c r="P51" s="1164"/>
      <c r="Q51" s="1144"/>
      <c r="R51" s="1144"/>
      <c r="S51" s="1145"/>
      <c r="T51" s="1164"/>
      <c r="U51" s="1144"/>
      <c r="V51" s="1151"/>
      <c r="W51" s="1142"/>
      <c r="X51" s="1164"/>
      <c r="Y51" s="1144"/>
      <c r="Z51" s="1144"/>
      <c r="AA51" s="1145"/>
      <c r="AB51" s="1165"/>
      <c r="AC51" s="1144"/>
      <c r="AD51" s="1145"/>
    </row>
    <row r="52" spans="1:30" ht="12" hidden="1" customHeight="1">
      <c r="A52" s="1149" t="s">
        <v>1395</v>
      </c>
      <c r="B52" s="1150"/>
      <c r="C52" s="1142">
        <v>600</v>
      </c>
      <c r="D52" s="1143">
        <v>0.47252279922506257</v>
      </c>
      <c r="E52" s="1144">
        <v>531</v>
      </c>
      <c r="F52" s="1144">
        <v>69</v>
      </c>
      <c r="G52" s="1145">
        <v>965</v>
      </c>
      <c r="H52" s="1143">
        <v>0.75997416875364232</v>
      </c>
      <c r="I52" s="1166">
        <v>889</v>
      </c>
      <c r="J52" s="1151">
        <v>76</v>
      </c>
      <c r="K52" s="1145">
        <v>78</v>
      </c>
      <c r="L52" s="1143">
        <v>6.1427963899258142E-2</v>
      </c>
      <c r="M52" s="1144">
        <v>77</v>
      </c>
      <c r="N52" s="1163">
        <v>1</v>
      </c>
      <c r="O52" s="1142">
        <v>1957</v>
      </c>
      <c r="P52" s="1143">
        <v>1.5412118634724126</v>
      </c>
      <c r="Q52" s="1144">
        <v>1781</v>
      </c>
      <c r="R52" s="1144">
        <v>176</v>
      </c>
      <c r="S52" s="1145">
        <v>18</v>
      </c>
      <c r="T52" s="1143">
        <v>1.4175683976751877E-2</v>
      </c>
      <c r="U52" s="1144">
        <v>16</v>
      </c>
      <c r="V52" s="1151">
        <v>2</v>
      </c>
      <c r="W52" s="1142">
        <v>2112</v>
      </c>
      <c r="X52" s="1143">
        <v>1.6632802532722206</v>
      </c>
      <c r="Y52" s="1144">
        <v>2078</v>
      </c>
      <c r="Z52" s="1144">
        <v>34</v>
      </c>
      <c r="AA52" s="1145">
        <v>194</v>
      </c>
      <c r="AB52" s="1143">
        <v>0.1527823717494369</v>
      </c>
      <c r="AC52" s="1144">
        <v>164</v>
      </c>
      <c r="AD52" s="1145">
        <v>30</v>
      </c>
    </row>
    <row r="53" spans="1:30" ht="12" hidden="1" customHeight="1">
      <c r="A53" s="1149" t="s">
        <v>1379</v>
      </c>
      <c r="B53" s="1150"/>
      <c r="C53" s="1142">
        <v>808</v>
      </c>
      <c r="D53" s="1143">
        <v>0.5544119665157129</v>
      </c>
      <c r="E53" s="1144">
        <v>727</v>
      </c>
      <c r="F53" s="1144">
        <v>81</v>
      </c>
      <c r="G53" s="1145">
        <v>1295</v>
      </c>
      <c r="H53" s="1143">
        <v>0.88856868395773303</v>
      </c>
      <c r="I53" s="1166">
        <v>1152</v>
      </c>
      <c r="J53" s="1151">
        <v>143</v>
      </c>
      <c r="K53" s="1145">
        <v>95</v>
      </c>
      <c r="L53" s="1143">
        <v>6.5184575271030609E-2</v>
      </c>
      <c r="M53" s="1144">
        <v>91</v>
      </c>
      <c r="N53" s="1163">
        <v>4</v>
      </c>
      <c r="O53" s="1142">
        <v>2124</v>
      </c>
      <c r="P53" s="1143">
        <v>1.457389872375463</v>
      </c>
      <c r="Q53" s="1144">
        <v>1872</v>
      </c>
      <c r="R53" s="1144">
        <v>252</v>
      </c>
      <c r="S53" s="1145">
        <v>27</v>
      </c>
      <c r="T53" s="1143">
        <v>1.8526142445450804E-2</v>
      </c>
      <c r="U53" s="1144">
        <v>23</v>
      </c>
      <c r="V53" s="1151">
        <v>4</v>
      </c>
      <c r="W53" s="1142">
        <v>2277</v>
      </c>
      <c r="X53" s="1143">
        <v>1.5623713462330178</v>
      </c>
      <c r="Y53" s="1144">
        <v>2229</v>
      </c>
      <c r="Z53" s="1144">
        <v>48</v>
      </c>
      <c r="AA53" s="1145">
        <v>277</v>
      </c>
      <c r="AB53" s="1143">
        <v>0.19006449842184711</v>
      </c>
      <c r="AC53" s="1144">
        <v>259</v>
      </c>
      <c r="AD53" s="1145">
        <v>18</v>
      </c>
    </row>
    <row r="54" spans="1:30" ht="12" hidden="1" customHeight="1">
      <c r="A54" s="1149" t="s">
        <v>1352</v>
      </c>
      <c r="B54" s="1150"/>
      <c r="C54" s="1142">
        <v>1543</v>
      </c>
      <c r="D54" s="1143">
        <v>0.88825693249132176</v>
      </c>
      <c r="E54" s="1144">
        <v>1361</v>
      </c>
      <c r="F54" s="1144">
        <v>182</v>
      </c>
      <c r="G54" s="1145">
        <v>1648</v>
      </c>
      <c r="H54" s="1143">
        <v>0.94870215472825559</v>
      </c>
      <c r="I54" s="1166">
        <v>1400</v>
      </c>
      <c r="J54" s="1151">
        <v>248</v>
      </c>
      <c r="K54" s="1145">
        <v>108</v>
      </c>
      <c r="L54" s="1143">
        <v>6.2172228586560442E-2</v>
      </c>
      <c r="M54" s="1144">
        <v>103</v>
      </c>
      <c r="N54" s="1163">
        <v>5</v>
      </c>
      <c r="O54" s="1142">
        <v>1802</v>
      </c>
      <c r="P54" s="1143">
        <v>1.0373551473424252</v>
      </c>
      <c r="Q54" s="1144">
        <v>1588</v>
      </c>
      <c r="R54" s="1144">
        <v>214</v>
      </c>
      <c r="S54" s="1145">
        <v>41</v>
      </c>
      <c r="T54" s="1143">
        <v>2.3602420111564611E-2</v>
      </c>
      <c r="U54" s="1144">
        <v>29</v>
      </c>
      <c r="V54" s="1151">
        <v>12</v>
      </c>
      <c r="W54" s="1142">
        <v>2214</v>
      </c>
      <c r="X54" s="1143">
        <v>1.2745306860244889</v>
      </c>
      <c r="Y54" s="1144">
        <v>2183</v>
      </c>
      <c r="Z54" s="1144">
        <v>31</v>
      </c>
      <c r="AA54" s="1145">
        <v>261</v>
      </c>
      <c r="AB54" s="1143">
        <v>0.15024955241752105</v>
      </c>
      <c r="AC54" s="1144">
        <v>225</v>
      </c>
      <c r="AD54" s="1145">
        <v>36</v>
      </c>
    </row>
    <row r="55" spans="1:30" ht="12" hidden="1" customHeight="1">
      <c r="A55" s="1149" t="s">
        <v>1381</v>
      </c>
      <c r="B55" s="1150"/>
      <c r="C55" s="1142">
        <v>1582</v>
      </c>
      <c r="D55" s="1143">
        <v>0.7962352467473639</v>
      </c>
      <c r="E55" s="1144">
        <v>1405</v>
      </c>
      <c r="F55" s="1144">
        <v>177</v>
      </c>
      <c r="G55" s="1145">
        <v>1601</v>
      </c>
      <c r="H55" s="1143">
        <v>0.80579812265646633</v>
      </c>
      <c r="I55" s="1166">
        <v>1367</v>
      </c>
      <c r="J55" s="1151">
        <v>234</v>
      </c>
      <c r="K55" s="1145">
        <v>91</v>
      </c>
      <c r="L55" s="1143">
        <v>4.5801142512016509E-2</v>
      </c>
      <c r="M55" s="1144">
        <v>87</v>
      </c>
      <c r="N55" s="1163">
        <v>4</v>
      </c>
      <c r="O55" s="1142">
        <v>2018</v>
      </c>
      <c r="P55" s="1143">
        <v>1.0156780833983441</v>
      </c>
      <c r="Q55" s="1144">
        <v>1768</v>
      </c>
      <c r="R55" s="1144">
        <v>250</v>
      </c>
      <c r="S55" s="1145">
        <v>29</v>
      </c>
      <c r="T55" s="1143">
        <v>1.4595968492840426E-2</v>
      </c>
      <c r="U55" s="1144">
        <v>25</v>
      </c>
      <c r="V55" s="1151">
        <v>4</v>
      </c>
      <c r="W55" s="1142">
        <v>2140</v>
      </c>
      <c r="X55" s="1143">
        <v>1.0770818129199486</v>
      </c>
      <c r="Y55" s="1144">
        <v>2095</v>
      </c>
      <c r="Z55" s="1144">
        <v>45</v>
      </c>
      <c r="AA55" s="1145">
        <v>258</v>
      </c>
      <c r="AB55" s="1143">
        <v>0.12985378866044239</v>
      </c>
      <c r="AC55" s="1144">
        <v>223</v>
      </c>
      <c r="AD55" s="1145">
        <v>34</v>
      </c>
    </row>
    <row r="56" spans="1:30" ht="12" hidden="1" customHeight="1">
      <c r="A56" s="1149" t="s">
        <v>1382</v>
      </c>
      <c r="B56" s="1150"/>
      <c r="C56" s="1142">
        <v>1761</v>
      </c>
      <c r="D56" s="1143">
        <v>0.92453563215976975</v>
      </c>
      <c r="E56" s="1144">
        <v>1602</v>
      </c>
      <c r="F56" s="1144">
        <v>159</v>
      </c>
      <c r="G56" s="1145">
        <v>1624</v>
      </c>
      <c r="H56" s="1143">
        <v>0.85260980501275763</v>
      </c>
      <c r="I56" s="1166">
        <v>1396</v>
      </c>
      <c r="J56" s="1151">
        <v>228</v>
      </c>
      <c r="K56" s="1145">
        <v>66</v>
      </c>
      <c r="L56" s="1143">
        <v>3.4650398479582512E-2</v>
      </c>
      <c r="M56" s="1144">
        <v>61</v>
      </c>
      <c r="N56" s="1163">
        <v>5</v>
      </c>
      <c r="O56" s="1142">
        <v>2069</v>
      </c>
      <c r="P56" s="1143">
        <v>1.0862374917311548</v>
      </c>
      <c r="Q56" s="1144">
        <v>1812</v>
      </c>
      <c r="R56" s="1144">
        <v>257</v>
      </c>
      <c r="S56" s="1145">
        <v>43</v>
      </c>
      <c r="T56" s="1143">
        <v>2.2575259615485576E-2</v>
      </c>
      <c r="U56" s="1144">
        <v>38</v>
      </c>
      <c r="V56" s="1151">
        <v>5</v>
      </c>
      <c r="W56" s="1142">
        <v>1783</v>
      </c>
      <c r="X56" s="1143">
        <v>0.93608576498629725</v>
      </c>
      <c r="Y56" s="1144">
        <v>1747</v>
      </c>
      <c r="Z56" s="1144">
        <v>36</v>
      </c>
      <c r="AA56" s="1145">
        <v>345</v>
      </c>
      <c r="AB56" s="1143">
        <v>0.18112708296145405</v>
      </c>
      <c r="AC56" s="1144">
        <v>291</v>
      </c>
      <c r="AD56" s="1145">
        <v>54</v>
      </c>
    </row>
    <row r="57" spans="1:30" ht="12" customHeight="1">
      <c r="A57" s="1149" t="s">
        <v>1396</v>
      </c>
      <c r="B57" s="1150"/>
      <c r="C57" s="1142">
        <v>1776</v>
      </c>
      <c r="D57" s="1143">
        <v>0.98622286637679712</v>
      </c>
      <c r="E57" s="1144">
        <v>1599</v>
      </c>
      <c r="F57" s="1144">
        <v>177</v>
      </c>
      <c r="G57" s="1145">
        <v>1397</v>
      </c>
      <c r="H57" s="1143">
        <v>0.77576201820291979</v>
      </c>
      <c r="I57" s="1166">
        <v>1229</v>
      </c>
      <c r="J57" s="1151">
        <v>168</v>
      </c>
      <c r="K57" s="1145">
        <v>56</v>
      </c>
      <c r="L57" s="1143">
        <v>3.1097117408277385E-2</v>
      </c>
      <c r="M57" s="1144">
        <v>55</v>
      </c>
      <c r="N57" s="1163">
        <v>1</v>
      </c>
      <c r="O57" s="1142">
        <v>1830</v>
      </c>
      <c r="P57" s="1143">
        <v>1.0162093724490644</v>
      </c>
      <c r="Q57" s="1144">
        <v>1606</v>
      </c>
      <c r="R57" s="1144">
        <v>224</v>
      </c>
      <c r="S57" s="1145">
        <v>39</v>
      </c>
      <c r="T57" s="1143">
        <v>2.1656921052193179E-2</v>
      </c>
      <c r="U57" s="1144">
        <v>37</v>
      </c>
      <c r="V57" s="1151">
        <v>2</v>
      </c>
      <c r="W57" s="1142">
        <v>1636</v>
      </c>
      <c r="X57" s="1143">
        <v>0.90848007285610366</v>
      </c>
      <c r="Y57" s="1144">
        <v>1603</v>
      </c>
      <c r="Z57" s="1144">
        <v>33</v>
      </c>
      <c r="AA57" s="1145">
        <v>401</v>
      </c>
      <c r="AB57" s="1143">
        <v>0.2226775728699863</v>
      </c>
      <c r="AC57" s="1144">
        <v>363</v>
      </c>
      <c r="AD57" s="1145">
        <v>38</v>
      </c>
    </row>
    <row r="58" spans="1:30" ht="12" customHeight="1">
      <c r="A58" s="1149" t="s">
        <v>1383</v>
      </c>
      <c r="B58" s="1150"/>
      <c r="C58" s="1142">
        <v>1606</v>
      </c>
      <c r="D58" s="1143">
        <v>0.91614375356531652</v>
      </c>
      <c r="E58" s="1144">
        <v>1445</v>
      </c>
      <c r="F58" s="1144">
        <v>161</v>
      </c>
      <c r="G58" s="1144">
        <v>1125</v>
      </c>
      <c r="H58" s="1143">
        <v>0.64175698802053627</v>
      </c>
      <c r="I58" s="1144">
        <v>1006</v>
      </c>
      <c r="J58" s="1151">
        <v>119</v>
      </c>
      <c r="K58" s="1145">
        <v>47</v>
      </c>
      <c r="L58" s="1143">
        <v>2.681118083285796E-2</v>
      </c>
      <c r="M58" s="1144">
        <v>45</v>
      </c>
      <c r="N58" s="1163">
        <v>2</v>
      </c>
      <c r="O58" s="1142">
        <v>1612</v>
      </c>
      <c r="P58" s="1143">
        <v>0.91956645750142607</v>
      </c>
      <c r="Q58" s="1144">
        <v>1431</v>
      </c>
      <c r="R58" s="1144">
        <v>181</v>
      </c>
      <c r="S58" s="1145">
        <v>42</v>
      </c>
      <c r="T58" s="1143">
        <v>2.3958927552766685E-2</v>
      </c>
      <c r="U58" s="1144">
        <v>37</v>
      </c>
      <c r="V58" s="1151">
        <v>5</v>
      </c>
      <c r="W58" s="1142">
        <v>1504</v>
      </c>
      <c r="X58" s="1143">
        <v>0.85795778665145472</v>
      </c>
      <c r="Y58" s="1144">
        <v>1479</v>
      </c>
      <c r="Z58" s="1144">
        <v>25</v>
      </c>
      <c r="AA58" s="1145">
        <v>354</v>
      </c>
      <c r="AB58" s="1143">
        <v>0.20193953223046207</v>
      </c>
      <c r="AC58" s="1144">
        <v>321</v>
      </c>
      <c r="AD58" s="1145">
        <v>33</v>
      </c>
    </row>
    <row r="59" spans="1:30" ht="12" customHeight="1">
      <c r="A59" s="1149" t="s">
        <v>1397</v>
      </c>
      <c r="B59" s="1150"/>
      <c r="C59" s="1142">
        <v>1425</v>
      </c>
      <c r="D59" s="1143">
        <v>0.81960612892835771</v>
      </c>
      <c r="E59" s="1144">
        <v>1273</v>
      </c>
      <c r="F59" s="1144">
        <v>152</v>
      </c>
      <c r="G59" s="1144">
        <v>906</v>
      </c>
      <c r="H59" s="1143">
        <v>0.52109694933971373</v>
      </c>
      <c r="I59" s="1144">
        <v>804</v>
      </c>
      <c r="J59" s="1151">
        <v>102</v>
      </c>
      <c r="K59" s="1145">
        <v>33</v>
      </c>
      <c r="L59" s="1143">
        <v>1.898035245939355E-2</v>
      </c>
      <c r="M59" s="1144">
        <v>31</v>
      </c>
      <c r="N59" s="1163">
        <v>2</v>
      </c>
      <c r="O59" s="1142">
        <v>1267</v>
      </c>
      <c r="P59" s="1143">
        <v>0.72873050200156442</v>
      </c>
      <c r="Q59" s="1144">
        <v>1120</v>
      </c>
      <c r="R59" s="1144">
        <v>147</v>
      </c>
      <c r="S59" s="1145">
        <v>47</v>
      </c>
      <c r="T59" s="1143">
        <v>2.7032623199742326E-2</v>
      </c>
      <c r="U59" s="1144">
        <v>41</v>
      </c>
      <c r="V59" s="1151">
        <v>6</v>
      </c>
      <c r="W59" s="1142">
        <v>1485</v>
      </c>
      <c r="X59" s="1143">
        <v>0.85411586067270973</v>
      </c>
      <c r="Y59" s="1144">
        <v>1458</v>
      </c>
      <c r="Z59" s="1144">
        <v>27</v>
      </c>
      <c r="AA59" s="1145">
        <v>464</v>
      </c>
      <c r="AB59" s="1143">
        <v>0.26687525882298807</v>
      </c>
      <c r="AC59" s="1144">
        <v>405</v>
      </c>
      <c r="AD59" s="1145">
        <v>59</v>
      </c>
    </row>
    <row r="60" spans="1:30" ht="12" customHeight="1">
      <c r="A60" s="1149" t="s">
        <v>1359</v>
      </c>
      <c r="B60" s="1150"/>
      <c r="C60" s="1142">
        <v>1320</v>
      </c>
      <c r="D60" s="1143">
        <v>0.78294136836798245</v>
      </c>
      <c r="E60" s="1144">
        <v>1194</v>
      </c>
      <c r="F60" s="1144">
        <v>126</v>
      </c>
      <c r="G60" s="1144">
        <v>794</v>
      </c>
      <c r="H60" s="1143">
        <v>0.47095109582134703</v>
      </c>
      <c r="I60" s="1144">
        <v>731</v>
      </c>
      <c r="J60" s="1151">
        <v>63</v>
      </c>
      <c r="K60" s="1145">
        <v>20</v>
      </c>
      <c r="L60" s="1143">
        <v>1.1862748005575491E-2</v>
      </c>
      <c r="M60" s="1144">
        <v>20</v>
      </c>
      <c r="N60" s="1163">
        <v>0</v>
      </c>
      <c r="O60" s="1142">
        <v>985</v>
      </c>
      <c r="P60" s="1143">
        <v>0.58424033927459296</v>
      </c>
      <c r="Q60" s="1144">
        <v>877</v>
      </c>
      <c r="R60" s="1144">
        <v>108</v>
      </c>
      <c r="S60" s="1145">
        <v>32</v>
      </c>
      <c r="T60" s="1143">
        <v>1.8980396808920788E-2</v>
      </c>
      <c r="U60" s="1144">
        <v>25</v>
      </c>
      <c r="V60" s="1151">
        <v>7</v>
      </c>
      <c r="W60" s="1142">
        <v>1265</v>
      </c>
      <c r="X60" s="1143">
        <v>0.75031881135264977</v>
      </c>
      <c r="Y60" s="1144">
        <v>1243</v>
      </c>
      <c r="Z60" s="1144">
        <v>22</v>
      </c>
      <c r="AA60" s="1145">
        <v>419</v>
      </c>
      <c r="AB60" s="1143">
        <v>0.24852457071680656</v>
      </c>
      <c r="AC60" s="1144">
        <v>357</v>
      </c>
      <c r="AD60" s="1145">
        <v>62</v>
      </c>
    </row>
    <row r="61" spans="1:30" ht="12" customHeight="1">
      <c r="A61" s="1149" t="s">
        <v>1398</v>
      </c>
      <c r="B61" s="1150"/>
      <c r="C61" s="1142">
        <v>1178</v>
      </c>
      <c r="D61" s="1143">
        <v>0.62474477213786817</v>
      </c>
      <c r="E61" s="1144">
        <v>1065</v>
      </c>
      <c r="F61" s="1144">
        <v>113</v>
      </c>
      <c r="G61" s="1144">
        <v>784</v>
      </c>
      <c r="H61" s="1143">
        <v>0.41578938994574582</v>
      </c>
      <c r="I61" s="1144">
        <v>722</v>
      </c>
      <c r="J61" s="1151">
        <v>62</v>
      </c>
      <c r="K61" s="1145">
        <v>23</v>
      </c>
      <c r="L61" s="1143">
        <v>1.2197903021367544E-2</v>
      </c>
      <c r="M61" s="1144">
        <v>21</v>
      </c>
      <c r="N61" s="1163">
        <v>2</v>
      </c>
      <c r="O61" s="1142">
        <v>901</v>
      </c>
      <c r="P61" s="1143">
        <v>0.47783959227183292</v>
      </c>
      <c r="Q61" s="1144">
        <v>810</v>
      </c>
      <c r="R61" s="1144">
        <v>91</v>
      </c>
      <c r="S61" s="1145">
        <v>40</v>
      </c>
      <c r="T61" s="1143">
        <v>2.1213744384987035E-2</v>
      </c>
      <c r="U61" s="1144">
        <v>38</v>
      </c>
      <c r="V61" s="1151">
        <v>2</v>
      </c>
      <c r="W61" s="1142">
        <v>1221</v>
      </c>
      <c r="X61" s="1143">
        <v>0.6475495473517292</v>
      </c>
      <c r="Y61" s="1144">
        <v>1207</v>
      </c>
      <c r="Z61" s="1144">
        <v>14</v>
      </c>
      <c r="AA61" s="1145">
        <v>503</v>
      </c>
      <c r="AB61" s="1143">
        <v>0.26676283564121195</v>
      </c>
      <c r="AC61" s="1144">
        <v>434</v>
      </c>
      <c r="AD61" s="1145">
        <v>69</v>
      </c>
    </row>
    <row r="62" spans="1:30" ht="12" customHeight="1">
      <c r="A62" s="1149" t="s">
        <v>1386</v>
      </c>
      <c r="B62" s="1150"/>
      <c r="C62" s="1142">
        <v>901</v>
      </c>
      <c r="D62" s="1143">
        <v>0.48688754032628495</v>
      </c>
      <c r="E62" s="1144">
        <v>774</v>
      </c>
      <c r="F62" s="1144">
        <v>127</v>
      </c>
      <c r="G62" s="1144">
        <v>809</v>
      </c>
      <c r="H62" s="1143">
        <v>0.43717205341172527</v>
      </c>
      <c r="I62" s="1144">
        <v>748</v>
      </c>
      <c r="J62" s="1151">
        <v>61</v>
      </c>
      <c r="K62" s="1145">
        <v>22</v>
      </c>
      <c r="L62" s="1143">
        <v>1.1888486001307734E-2</v>
      </c>
      <c r="M62" s="1144">
        <v>22</v>
      </c>
      <c r="N62" s="1163">
        <v>0</v>
      </c>
      <c r="O62" s="1142">
        <v>739</v>
      </c>
      <c r="P62" s="1143">
        <v>0.39934505249847346</v>
      </c>
      <c r="Q62" s="1144">
        <v>657</v>
      </c>
      <c r="R62" s="1144">
        <v>82</v>
      </c>
      <c r="S62" s="1145">
        <v>53</v>
      </c>
      <c r="T62" s="1143">
        <v>2.8640443548604993E-2</v>
      </c>
      <c r="U62" s="1144">
        <v>49</v>
      </c>
      <c r="V62" s="1151">
        <v>4</v>
      </c>
      <c r="W62" s="1142">
        <v>1207</v>
      </c>
      <c r="X62" s="1143">
        <v>0.65224557288992879</v>
      </c>
      <c r="Y62" s="1144">
        <v>1191</v>
      </c>
      <c r="Z62" s="1144">
        <v>16</v>
      </c>
      <c r="AA62" s="1145">
        <v>388</v>
      </c>
      <c r="AB62" s="1143">
        <v>0.20966966220488187</v>
      </c>
      <c r="AC62" s="1144">
        <v>355</v>
      </c>
      <c r="AD62" s="1145">
        <v>33</v>
      </c>
    </row>
    <row r="63" spans="1:30" ht="12" customHeight="1">
      <c r="A63" s="1149" t="s">
        <v>1362</v>
      </c>
      <c r="B63" s="1150"/>
      <c r="C63" s="1142">
        <v>797</v>
      </c>
      <c r="D63" s="1143">
        <v>0.44001060000441672</v>
      </c>
      <c r="E63" s="1144">
        <v>725</v>
      </c>
      <c r="F63" s="1144">
        <v>72</v>
      </c>
      <c r="G63" s="1144">
        <v>724</v>
      </c>
      <c r="H63" s="1143">
        <v>0.39970849987854162</v>
      </c>
      <c r="I63" s="1144">
        <v>676</v>
      </c>
      <c r="J63" s="1151">
        <v>48</v>
      </c>
      <c r="K63" s="1145">
        <v>9</v>
      </c>
      <c r="L63" s="1143">
        <v>4.9687520703133627E-3</v>
      </c>
      <c r="M63" s="1144">
        <v>9</v>
      </c>
      <c r="N63" s="1163">
        <v>0</v>
      </c>
      <c r="O63" s="1142">
        <v>561</v>
      </c>
      <c r="P63" s="1143">
        <v>0.30971887904953294</v>
      </c>
      <c r="Q63" s="1144">
        <v>512</v>
      </c>
      <c r="R63" s="1144">
        <v>49</v>
      </c>
      <c r="S63" s="1145">
        <v>52</v>
      </c>
      <c r="T63" s="1143">
        <v>2.8708345295143871E-2</v>
      </c>
      <c r="U63" s="1144">
        <v>46</v>
      </c>
      <c r="V63" s="1151">
        <v>6</v>
      </c>
      <c r="W63" s="1142">
        <v>1243</v>
      </c>
      <c r="X63" s="1143">
        <v>0.68623986926661218</v>
      </c>
      <c r="Y63" s="1144">
        <v>1229</v>
      </c>
      <c r="Z63" s="1144">
        <v>14</v>
      </c>
      <c r="AA63" s="1145">
        <v>351</v>
      </c>
      <c r="AB63" s="1143">
        <v>0.19378133074222115</v>
      </c>
      <c r="AC63" s="1144">
        <v>307</v>
      </c>
      <c r="AD63" s="1145">
        <v>44</v>
      </c>
    </row>
    <row r="64" spans="1:30" ht="12" customHeight="1">
      <c r="A64" s="1149" t="s">
        <v>1363</v>
      </c>
      <c r="B64" s="1150"/>
      <c r="C64" s="1142">
        <v>672</v>
      </c>
      <c r="D64" s="1143">
        <v>0.34902019850523791</v>
      </c>
      <c r="E64" s="1144">
        <v>597</v>
      </c>
      <c r="F64" s="1144">
        <v>75</v>
      </c>
      <c r="G64" s="1144">
        <v>568</v>
      </c>
      <c r="H64" s="1143">
        <v>0.29500516778418917</v>
      </c>
      <c r="I64" s="1144">
        <v>520</v>
      </c>
      <c r="J64" s="1151">
        <v>48</v>
      </c>
      <c r="K64" s="1145">
        <v>15</v>
      </c>
      <c r="L64" s="1143">
        <v>7.7906294309204888E-3</v>
      </c>
      <c r="M64" s="1144">
        <v>15</v>
      </c>
      <c r="N64" s="1163">
        <v>0</v>
      </c>
      <c r="O64" s="1142">
        <v>641</v>
      </c>
      <c r="P64" s="1143">
        <v>0.33291956434800224</v>
      </c>
      <c r="Q64" s="1144">
        <v>585</v>
      </c>
      <c r="R64" s="1144">
        <v>56</v>
      </c>
      <c r="S64" s="1145">
        <v>62</v>
      </c>
      <c r="T64" s="1143">
        <v>3.2201268314471357E-2</v>
      </c>
      <c r="U64" s="1144">
        <v>53</v>
      </c>
      <c r="V64" s="1151">
        <v>9</v>
      </c>
      <c r="W64" s="1142">
        <v>1445</v>
      </c>
      <c r="X64" s="1143">
        <v>0.75049730184534047</v>
      </c>
      <c r="Y64" s="1144">
        <v>1429</v>
      </c>
      <c r="Z64" s="1144">
        <v>16</v>
      </c>
      <c r="AA64" s="1145">
        <v>334</v>
      </c>
      <c r="AB64" s="1143">
        <v>0.17347134866182956</v>
      </c>
      <c r="AC64" s="1144">
        <v>295</v>
      </c>
      <c r="AD64" s="1145">
        <v>39</v>
      </c>
    </row>
    <row r="65" spans="1:33" ht="12" customHeight="1">
      <c r="A65" s="1149" t="s">
        <v>1399</v>
      </c>
      <c r="B65" s="1150"/>
      <c r="C65" s="1142">
        <v>511</v>
      </c>
      <c r="D65" s="1143">
        <v>0.26537872296227055</v>
      </c>
      <c r="E65" s="1144">
        <v>439</v>
      </c>
      <c r="F65" s="1144">
        <v>72</v>
      </c>
      <c r="G65" s="1144">
        <v>611</v>
      </c>
      <c r="H65" s="1143">
        <v>0.31731193684921188</v>
      </c>
      <c r="I65" s="1144">
        <v>546</v>
      </c>
      <c r="J65" s="1151">
        <v>65</v>
      </c>
      <c r="K65" s="1145">
        <v>5</v>
      </c>
      <c r="L65" s="1143">
        <v>2.5966606943470696E-3</v>
      </c>
      <c r="M65" s="1144">
        <v>5</v>
      </c>
      <c r="N65" s="1163">
        <v>0</v>
      </c>
      <c r="O65" s="1142">
        <v>520</v>
      </c>
      <c r="P65" s="1143">
        <v>0.27005271221209526</v>
      </c>
      <c r="Q65" s="1144">
        <v>467</v>
      </c>
      <c r="R65" s="1144">
        <v>53</v>
      </c>
      <c r="S65" s="1145">
        <v>37</v>
      </c>
      <c r="T65" s="1143">
        <v>1.9215289138168317E-2</v>
      </c>
      <c r="U65" s="1144">
        <v>29</v>
      </c>
      <c r="V65" s="1151">
        <v>8</v>
      </c>
      <c r="W65" s="1142">
        <v>1708</v>
      </c>
      <c r="X65" s="1143">
        <v>0.887019293188959</v>
      </c>
      <c r="Y65" s="1144">
        <v>1687</v>
      </c>
      <c r="Z65" s="1144">
        <v>21</v>
      </c>
      <c r="AA65" s="1145">
        <v>362</v>
      </c>
      <c r="AB65" s="1143">
        <v>0.18799823427072784</v>
      </c>
      <c r="AC65" s="1144">
        <v>323</v>
      </c>
      <c r="AD65" s="1145">
        <v>39</v>
      </c>
    </row>
    <row r="66" spans="1:33" ht="12" customHeight="1">
      <c r="A66" s="1149" t="s">
        <v>1365</v>
      </c>
      <c r="B66" s="1150"/>
      <c r="C66" s="1142">
        <v>446</v>
      </c>
      <c r="D66" s="1143">
        <v>0.24350427770407132</v>
      </c>
      <c r="E66" s="1144">
        <v>384</v>
      </c>
      <c r="F66" s="1144">
        <v>62</v>
      </c>
      <c r="G66" s="1144">
        <v>646</v>
      </c>
      <c r="H66" s="1143">
        <v>0.35269902106912571</v>
      </c>
      <c r="I66" s="1144">
        <v>582</v>
      </c>
      <c r="J66" s="1151">
        <v>64</v>
      </c>
      <c r="K66" s="1145">
        <v>3</v>
      </c>
      <c r="L66" s="1143">
        <v>1.6379211504758161E-3</v>
      </c>
      <c r="M66" s="1144">
        <v>3</v>
      </c>
      <c r="N66" s="1163">
        <v>0</v>
      </c>
      <c r="O66" s="1142">
        <v>382</v>
      </c>
      <c r="P66" s="1143">
        <v>0.2085619598272539</v>
      </c>
      <c r="Q66" s="1144">
        <v>357</v>
      </c>
      <c r="R66" s="1144">
        <v>25</v>
      </c>
      <c r="S66" s="1145">
        <v>35</v>
      </c>
      <c r="T66" s="1143">
        <v>1.9109080088884522E-2</v>
      </c>
      <c r="U66" s="1144">
        <v>27</v>
      </c>
      <c r="V66" s="1151">
        <v>8</v>
      </c>
      <c r="W66" s="1142">
        <v>1502</v>
      </c>
      <c r="X66" s="1143">
        <v>0.82005252267155859</v>
      </c>
      <c r="Y66" s="1144">
        <v>1483</v>
      </c>
      <c r="Z66" s="1144">
        <v>19</v>
      </c>
      <c r="AA66" s="1145">
        <v>293</v>
      </c>
      <c r="AB66" s="1143">
        <v>0.1599702990298047</v>
      </c>
      <c r="AC66" s="1144">
        <v>259</v>
      </c>
      <c r="AD66" s="1145">
        <v>34</v>
      </c>
    </row>
    <row r="67" spans="1:33" ht="6" customHeight="1">
      <c r="A67" s="1154"/>
      <c r="B67" s="1155"/>
      <c r="C67" s="1156"/>
      <c r="D67" s="1158"/>
      <c r="E67" s="1158"/>
      <c r="F67" s="1158"/>
      <c r="G67" s="1158"/>
      <c r="H67" s="1157"/>
      <c r="I67" s="1157"/>
      <c r="J67" s="1157"/>
      <c r="K67" s="1158"/>
      <c r="L67" s="1157"/>
      <c r="M67" s="1157"/>
      <c r="N67" s="1157"/>
      <c r="O67" s="1156"/>
      <c r="P67" s="1159"/>
      <c r="Q67" s="1159"/>
      <c r="R67" s="1159"/>
      <c r="S67" s="1158"/>
      <c r="T67" s="1159"/>
      <c r="U67" s="1159"/>
      <c r="V67" s="1159"/>
      <c r="W67" s="1156"/>
      <c r="X67" s="1159"/>
      <c r="Y67" s="1159"/>
      <c r="Z67" s="1159"/>
      <c r="AA67" s="1158"/>
      <c r="AB67" s="1159"/>
      <c r="AC67" s="1158"/>
      <c r="AD67" s="1158"/>
    </row>
    <row r="68" spans="1:33" ht="15.75" customHeight="1">
      <c r="A68" s="1167"/>
      <c r="B68" s="1167"/>
      <c r="AB68" s="1134"/>
      <c r="AC68" s="1134"/>
    </row>
    <row r="69" spans="1:33" ht="27.95" customHeight="1">
      <c r="A69" s="3231" t="s">
        <v>1335</v>
      </c>
      <c r="B69" s="3232"/>
      <c r="C69" s="3248" t="s">
        <v>1400</v>
      </c>
      <c r="D69" s="3268"/>
      <c r="E69" s="3268"/>
      <c r="F69" s="3269"/>
      <c r="G69" s="3248" t="s">
        <v>1401</v>
      </c>
      <c r="H69" s="3268"/>
      <c r="I69" s="3268"/>
      <c r="J69" s="3269"/>
      <c r="K69" s="3248" t="s">
        <v>1402</v>
      </c>
      <c r="L69" s="3268"/>
      <c r="M69" s="3268"/>
      <c r="N69" s="3269"/>
      <c r="O69" s="3242" t="s">
        <v>1403</v>
      </c>
      <c r="P69" s="3240"/>
      <c r="Q69" s="3240"/>
      <c r="R69" s="3261"/>
      <c r="S69" s="3248" t="s">
        <v>1404</v>
      </c>
      <c r="T69" s="3268"/>
      <c r="U69" s="3268"/>
      <c r="V69" s="3269"/>
      <c r="W69" s="3248" t="s">
        <v>1405</v>
      </c>
      <c r="X69" s="3268"/>
      <c r="Y69" s="3268"/>
      <c r="Z69" s="3269"/>
      <c r="AA69" s="3242" t="s">
        <v>1406</v>
      </c>
      <c r="AB69" s="3240"/>
      <c r="AC69" s="3240"/>
      <c r="AD69" s="3240"/>
    </row>
    <row r="70" spans="1:33" ht="5.0999999999999996" customHeight="1">
      <c r="A70" s="3233"/>
      <c r="B70" s="3234"/>
      <c r="C70" s="3270"/>
      <c r="D70" s="3271"/>
      <c r="E70" s="3271"/>
      <c r="F70" s="3272"/>
      <c r="G70" s="3270"/>
      <c r="H70" s="3271"/>
      <c r="I70" s="3271"/>
      <c r="J70" s="3272"/>
      <c r="K70" s="3270"/>
      <c r="L70" s="3271"/>
      <c r="M70" s="3271"/>
      <c r="N70" s="3272"/>
      <c r="O70" s="3262"/>
      <c r="P70" s="3263"/>
      <c r="Q70" s="3263"/>
      <c r="R70" s="3264"/>
      <c r="S70" s="3270"/>
      <c r="T70" s="3271"/>
      <c r="U70" s="3271"/>
      <c r="V70" s="3272"/>
      <c r="W70" s="3270"/>
      <c r="X70" s="3271"/>
      <c r="Y70" s="3271"/>
      <c r="Z70" s="3272"/>
      <c r="AA70" s="3262"/>
      <c r="AB70" s="3263"/>
      <c r="AC70" s="3263"/>
      <c r="AD70" s="3263"/>
    </row>
    <row r="71" spans="1:33" ht="18" customHeight="1">
      <c r="A71" s="3233"/>
      <c r="B71" s="3234"/>
      <c r="C71" s="3226" t="s">
        <v>1373</v>
      </c>
      <c r="D71" s="1138"/>
      <c r="E71" s="3228" t="s">
        <v>1374</v>
      </c>
      <c r="F71" s="3228" t="s">
        <v>1347</v>
      </c>
      <c r="G71" s="3226" t="s">
        <v>1373</v>
      </c>
      <c r="H71" s="1138"/>
      <c r="I71" s="3228" t="s">
        <v>1374</v>
      </c>
      <c r="J71" s="3228" t="s">
        <v>1347</v>
      </c>
      <c r="K71" s="3226" t="s">
        <v>1373</v>
      </c>
      <c r="L71" s="1138"/>
      <c r="M71" s="3228" t="s">
        <v>1374</v>
      </c>
      <c r="N71" s="3228" t="s">
        <v>1347</v>
      </c>
      <c r="O71" s="3226" t="s">
        <v>1373</v>
      </c>
      <c r="P71" s="1138"/>
      <c r="Q71" s="3228" t="s">
        <v>1374</v>
      </c>
      <c r="R71" s="3228" t="s">
        <v>1347</v>
      </c>
      <c r="S71" s="3226" t="s">
        <v>1373</v>
      </c>
      <c r="T71" s="1138"/>
      <c r="U71" s="3228" t="s">
        <v>1374</v>
      </c>
      <c r="V71" s="3228" t="s">
        <v>1347</v>
      </c>
      <c r="W71" s="3226" t="s">
        <v>1373</v>
      </c>
      <c r="X71" s="1138"/>
      <c r="Y71" s="3228" t="s">
        <v>1374</v>
      </c>
      <c r="Z71" s="3228" t="s">
        <v>1347</v>
      </c>
      <c r="AA71" s="3226" t="s">
        <v>1373</v>
      </c>
      <c r="AB71" s="1138"/>
      <c r="AC71" s="3228" t="s">
        <v>1374</v>
      </c>
      <c r="AD71" s="3273" t="s">
        <v>1347</v>
      </c>
    </row>
    <row r="72" spans="1:33" ht="18" customHeight="1">
      <c r="A72" s="3235"/>
      <c r="B72" s="3236"/>
      <c r="C72" s="3227"/>
      <c r="D72" s="1139" t="s">
        <v>934</v>
      </c>
      <c r="E72" s="3229"/>
      <c r="F72" s="3229"/>
      <c r="G72" s="3227"/>
      <c r="H72" s="1139" t="s">
        <v>1245</v>
      </c>
      <c r="I72" s="3229"/>
      <c r="J72" s="3229"/>
      <c r="K72" s="3227"/>
      <c r="L72" s="1139" t="s">
        <v>934</v>
      </c>
      <c r="M72" s="3229"/>
      <c r="N72" s="3229"/>
      <c r="O72" s="3227"/>
      <c r="P72" s="1139" t="s">
        <v>934</v>
      </c>
      <c r="Q72" s="3229"/>
      <c r="R72" s="3229"/>
      <c r="S72" s="3227"/>
      <c r="T72" s="1139" t="s">
        <v>934</v>
      </c>
      <c r="U72" s="3229"/>
      <c r="V72" s="3229"/>
      <c r="W72" s="3227"/>
      <c r="X72" s="1139" t="s">
        <v>934</v>
      </c>
      <c r="Y72" s="3229"/>
      <c r="Z72" s="3229"/>
      <c r="AA72" s="3227"/>
      <c r="AB72" s="1139" t="s">
        <v>934</v>
      </c>
      <c r="AC72" s="3229"/>
      <c r="AD72" s="3274"/>
    </row>
    <row r="73" spans="1:33" ht="6" customHeight="1">
      <c r="A73" s="1140"/>
      <c r="B73" s="1141"/>
      <c r="C73" s="1142"/>
      <c r="D73" s="1145"/>
      <c r="E73" s="1144"/>
      <c r="F73" s="1144"/>
      <c r="G73" s="1142"/>
      <c r="H73" s="1145"/>
      <c r="I73" s="1144"/>
      <c r="J73" s="1168"/>
      <c r="K73" s="1142"/>
      <c r="L73" s="1145"/>
      <c r="M73" s="1144"/>
      <c r="N73" s="1144"/>
      <c r="O73" s="1142"/>
      <c r="P73" s="1145"/>
      <c r="Q73" s="1144"/>
      <c r="R73" s="1144"/>
      <c r="S73" s="1142"/>
      <c r="T73" s="1165"/>
      <c r="U73" s="1144"/>
      <c r="V73" s="1145"/>
      <c r="W73" s="1142"/>
      <c r="X73" s="1145"/>
      <c r="Y73" s="1144"/>
      <c r="Z73" s="1145"/>
      <c r="AA73" s="1142"/>
      <c r="AB73" s="1169"/>
      <c r="AC73" s="1142"/>
      <c r="AD73" s="1146"/>
    </row>
    <row r="74" spans="1:33" ht="12" hidden="1" customHeight="1">
      <c r="A74" s="1149" t="s">
        <v>1395</v>
      </c>
      <c r="B74" s="1150"/>
      <c r="C74" s="1142">
        <v>22540</v>
      </c>
      <c r="D74" s="1143">
        <v>17.751106490888187</v>
      </c>
      <c r="E74" s="1144">
        <v>19598</v>
      </c>
      <c r="F74" s="1144">
        <v>2942</v>
      </c>
      <c r="G74" s="1142">
        <v>2237</v>
      </c>
      <c r="H74" s="1143">
        <v>1.7617225031107753</v>
      </c>
      <c r="I74" s="1144">
        <v>1834</v>
      </c>
      <c r="J74" s="1168">
        <v>402</v>
      </c>
      <c r="K74" s="1142">
        <v>931</v>
      </c>
      <c r="L74" s="1143">
        <v>0.73319787679755555</v>
      </c>
      <c r="M74" s="1144">
        <v>774</v>
      </c>
      <c r="N74" s="1144">
        <v>157</v>
      </c>
      <c r="O74" s="1142">
        <v>5293</v>
      </c>
      <c r="P74" s="1143">
        <v>4.1684386271637601</v>
      </c>
      <c r="Q74" s="1144">
        <v>4309</v>
      </c>
      <c r="R74" s="1144">
        <v>984</v>
      </c>
      <c r="S74" s="1142">
        <v>2161</v>
      </c>
      <c r="T74" s="1143">
        <v>1.7018696152089337</v>
      </c>
      <c r="U74" s="1144">
        <v>1335</v>
      </c>
      <c r="V74" s="1145">
        <v>800</v>
      </c>
      <c r="W74" s="1142">
        <v>25</v>
      </c>
      <c r="X74" s="1143">
        <v>1.9688449967710943E-2</v>
      </c>
      <c r="Y74" s="1144">
        <v>23</v>
      </c>
      <c r="Z74" s="1163">
        <v>2</v>
      </c>
      <c r="AA74" s="1142">
        <v>16396</v>
      </c>
      <c r="AB74" s="1143">
        <v>12.912473026823545</v>
      </c>
      <c r="AC74" s="1142">
        <v>13028</v>
      </c>
      <c r="AD74" s="1146">
        <v>3119</v>
      </c>
    </row>
    <row r="75" spans="1:33" ht="12" hidden="1" customHeight="1">
      <c r="A75" s="1149" t="s">
        <v>1379</v>
      </c>
      <c r="B75" s="1150"/>
      <c r="C75" s="1142">
        <v>24545</v>
      </c>
      <c r="D75" s="1143">
        <v>16.841635789762591</v>
      </c>
      <c r="E75" s="1144">
        <v>20930</v>
      </c>
      <c r="F75" s="1144">
        <v>3615</v>
      </c>
      <c r="G75" s="1142">
        <v>2458</v>
      </c>
      <c r="H75" s="1143">
        <v>1.6865651159599286</v>
      </c>
      <c r="I75" s="1144">
        <v>2009</v>
      </c>
      <c r="J75" s="1168">
        <v>449</v>
      </c>
      <c r="K75" s="1142">
        <v>887</v>
      </c>
      <c r="L75" s="1143">
        <v>0.60861808700425413</v>
      </c>
      <c r="M75" s="1144">
        <v>724</v>
      </c>
      <c r="N75" s="1144">
        <v>163</v>
      </c>
      <c r="O75" s="1142">
        <v>8822</v>
      </c>
      <c r="P75" s="1143">
        <v>6.0532455056950738</v>
      </c>
      <c r="Q75" s="1144">
        <v>7058</v>
      </c>
      <c r="R75" s="1144">
        <v>1764</v>
      </c>
      <c r="S75" s="1142">
        <v>2197</v>
      </c>
      <c r="T75" s="1143">
        <v>1.5074790723205709</v>
      </c>
      <c r="U75" s="1144">
        <v>1256</v>
      </c>
      <c r="V75" s="1145">
        <v>920</v>
      </c>
      <c r="W75" s="1142">
        <v>41</v>
      </c>
      <c r="X75" s="1143">
        <v>2.8132290380128995E-2</v>
      </c>
      <c r="Y75" s="1144">
        <v>41</v>
      </c>
      <c r="Z75" s="1163">
        <v>0</v>
      </c>
      <c r="AA75" s="1142">
        <v>19780</v>
      </c>
      <c r="AB75" s="1143">
        <v>13.572114724852478</v>
      </c>
      <c r="AC75" s="1142">
        <v>15325</v>
      </c>
      <c r="AD75" s="1146">
        <v>4069</v>
      </c>
    </row>
    <row r="76" spans="1:33" ht="12" hidden="1" customHeight="1">
      <c r="A76" s="1149" t="s">
        <v>1352</v>
      </c>
      <c r="B76" s="1150"/>
      <c r="C76" s="1142">
        <v>27199</v>
      </c>
      <c r="D76" s="1143">
        <v>15.657615234498678</v>
      </c>
      <c r="E76" s="1144">
        <v>23272</v>
      </c>
      <c r="F76" s="1144">
        <v>3927</v>
      </c>
      <c r="G76" s="1142">
        <v>2748</v>
      </c>
      <c r="H76" s="1143">
        <v>1.5819378162580378</v>
      </c>
      <c r="I76" s="1144">
        <v>2222</v>
      </c>
      <c r="J76" s="1168">
        <v>526</v>
      </c>
      <c r="K76" s="1142">
        <v>980</v>
      </c>
      <c r="L76" s="1143">
        <v>0.56415540754471516</v>
      </c>
      <c r="M76" s="1144">
        <v>814</v>
      </c>
      <c r="N76" s="1144">
        <v>166</v>
      </c>
      <c r="O76" s="1142">
        <v>14005</v>
      </c>
      <c r="P76" s="1143">
        <v>8.0622413088405445</v>
      </c>
      <c r="Q76" s="1144">
        <v>10810</v>
      </c>
      <c r="R76" s="1144">
        <v>3195</v>
      </c>
      <c r="S76" s="1142">
        <v>2438</v>
      </c>
      <c r="T76" s="1143">
        <v>1.403480493463281</v>
      </c>
      <c r="U76" s="1144">
        <v>1427</v>
      </c>
      <c r="V76" s="1145">
        <v>980</v>
      </c>
      <c r="W76" s="1142">
        <v>21</v>
      </c>
      <c r="X76" s="1143">
        <v>1.2089044447386751E-2</v>
      </c>
      <c r="Y76" s="1144">
        <v>21</v>
      </c>
      <c r="Z76" s="1163">
        <v>0</v>
      </c>
      <c r="AA76" s="1142">
        <v>18867</v>
      </c>
      <c r="AB76" s="1143">
        <v>10.861142932802183</v>
      </c>
      <c r="AC76" s="1142">
        <v>14553</v>
      </c>
      <c r="AD76" s="1146">
        <v>3838</v>
      </c>
    </row>
    <row r="77" spans="1:33" ht="12" hidden="1" customHeight="1">
      <c r="A77" s="1149" t="s">
        <v>1381</v>
      </c>
      <c r="B77" s="1150"/>
      <c r="C77" s="1142">
        <v>41120</v>
      </c>
      <c r="D77" s="1143">
        <v>20.696076704330977</v>
      </c>
      <c r="E77" s="1144">
        <v>35790</v>
      </c>
      <c r="F77" s="1144">
        <v>5330</v>
      </c>
      <c r="G77" s="1142">
        <v>2990</v>
      </c>
      <c r="H77" s="1143">
        <v>1.5048946825376852</v>
      </c>
      <c r="I77" s="1144">
        <v>2393</v>
      </c>
      <c r="J77" s="1168">
        <v>597</v>
      </c>
      <c r="K77" s="1142">
        <v>875</v>
      </c>
      <c r="L77" s="1143">
        <v>0.44039560107708181</v>
      </c>
      <c r="M77" s="1144">
        <v>744</v>
      </c>
      <c r="N77" s="1144">
        <v>131</v>
      </c>
      <c r="O77" s="1142">
        <v>17445</v>
      </c>
      <c r="P77" s="1143">
        <v>8.7802300123310761</v>
      </c>
      <c r="Q77" s="1144">
        <v>13610</v>
      </c>
      <c r="R77" s="1144">
        <v>3835</v>
      </c>
      <c r="S77" s="1142">
        <v>2501</v>
      </c>
      <c r="T77" s="1143">
        <v>1.2587764551928933</v>
      </c>
      <c r="U77" s="1144">
        <v>1492</v>
      </c>
      <c r="V77" s="1145">
        <v>989</v>
      </c>
      <c r="W77" s="1142">
        <v>42</v>
      </c>
      <c r="X77" s="1143">
        <v>2.1138988851699927E-2</v>
      </c>
      <c r="Y77" s="1144">
        <v>42</v>
      </c>
      <c r="Z77" s="1163">
        <v>0</v>
      </c>
      <c r="AA77" s="1142">
        <v>16769</v>
      </c>
      <c r="AB77" s="1143">
        <v>8.4399929536703837</v>
      </c>
      <c r="AC77" s="1142">
        <v>12963</v>
      </c>
      <c r="AD77" s="1146">
        <v>3253</v>
      </c>
    </row>
    <row r="78" spans="1:33" ht="12" hidden="1" customHeight="1">
      <c r="A78" s="1149" t="s">
        <v>1382</v>
      </c>
      <c r="B78" s="1150"/>
      <c r="C78" s="1142">
        <v>36758</v>
      </c>
      <c r="D78" s="1143">
        <v>19.298171928977183</v>
      </c>
      <c r="E78" s="1144">
        <v>31703</v>
      </c>
      <c r="F78" s="1144">
        <v>5055</v>
      </c>
      <c r="G78" s="1142">
        <v>2979</v>
      </c>
      <c r="H78" s="1143">
        <v>1.563992985919338</v>
      </c>
      <c r="I78" s="1144">
        <v>2392</v>
      </c>
      <c r="J78" s="1168">
        <v>587</v>
      </c>
      <c r="K78" s="1142">
        <v>430</v>
      </c>
      <c r="L78" s="1143">
        <v>0.22575259615485577</v>
      </c>
      <c r="M78" s="1144">
        <v>362</v>
      </c>
      <c r="N78" s="1144">
        <v>68</v>
      </c>
      <c r="O78" s="1142">
        <v>19246</v>
      </c>
      <c r="P78" s="1143">
        <v>10.104266199061289</v>
      </c>
      <c r="Q78" s="1144">
        <v>15245</v>
      </c>
      <c r="R78" s="1144">
        <v>4001</v>
      </c>
      <c r="S78" s="1142">
        <v>1767</v>
      </c>
      <c r="T78" s="1143">
        <v>0.9276856683851864</v>
      </c>
      <c r="U78" s="1144">
        <v>1040</v>
      </c>
      <c r="V78" s="1145">
        <v>711</v>
      </c>
      <c r="W78" s="1142">
        <v>11</v>
      </c>
      <c r="X78" s="1143">
        <v>5.7750664132637519E-3</v>
      </c>
      <c r="Y78" s="1144">
        <v>11</v>
      </c>
      <c r="Z78" s="1163">
        <v>0</v>
      </c>
      <c r="AA78" s="1142">
        <v>16531</v>
      </c>
      <c r="AB78" s="1143">
        <v>8.6788748070602821</v>
      </c>
      <c r="AC78" s="1142">
        <v>12897</v>
      </c>
      <c r="AD78" s="1146">
        <v>3261</v>
      </c>
    </row>
    <row r="79" spans="1:33" ht="12" customHeight="1">
      <c r="A79" s="1149" t="s">
        <v>1396</v>
      </c>
      <c r="B79" s="1150"/>
      <c r="C79" s="1142">
        <v>35460</v>
      </c>
      <c r="D79" s="1143">
        <v>19.691138987455645</v>
      </c>
      <c r="E79" s="1144">
        <v>30616</v>
      </c>
      <c r="F79" s="1144">
        <v>4844</v>
      </c>
      <c r="G79" s="1142">
        <v>2902</v>
      </c>
      <c r="H79" s="1143">
        <v>1.6114970485503743</v>
      </c>
      <c r="I79" s="1144">
        <v>2281</v>
      </c>
      <c r="J79" s="1168">
        <v>621</v>
      </c>
      <c r="K79" s="1142">
        <v>345</v>
      </c>
      <c r="L79" s="1143">
        <v>0.1915804554617089</v>
      </c>
      <c r="M79" s="1144">
        <v>281</v>
      </c>
      <c r="N79" s="1144">
        <v>64</v>
      </c>
      <c r="O79" s="1142">
        <v>16574</v>
      </c>
      <c r="P79" s="1143">
        <v>9.2036361415140959</v>
      </c>
      <c r="Q79" s="1144">
        <v>13258</v>
      </c>
      <c r="R79" s="1144">
        <v>3316</v>
      </c>
      <c r="S79" s="1142">
        <v>1566</v>
      </c>
      <c r="T79" s="1143">
        <v>0.86960867609575687</v>
      </c>
      <c r="U79" s="1144">
        <v>923</v>
      </c>
      <c r="V79" s="1145">
        <v>628</v>
      </c>
      <c r="W79" s="1142">
        <v>15</v>
      </c>
      <c r="X79" s="1143">
        <v>8.3295850200743003E-3</v>
      </c>
      <c r="Y79" s="1144">
        <v>15</v>
      </c>
      <c r="Z79" s="1163">
        <v>0</v>
      </c>
      <c r="AA79" s="1142">
        <v>16155</v>
      </c>
      <c r="AB79" s="1143">
        <v>8.9709630666200209</v>
      </c>
      <c r="AC79" s="1142">
        <v>12642</v>
      </c>
      <c r="AD79" s="1146">
        <v>3145</v>
      </c>
      <c r="AG79" s="1135" t="s">
        <v>1356</v>
      </c>
    </row>
    <row r="80" spans="1:33" ht="12" customHeight="1">
      <c r="A80" s="1149" t="s">
        <v>1383</v>
      </c>
      <c r="B80" s="1150"/>
      <c r="C80" s="1142">
        <v>36440</v>
      </c>
      <c r="D80" s="1143">
        <v>20.787221905305191</v>
      </c>
      <c r="E80" s="1144">
        <v>31445</v>
      </c>
      <c r="F80" s="1144">
        <v>4995</v>
      </c>
      <c r="G80" s="1142">
        <v>2684</v>
      </c>
      <c r="H80" s="1143">
        <v>1.5310895607529948</v>
      </c>
      <c r="I80" s="1144">
        <v>2119</v>
      </c>
      <c r="J80" s="1168">
        <v>565</v>
      </c>
      <c r="K80" s="1142">
        <v>253</v>
      </c>
      <c r="L80" s="1143">
        <v>0.14432401597261835</v>
      </c>
      <c r="M80" s="1144">
        <v>203</v>
      </c>
      <c r="N80" s="1144">
        <v>50</v>
      </c>
      <c r="O80" s="1142">
        <v>11559</v>
      </c>
      <c r="P80" s="1143">
        <v>6.5938391329150026</v>
      </c>
      <c r="Q80" s="1144">
        <v>9024</v>
      </c>
      <c r="R80" s="1144">
        <v>2535</v>
      </c>
      <c r="S80" s="1142">
        <v>1512</v>
      </c>
      <c r="T80" s="1143">
        <v>0.86252139189960075</v>
      </c>
      <c r="U80" s="1144">
        <v>823</v>
      </c>
      <c r="V80" s="1145">
        <v>673</v>
      </c>
      <c r="W80" s="1142">
        <v>20</v>
      </c>
      <c r="X80" s="1143">
        <v>1.1409013120365089E-2</v>
      </c>
      <c r="Y80" s="1144">
        <v>20</v>
      </c>
      <c r="Z80" s="1163">
        <v>0</v>
      </c>
      <c r="AA80" s="1142">
        <v>16617</v>
      </c>
      <c r="AB80" s="1143">
        <v>9.4791785510553339</v>
      </c>
      <c r="AC80" s="1142">
        <v>12944</v>
      </c>
      <c r="AD80" s="1146">
        <v>3322</v>
      </c>
    </row>
    <row r="81" spans="1:30" ht="12" customHeight="1">
      <c r="A81" s="1149" t="s">
        <v>1384</v>
      </c>
      <c r="B81" s="1150"/>
      <c r="C81" s="1142">
        <v>36410</v>
      </c>
      <c r="D81" s="1143">
        <v>20.941655546864215</v>
      </c>
      <c r="E81" s="1144">
        <v>31340</v>
      </c>
      <c r="F81" s="1144">
        <v>5070</v>
      </c>
      <c r="G81" s="1142">
        <v>2540</v>
      </c>
      <c r="H81" s="1143">
        <v>1.460911977177564</v>
      </c>
      <c r="I81" s="1144">
        <v>2009</v>
      </c>
      <c r="J81" s="1168">
        <v>531</v>
      </c>
      <c r="K81" s="1142">
        <v>321</v>
      </c>
      <c r="L81" s="1143">
        <v>0.18462706483228269</v>
      </c>
      <c r="M81" s="1144">
        <v>285</v>
      </c>
      <c r="N81" s="1144">
        <v>36</v>
      </c>
      <c r="O81" s="1142">
        <v>8985</v>
      </c>
      <c r="P81" s="1143">
        <v>5.1678323287166981</v>
      </c>
      <c r="Q81" s="1144">
        <v>6831</v>
      </c>
      <c r="R81" s="1144">
        <v>2154</v>
      </c>
      <c r="S81" s="1142">
        <v>1544</v>
      </c>
      <c r="T81" s="1143">
        <v>0.88805043022132235</v>
      </c>
      <c r="U81" s="1144">
        <v>831</v>
      </c>
      <c r="V81" s="1145">
        <v>692</v>
      </c>
      <c r="W81" s="1142">
        <v>31</v>
      </c>
      <c r="X81" s="1143">
        <v>1.783002806791515E-2</v>
      </c>
      <c r="Y81" s="1144">
        <v>31</v>
      </c>
      <c r="Z81" s="1163">
        <v>0</v>
      </c>
      <c r="AA81" s="1142">
        <v>15207</v>
      </c>
      <c r="AB81" s="1143">
        <v>8.7464915106059919</v>
      </c>
      <c r="AC81" s="1142">
        <v>11993</v>
      </c>
      <c r="AD81" s="1146">
        <v>2855</v>
      </c>
    </row>
    <row r="82" spans="1:30" ht="12" customHeight="1">
      <c r="A82" s="1149" t="s">
        <v>1359</v>
      </c>
      <c r="B82" s="1150"/>
      <c r="C82" s="1142">
        <v>36096</v>
      </c>
      <c r="D82" s="1143">
        <v>21.409887600462646</v>
      </c>
      <c r="E82" s="1144">
        <v>31323</v>
      </c>
      <c r="F82" s="1144">
        <v>4773</v>
      </c>
      <c r="G82" s="1142">
        <v>2705</v>
      </c>
      <c r="H82" s="1143">
        <v>1.6044366677540851</v>
      </c>
      <c r="I82" s="1144">
        <v>2105</v>
      </c>
      <c r="J82" s="1168">
        <v>600</v>
      </c>
      <c r="K82" s="1142">
        <v>391</v>
      </c>
      <c r="L82" s="1143">
        <v>0.23191672350900086</v>
      </c>
      <c r="M82" s="1144">
        <v>356</v>
      </c>
      <c r="N82" s="1144">
        <v>35</v>
      </c>
      <c r="O82" s="1142">
        <v>7993</v>
      </c>
      <c r="P82" s="1143">
        <v>4.7409472404282447</v>
      </c>
      <c r="Q82" s="1144">
        <v>6053</v>
      </c>
      <c r="R82" s="1144">
        <v>1940</v>
      </c>
      <c r="S82" s="1142">
        <v>1360</v>
      </c>
      <c r="T82" s="1143">
        <v>0.80666686437913337</v>
      </c>
      <c r="U82" s="1144">
        <v>782</v>
      </c>
      <c r="V82" s="1145">
        <v>546</v>
      </c>
      <c r="W82" s="1142">
        <v>30</v>
      </c>
      <c r="X82" s="1143">
        <v>1.7794122008363236E-2</v>
      </c>
      <c r="Y82" s="1144">
        <v>30</v>
      </c>
      <c r="Z82" s="1163">
        <v>0</v>
      </c>
      <c r="AA82" s="1142">
        <v>13919</v>
      </c>
      <c r="AB82" s="1143">
        <v>8.2558794744802633</v>
      </c>
      <c r="AC82" s="1142">
        <v>10946</v>
      </c>
      <c r="AD82" s="1146">
        <v>2676</v>
      </c>
    </row>
    <row r="83" spans="1:30" ht="12" customHeight="1">
      <c r="A83" s="1149" t="s">
        <v>1385</v>
      </c>
      <c r="B83" s="1150"/>
      <c r="C83" s="1142">
        <v>34672</v>
      </c>
      <c r="D83" s="1143">
        <v>18.38807363290676</v>
      </c>
      <c r="E83" s="1144">
        <v>30126</v>
      </c>
      <c r="F83" s="1144">
        <v>4546</v>
      </c>
      <c r="G83" s="1142">
        <v>2684</v>
      </c>
      <c r="H83" s="1143">
        <v>1.4234422482326299</v>
      </c>
      <c r="I83" s="1144">
        <v>2136</v>
      </c>
      <c r="J83" s="1168">
        <v>548</v>
      </c>
      <c r="K83" s="1142">
        <v>439</v>
      </c>
      <c r="L83" s="1143">
        <v>0.23282084462523267</v>
      </c>
      <c r="M83" s="1144">
        <v>371</v>
      </c>
      <c r="N83" s="1144">
        <v>68</v>
      </c>
      <c r="O83" s="1142">
        <v>7521</v>
      </c>
      <c r="P83" s="1143">
        <v>3.9887142879871869</v>
      </c>
      <c r="Q83" s="1144">
        <v>5736</v>
      </c>
      <c r="R83" s="1144">
        <v>1784</v>
      </c>
      <c r="S83" s="1142">
        <v>1327</v>
      </c>
      <c r="T83" s="1143">
        <v>0.70376596997194485</v>
      </c>
      <c r="U83" s="1144">
        <v>740</v>
      </c>
      <c r="V83" s="1145">
        <v>546</v>
      </c>
      <c r="W83" s="1142">
        <v>10</v>
      </c>
      <c r="X83" s="1143">
        <v>5.3034360962467587E-3</v>
      </c>
      <c r="Y83" s="1144">
        <v>10</v>
      </c>
      <c r="Z83" s="1163">
        <v>0</v>
      </c>
      <c r="AA83" s="1142">
        <v>13187</v>
      </c>
      <c r="AB83" s="1143">
        <v>6.9936411801206004</v>
      </c>
      <c r="AC83" s="1142">
        <v>10508</v>
      </c>
      <c r="AD83" s="1146">
        <v>2371</v>
      </c>
    </row>
    <row r="84" spans="1:30" ht="12" customHeight="1">
      <c r="A84" s="1149" t="s">
        <v>1386</v>
      </c>
      <c r="B84" s="1150"/>
      <c r="C84" s="1142">
        <v>35960</v>
      </c>
      <c r="D84" s="1143">
        <v>19.432270754864824</v>
      </c>
      <c r="E84" s="1144">
        <v>31502</v>
      </c>
      <c r="F84" s="1144">
        <v>4458</v>
      </c>
      <c r="G84" s="1142">
        <v>2202</v>
      </c>
      <c r="H84" s="1143">
        <v>1.1899293715854378</v>
      </c>
      <c r="I84" s="1144">
        <v>1717</v>
      </c>
      <c r="J84" s="1168">
        <v>485</v>
      </c>
      <c r="K84" s="1142">
        <v>318</v>
      </c>
      <c r="L84" s="1143">
        <v>0.17184266129162995</v>
      </c>
      <c r="M84" s="1144">
        <v>255</v>
      </c>
      <c r="N84" s="1144">
        <v>63</v>
      </c>
      <c r="O84" s="1142">
        <v>7712</v>
      </c>
      <c r="P84" s="1143">
        <v>4.1674547291856925</v>
      </c>
      <c r="Q84" s="1144">
        <v>5877</v>
      </c>
      <c r="R84" s="1144">
        <v>1835</v>
      </c>
      <c r="S84" s="1142">
        <v>1139</v>
      </c>
      <c r="T84" s="1143">
        <v>0.61549934343134127</v>
      </c>
      <c r="U84" s="1144">
        <v>577</v>
      </c>
      <c r="V84" s="1145">
        <v>535</v>
      </c>
      <c r="W84" s="1142">
        <v>6</v>
      </c>
      <c r="X84" s="1143">
        <v>3.2423143639930181E-3</v>
      </c>
      <c r="Y84" s="1144">
        <v>6</v>
      </c>
      <c r="Z84" s="1163">
        <v>0</v>
      </c>
      <c r="AA84" s="1142">
        <v>13870</v>
      </c>
      <c r="AB84" s="1143">
        <v>7.4951500380971936</v>
      </c>
      <c r="AC84" s="1142">
        <v>10886</v>
      </c>
      <c r="AD84" s="1146">
        <v>2662</v>
      </c>
    </row>
    <row r="85" spans="1:30" ht="12" customHeight="1">
      <c r="A85" s="1149" t="s">
        <v>1362</v>
      </c>
      <c r="B85" s="1150"/>
      <c r="C85" s="1142">
        <v>40625</v>
      </c>
      <c r="D85" s="1143">
        <v>22.42839476183115</v>
      </c>
      <c r="E85" s="1144">
        <v>35665</v>
      </c>
      <c r="F85" s="1144">
        <v>4960</v>
      </c>
      <c r="G85" s="1142">
        <v>2217</v>
      </c>
      <c r="H85" s="1143">
        <v>1.2239692599871916</v>
      </c>
      <c r="I85" s="1144">
        <v>1756</v>
      </c>
      <c r="J85" s="1168">
        <v>461</v>
      </c>
      <c r="K85" s="1142">
        <v>264</v>
      </c>
      <c r="L85" s="1143">
        <v>0.14575006072919197</v>
      </c>
      <c r="M85" s="1144">
        <v>213</v>
      </c>
      <c r="N85" s="1144">
        <v>51</v>
      </c>
      <c r="O85" s="1142">
        <v>8277</v>
      </c>
      <c r="P85" s="1143">
        <v>4.5695956539981886</v>
      </c>
      <c r="Q85" s="1144">
        <v>6412</v>
      </c>
      <c r="R85" s="1144">
        <v>1865</v>
      </c>
      <c r="S85" s="1142">
        <v>970</v>
      </c>
      <c r="T85" s="1143">
        <v>0.5355210564671069</v>
      </c>
      <c r="U85" s="1144">
        <v>493</v>
      </c>
      <c r="V85" s="1145">
        <v>432</v>
      </c>
      <c r="W85" s="1142">
        <v>7</v>
      </c>
      <c r="X85" s="1143">
        <v>3.8645849435770597E-3</v>
      </c>
      <c r="Y85" s="1144">
        <v>7</v>
      </c>
      <c r="Z85" s="1163">
        <v>0</v>
      </c>
      <c r="AA85" s="1142">
        <v>13507</v>
      </c>
      <c r="AB85" s="1143">
        <v>7.4569926904136201</v>
      </c>
      <c r="AC85" s="1142">
        <v>10813</v>
      </c>
      <c r="AD85" s="1146">
        <v>2341</v>
      </c>
    </row>
    <row r="86" spans="1:30" ht="12" customHeight="1">
      <c r="A86" s="1149" t="s">
        <v>1363</v>
      </c>
      <c r="B86" s="1150"/>
      <c r="C86" s="1142">
        <v>43281</v>
      </c>
      <c r="D86" s="1143">
        <v>22.479082159977978</v>
      </c>
      <c r="E86" s="1144">
        <v>37827</v>
      </c>
      <c r="F86" s="1144">
        <v>5454</v>
      </c>
      <c r="G86" s="1142">
        <v>2511</v>
      </c>
      <c r="H86" s="1143">
        <v>1.3041513667360898</v>
      </c>
      <c r="I86" s="1144">
        <v>2037</v>
      </c>
      <c r="J86" s="1168">
        <v>474</v>
      </c>
      <c r="K86" s="1142">
        <v>286</v>
      </c>
      <c r="L86" s="1143">
        <v>0.14854133448288398</v>
      </c>
      <c r="M86" s="1144">
        <v>216</v>
      </c>
      <c r="N86" s="1144">
        <v>70</v>
      </c>
      <c r="O86" s="1142">
        <v>12313</v>
      </c>
      <c r="P86" s="1143">
        <v>6.3950680121949324</v>
      </c>
      <c r="Q86" s="1144">
        <v>9664</v>
      </c>
      <c r="R86" s="1144">
        <v>2649</v>
      </c>
      <c r="S86" s="1142">
        <v>970</v>
      </c>
      <c r="T86" s="1143">
        <v>0.50379403653285826</v>
      </c>
      <c r="U86" s="1144">
        <v>512</v>
      </c>
      <c r="V86" s="1145">
        <v>422</v>
      </c>
      <c r="W86" s="1142">
        <v>6</v>
      </c>
      <c r="X86" s="1143">
        <v>3.1162517723681959E-3</v>
      </c>
      <c r="Y86" s="1144">
        <v>6</v>
      </c>
      <c r="Z86" s="1163">
        <v>0</v>
      </c>
      <c r="AA86" s="1142">
        <v>14650</v>
      </c>
      <c r="AB86" s="1143">
        <v>7.6088480775323442</v>
      </c>
      <c r="AC86" s="1142">
        <v>11744</v>
      </c>
      <c r="AD86" s="1146">
        <v>2561</v>
      </c>
    </row>
    <row r="87" spans="1:30" ht="12" customHeight="1">
      <c r="A87" s="1149" t="s">
        <v>1399</v>
      </c>
      <c r="B87" s="1150"/>
      <c r="C87" s="1142">
        <v>44541</v>
      </c>
      <c r="D87" s="1143">
        <v>23.131572797382567</v>
      </c>
      <c r="E87" s="1144">
        <v>38741</v>
      </c>
      <c r="F87" s="1144">
        <v>5800</v>
      </c>
      <c r="G87" s="1142">
        <v>2666</v>
      </c>
      <c r="H87" s="1143">
        <v>1.3845394822258577</v>
      </c>
      <c r="I87" s="1144">
        <v>2097</v>
      </c>
      <c r="J87" s="1168">
        <v>569</v>
      </c>
      <c r="K87" s="1142">
        <v>321</v>
      </c>
      <c r="L87" s="1143">
        <v>0.16670561657708188</v>
      </c>
      <c r="M87" s="1144">
        <v>226</v>
      </c>
      <c r="N87" s="1144">
        <v>95</v>
      </c>
      <c r="O87" s="1142">
        <v>14111</v>
      </c>
      <c r="P87" s="1143">
        <v>7.3282958115862993</v>
      </c>
      <c r="Q87" s="1144">
        <v>10725</v>
      </c>
      <c r="R87" s="1144">
        <v>3386</v>
      </c>
      <c r="S87" s="1142">
        <v>804</v>
      </c>
      <c r="T87" s="1143">
        <v>0.41754303965100875</v>
      </c>
      <c r="U87" s="1144">
        <v>444</v>
      </c>
      <c r="V87" s="1145">
        <v>337</v>
      </c>
      <c r="W87" s="1142">
        <v>31</v>
      </c>
      <c r="X87" s="1143">
        <v>1.6099296304951834E-2</v>
      </c>
      <c r="Y87" s="1144">
        <v>26</v>
      </c>
      <c r="Z87" s="1163">
        <v>5</v>
      </c>
      <c r="AA87" s="1142">
        <v>15739</v>
      </c>
      <c r="AB87" s="1143">
        <v>8.1737685336657062</v>
      </c>
      <c r="AC87" s="1142">
        <v>12627</v>
      </c>
      <c r="AD87" s="1146">
        <v>2810</v>
      </c>
    </row>
    <row r="88" spans="1:30" ht="12" customHeight="1">
      <c r="A88" s="1149" t="s">
        <v>1365</v>
      </c>
      <c r="B88" s="1150"/>
      <c r="C88" s="1142">
        <v>42218</v>
      </c>
      <c r="D88" s="1143">
        <v>23.049918376929334</v>
      </c>
      <c r="E88" s="1144">
        <v>36711</v>
      </c>
      <c r="F88" s="1144">
        <v>5507</v>
      </c>
      <c r="G88" s="1142">
        <v>2639</v>
      </c>
      <c r="H88" s="1143">
        <v>1.4408246387018928</v>
      </c>
      <c r="I88" s="1144">
        <v>2031</v>
      </c>
      <c r="J88" s="1168">
        <v>608</v>
      </c>
      <c r="K88" s="1142">
        <v>277</v>
      </c>
      <c r="L88" s="1143">
        <v>0.15123471956060033</v>
      </c>
      <c r="M88" s="1144">
        <v>232</v>
      </c>
      <c r="N88" s="1144">
        <v>45</v>
      </c>
      <c r="O88" s="1142">
        <v>13427</v>
      </c>
      <c r="P88" s="1143">
        <v>7.3307890958129267</v>
      </c>
      <c r="Q88" s="1144">
        <v>10133</v>
      </c>
      <c r="R88" s="1144">
        <v>3294</v>
      </c>
      <c r="S88" s="1142">
        <v>734</v>
      </c>
      <c r="T88" s="1143">
        <v>0.40074470814974972</v>
      </c>
      <c r="U88" s="1144">
        <v>380</v>
      </c>
      <c r="V88" s="1145">
        <v>344</v>
      </c>
      <c r="W88" s="1142">
        <v>47</v>
      </c>
      <c r="X88" s="1143">
        <v>2.5660764690787787E-2</v>
      </c>
      <c r="Y88" s="1144">
        <v>42</v>
      </c>
      <c r="Z88" s="1163">
        <v>5</v>
      </c>
      <c r="AA88" s="1142">
        <v>16456</v>
      </c>
      <c r="AB88" s="1143">
        <v>8.984543484076676</v>
      </c>
      <c r="AC88" s="1142">
        <v>13076</v>
      </c>
      <c r="AD88" s="1146">
        <v>3060</v>
      </c>
    </row>
    <row r="89" spans="1:30" ht="6" customHeight="1">
      <c r="A89" s="1154"/>
      <c r="B89" s="1155"/>
      <c r="C89" s="1156"/>
      <c r="D89" s="1158"/>
      <c r="E89" s="1158"/>
      <c r="F89" s="1158"/>
      <c r="G89" s="1156"/>
      <c r="H89" s="1159"/>
      <c r="I89" s="1159"/>
      <c r="J89" s="1159"/>
      <c r="K89" s="1156"/>
      <c r="L89" s="1158"/>
      <c r="M89" s="1158"/>
      <c r="N89" s="1158"/>
      <c r="O89" s="1156"/>
      <c r="P89" s="1158"/>
      <c r="Q89" s="1158"/>
      <c r="R89" s="1158"/>
      <c r="S89" s="1156"/>
      <c r="T89" s="1158"/>
      <c r="U89" s="1158"/>
      <c r="V89" s="1158"/>
      <c r="W89" s="1156"/>
      <c r="X89" s="1158"/>
      <c r="Y89" s="1158"/>
      <c r="Z89" s="1158"/>
      <c r="AA89" s="1156"/>
      <c r="AB89" s="1159"/>
      <c r="AC89" s="1162"/>
      <c r="AD89" s="1132"/>
    </row>
    <row r="90" spans="1:30" ht="15">
      <c r="A90" s="1170" t="s">
        <v>1407</v>
      </c>
      <c r="B90" s="1170"/>
      <c r="C90" s="1170"/>
      <c r="D90" s="1171"/>
      <c r="E90" s="1171"/>
      <c r="F90" s="1171"/>
      <c r="G90" s="1171"/>
      <c r="H90" s="1171"/>
      <c r="I90" s="1171"/>
      <c r="J90" s="1171"/>
      <c r="K90" s="1171"/>
    </row>
    <row r="91" spans="1:30" ht="15">
      <c r="A91" s="1170" t="s">
        <v>1408</v>
      </c>
      <c r="B91" s="1170"/>
      <c r="C91" s="1170"/>
      <c r="D91" s="1171"/>
      <c r="E91" s="1171"/>
      <c r="F91" s="1171"/>
      <c r="G91" s="1171"/>
      <c r="H91" s="1171"/>
      <c r="I91" s="1171"/>
      <c r="J91" s="1171"/>
      <c r="K91" s="1171"/>
    </row>
    <row r="93" spans="1:30" ht="15.75">
      <c r="G93" s="1172"/>
      <c r="H93" s="1172"/>
      <c r="I93" s="1172"/>
      <c r="J93" s="1172"/>
    </row>
    <row r="98" spans="10:10">
      <c r="J98" s="1135" t="s">
        <v>1356</v>
      </c>
    </row>
  </sheetData>
  <mergeCells count="118">
    <mergeCell ref="AA69:AD70"/>
    <mergeCell ref="C71:C72"/>
    <mergeCell ref="E71:E72"/>
    <mergeCell ref="F71:F72"/>
    <mergeCell ref="G71:G72"/>
    <mergeCell ref="I71:I72"/>
    <mergeCell ref="J71:J72"/>
    <mergeCell ref="K71:K72"/>
    <mergeCell ref="M71:M72"/>
    <mergeCell ref="N71:N72"/>
    <mergeCell ref="W71:W72"/>
    <mergeCell ref="Y71:Y72"/>
    <mergeCell ref="Z71:Z72"/>
    <mergeCell ref="AA71:AA72"/>
    <mergeCell ref="AC71:AC72"/>
    <mergeCell ref="AD71:AD72"/>
    <mergeCell ref="O71:O72"/>
    <mergeCell ref="Q71:Q72"/>
    <mergeCell ref="R71:R72"/>
    <mergeCell ref="S71:S72"/>
    <mergeCell ref="U71:U72"/>
    <mergeCell ref="V71:V72"/>
    <mergeCell ref="A69:B72"/>
    <mergeCell ref="C69:F70"/>
    <mergeCell ref="G69:J70"/>
    <mergeCell ref="K69:N70"/>
    <mergeCell ref="O69:R70"/>
    <mergeCell ref="S69:V70"/>
    <mergeCell ref="W69:Z70"/>
    <mergeCell ref="S49:S50"/>
    <mergeCell ref="U49:U50"/>
    <mergeCell ref="V49:V50"/>
    <mergeCell ref="W49:W50"/>
    <mergeCell ref="Y49:Y50"/>
    <mergeCell ref="Z49:Z50"/>
    <mergeCell ref="A47:B50"/>
    <mergeCell ref="W47:Z48"/>
    <mergeCell ref="AA47:AD48"/>
    <mergeCell ref="C49:C50"/>
    <mergeCell ref="E49:E50"/>
    <mergeCell ref="F49:F50"/>
    <mergeCell ref="G49:G50"/>
    <mergeCell ref="I49:I50"/>
    <mergeCell ref="J49:J50"/>
    <mergeCell ref="K49:K50"/>
    <mergeCell ref="M49:M50"/>
    <mergeCell ref="C47:F48"/>
    <mergeCell ref="G47:J48"/>
    <mergeCell ref="K47:N48"/>
    <mergeCell ref="O47:R48"/>
    <mergeCell ref="S47:V48"/>
    <mergeCell ref="N49:N50"/>
    <mergeCell ref="O49:O50"/>
    <mergeCell ref="Q49:Q50"/>
    <mergeCell ref="R49:R50"/>
    <mergeCell ref="AA49:AA50"/>
    <mergeCell ref="AC49:AC50"/>
    <mergeCell ref="AD49:AD50"/>
    <mergeCell ref="AA25:AD26"/>
    <mergeCell ref="C27:C28"/>
    <mergeCell ref="E27:E28"/>
    <mergeCell ref="F27:F28"/>
    <mergeCell ref="G27:G28"/>
    <mergeCell ref="I27:I28"/>
    <mergeCell ref="J27:J28"/>
    <mergeCell ref="K27:K28"/>
    <mergeCell ref="M27:M28"/>
    <mergeCell ref="N27:N28"/>
    <mergeCell ref="W27:W28"/>
    <mergeCell ref="Y27:Y28"/>
    <mergeCell ref="Z27:Z28"/>
    <mergeCell ref="AA27:AA28"/>
    <mergeCell ref="AC27:AC28"/>
    <mergeCell ref="AD27:AD28"/>
    <mergeCell ref="O27:O28"/>
    <mergeCell ref="Q27:Q28"/>
    <mergeCell ref="R27:R28"/>
    <mergeCell ref="S27:S28"/>
    <mergeCell ref="U27:U28"/>
    <mergeCell ref="V27:V28"/>
    <mergeCell ref="A25:B28"/>
    <mergeCell ref="C25:F26"/>
    <mergeCell ref="G25:J26"/>
    <mergeCell ref="K25:N26"/>
    <mergeCell ref="O25:R26"/>
    <mergeCell ref="S25:V26"/>
    <mergeCell ref="W25:Z26"/>
    <mergeCell ref="S5:S6"/>
    <mergeCell ref="U5:U6"/>
    <mergeCell ref="V5:V6"/>
    <mergeCell ref="W5:W6"/>
    <mergeCell ref="Y5:Y6"/>
    <mergeCell ref="Z5:Z6"/>
    <mergeCell ref="K5:K6"/>
    <mergeCell ref="M5:M6"/>
    <mergeCell ref="N5:N6"/>
    <mergeCell ref="O5:O6"/>
    <mergeCell ref="Q5:Q6"/>
    <mergeCell ref="R5:R6"/>
    <mergeCell ref="E4:E6"/>
    <mergeCell ref="F4:F6"/>
    <mergeCell ref="D5:D6"/>
    <mergeCell ref="G5:G6"/>
    <mergeCell ref="I5:I6"/>
    <mergeCell ref="J5:J6"/>
    <mergeCell ref="A1:AB1"/>
    <mergeCell ref="A3:B6"/>
    <mergeCell ref="C3:C6"/>
    <mergeCell ref="D3:D4"/>
    <mergeCell ref="G3:J4"/>
    <mergeCell ref="K3:N4"/>
    <mergeCell ref="O3:R4"/>
    <mergeCell ref="S3:V4"/>
    <mergeCell ref="W3:Z4"/>
    <mergeCell ref="AA3:AD4"/>
    <mergeCell ref="AA5:AA6"/>
    <mergeCell ref="AC5:AC6"/>
    <mergeCell ref="AD5:AD6"/>
  </mergeCells>
  <phoneticPr fontId="61" type="noConversion"/>
  <printOptions horizontalCentered="1"/>
  <pageMargins left="0.39370078740157483" right="0.39370078740157483" top="0.39370078740157483" bottom="0" header="0.31496062992125984" footer="0.31496062992125984"/>
  <pageSetup paperSize="9" scale="6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Y35"/>
  <sheetViews>
    <sheetView showGridLines="0" zoomScaleNormal="100" workbookViewId="0">
      <selection activeCell="B16" sqref="B16"/>
    </sheetView>
  </sheetViews>
  <sheetFormatPr defaultColWidth="9" defaultRowHeight="15" customHeight="1"/>
  <cols>
    <col min="1" max="1" width="5.875" style="1097" customWidth="1"/>
    <col min="2" max="2" width="4.5" style="1097" customWidth="1"/>
    <col min="3" max="3" width="9.625" style="1186" customWidth="1"/>
    <col min="4" max="4" width="8.125" style="1186" customWidth="1"/>
    <col min="5" max="5" width="9.625" style="1186" customWidth="1"/>
    <col min="6" max="6" width="8.125" style="1186" customWidth="1"/>
    <col min="7" max="7" width="9.625" style="1186" customWidth="1"/>
    <col min="8" max="8" width="8.125" style="1186" customWidth="1"/>
    <col min="9" max="9" width="9.625" style="1186" customWidth="1"/>
    <col min="10" max="10" width="8.125" style="1186" customWidth="1"/>
    <col min="11" max="11" width="9.625" style="1186" customWidth="1"/>
    <col min="12" max="12" width="8.125" style="1186" customWidth="1"/>
    <col min="13" max="13" width="9.625" style="1186" customWidth="1"/>
    <col min="14" max="14" width="8.125" style="1186" customWidth="1"/>
    <col min="15" max="15" width="9.625" style="1186" customWidth="1"/>
    <col min="16" max="16" width="8.125" style="1186" customWidth="1"/>
    <col min="17" max="17" width="9.625" style="1186" customWidth="1"/>
    <col min="18" max="18" width="8.125" style="1186" customWidth="1"/>
    <col min="19" max="19" width="9.625" style="1186" customWidth="1"/>
    <col min="20" max="20" width="8.125" style="1186" customWidth="1"/>
    <col min="21" max="21" width="9.625" style="1186" customWidth="1"/>
    <col min="22" max="22" width="8.125" style="1186" customWidth="1"/>
    <col min="23" max="23" width="9.625" style="1186" customWidth="1"/>
    <col min="24" max="24" width="8.125" style="1186" customWidth="1"/>
    <col min="25" max="16384" width="9" style="1097"/>
  </cols>
  <sheetData>
    <row r="1" spans="1:25" s="1173" customFormat="1" ht="24.75" customHeight="1">
      <c r="A1" s="3277" t="s">
        <v>1409</v>
      </c>
      <c r="B1" s="3277"/>
      <c r="C1" s="3277"/>
      <c r="D1" s="3277"/>
      <c r="E1" s="3277"/>
      <c r="F1" s="3277"/>
      <c r="G1" s="3277"/>
      <c r="H1" s="3277"/>
      <c r="I1" s="3277"/>
      <c r="J1" s="3277"/>
      <c r="K1" s="3277"/>
      <c r="L1" s="3277"/>
      <c r="M1" s="3277"/>
      <c r="N1" s="3277"/>
      <c r="O1" s="3277"/>
      <c r="P1" s="3277"/>
      <c r="Q1" s="3277"/>
      <c r="R1" s="3277"/>
      <c r="S1" s="3277"/>
      <c r="T1" s="3277"/>
      <c r="U1" s="3277"/>
      <c r="V1" s="3277"/>
      <c r="W1" s="3277"/>
      <c r="X1" s="3277"/>
    </row>
    <row r="2" spans="1:25" ht="15" customHeight="1">
      <c r="A2" s="3278"/>
      <c r="B2" s="3278"/>
      <c r="C2" s="3280" t="s">
        <v>1410</v>
      </c>
      <c r="D2" s="3281"/>
      <c r="E2" s="3282" t="s">
        <v>1411</v>
      </c>
      <c r="F2" s="3281"/>
      <c r="G2" s="3282" t="s">
        <v>1412</v>
      </c>
      <c r="H2" s="3281"/>
      <c r="I2" s="3282" t="s">
        <v>1413</v>
      </c>
      <c r="J2" s="3281"/>
      <c r="K2" s="3282" t="s">
        <v>1414</v>
      </c>
      <c r="L2" s="3281"/>
      <c r="M2" s="3282" t="s">
        <v>1415</v>
      </c>
      <c r="N2" s="3281"/>
      <c r="O2" s="3282" t="s">
        <v>1416</v>
      </c>
      <c r="P2" s="3281"/>
      <c r="Q2" s="3282" t="s">
        <v>1417</v>
      </c>
      <c r="R2" s="3281"/>
      <c r="S2" s="3282" t="s">
        <v>1418</v>
      </c>
      <c r="T2" s="3281"/>
      <c r="U2" s="3282" t="s">
        <v>1419</v>
      </c>
      <c r="V2" s="3281"/>
      <c r="W2" s="3282" t="s">
        <v>1420</v>
      </c>
      <c r="X2" s="3280"/>
    </row>
    <row r="3" spans="1:25" ht="15" customHeight="1">
      <c r="A3" s="3279"/>
      <c r="B3" s="3279"/>
      <c r="C3" s="1174" t="s">
        <v>1189</v>
      </c>
      <c r="D3" s="1174" t="s">
        <v>1245</v>
      </c>
      <c r="E3" s="1174" t="s">
        <v>1189</v>
      </c>
      <c r="F3" s="1174" t="s">
        <v>400</v>
      </c>
      <c r="G3" s="1174" t="s">
        <v>1189</v>
      </c>
      <c r="H3" s="1174" t="s">
        <v>1245</v>
      </c>
      <c r="I3" s="1174" t="s">
        <v>1189</v>
      </c>
      <c r="J3" s="1174" t="s">
        <v>934</v>
      </c>
      <c r="K3" s="1174" t="s">
        <v>1189</v>
      </c>
      <c r="L3" s="1174" t="s">
        <v>1421</v>
      </c>
      <c r="M3" s="1174" t="s">
        <v>1189</v>
      </c>
      <c r="N3" s="1174" t="s">
        <v>934</v>
      </c>
      <c r="O3" s="1174" t="s">
        <v>1189</v>
      </c>
      <c r="P3" s="1174" t="s">
        <v>1422</v>
      </c>
      <c r="Q3" s="1174" t="s">
        <v>1189</v>
      </c>
      <c r="R3" s="1174" t="s">
        <v>1245</v>
      </c>
      <c r="S3" s="1174" t="s">
        <v>1189</v>
      </c>
      <c r="T3" s="1174" t="s">
        <v>1422</v>
      </c>
      <c r="U3" s="1174" t="s">
        <v>1189</v>
      </c>
      <c r="V3" s="1174" t="s">
        <v>1245</v>
      </c>
      <c r="W3" s="1174" t="s">
        <v>1189</v>
      </c>
      <c r="X3" s="1175" t="s">
        <v>934</v>
      </c>
    </row>
    <row r="4" spans="1:25" ht="15" customHeight="1">
      <c r="A4" s="3275" t="s">
        <v>1423</v>
      </c>
      <c r="B4" s="1176" t="s">
        <v>1424</v>
      </c>
      <c r="C4" s="1109">
        <f t="shared" ref="C4:D33" si="0">SUM(E4,G4,I4,K4,M4,O4,Q4,S4,U4,W4)</f>
        <v>180081</v>
      </c>
      <c r="D4" s="62">
        <f t="shared" si="0"/>
        <v>99.999999999999986</v>
      </c>
      <c r="E4" s="1109">
        <v>297</v>
      </c>
      <c r="F4" s="1177">
        <f t="shared" ref="F4:F33" si="1">E4/C4*100</f>
        <v>0.16492578339747113</v>
      </c>
      <c r="G4" s="1109">
        <v>13017</v>
      </c>
      <c r="H4" s="1177">
        <f t="shared" ref="H4:H33" si="2">G4/C4*100</f>
        <v>7.2284138804204767</v>
      </c>
      <c r="I4" s="1109">
        <v>27858</v>
      </c>
      <c r="J4" s="1177">
        <f t="shared" ref="J4:J33" si="3">I4/C4*100</f>
        <v>15.469705299281991</v>
      </c>
      <c r="K4" s="1109">
        <v>57920</v>
      </c>
      <c r="L4" s="1177">
        <f t="shared" ref="L4:L33" si="4">K4/C4*100</f>
        <v>32.163304290846895</v>
      </c>
      <c r="M4" s="1109">
        <v>46524</v>
      </c>
      <c r="N4" s="1177">
        <f t="shared" ref="N4:N33" si="5">M4/C4*100</f>
        <v>25.835040898262452</v>
      </c>
      <c r="O4" s="1109">
        <v>25706</v>
      </c>
      <c r="P4" s="1177">
        <f t="shared" ref="P4:P33" si="6">O4/C4*100</f>
        <v>14.274687501735331</v>
      </c>
      <c r="Q4" s="1109">
        <v>6525</v>
      </c>
      <c r="R4" s="1177">
        <f t="shared" ref="R4:R33" si="7">Q4/C4*100</f>
        <v>3.6233694837323207</v>
      </c>
      <c r="S4" s="1109">
        <v>1590</v>
      </c>
      <c r="T4" s="1177">
        <f t="shared" ref="T4:T33" si="8">S4/C4*100</f>
        <v>0.88293601212787576</v>
      </c>
      <c r="U4" s="1178">
        <v>254</v>
      </c>
      <c r="V4" s="1177">
        <f t="shared" ref="V4:V33" si="9">U4/C4*100</f>
        <v>0.14104763967325815</v>
      </c>
      <c r="W4" s="1179">
        <v>390</v>
      </c>
      <c r="X4" s="1177">
        <f t="shared" ref="X4:X13" si="10">W4/C4*100</f>
        <v>0.21656921052193179</v>
      </c>
      <c r="Y4" s="1180"/>
    </row>
    <row r="5" spans="1:25" ht="15" customHeight="1">
      <c r="A5" s="3276"/>
      <c r="B5" s="1176" t="s">
        <v>1425</v>
      </c>
      <c r="C5" s="1109">
        <f t="shared" si="0"/>
        <v>153244</v>
      </c>
      <c r="D5" s="62">
        <f t="shared" si="0"/>
        <v>100.00000000000003</v>
      </c>
      <c r="E5" s="1109">
        <v>272</v>
      </c>
      <c r="F5" s="1177">
        <f t="shared" si="1"/>
        <v>0.17749471431181646</v>
      </c>
      <c r="G5" s="1109">
        <v>10678</v>
      </c>
      <c r="H5" s="1177">
        <f t="shared" si="2"/>
        <v>6.9679726449322645</v>
      </c>
      <c r="I5" s="1109">
        <v>23182</v>
      </c>
      <c r="J5" s="1177">
        <f t="shared" si="3"/>
        <v>15.127509070501944</v>
      </c>
      <c r="K5" s="1109">
        <v>49884</v>
      </c>
      <c r="L5" s="1177">
        <f t="shared" si="4"/>
        <v>32.552008561509751</v>
      </c>
      <c r="M5" s="1109">
        <v>40577</v>
      </c>
      <c r="N5" s="1177">
        <f t="shared" si="5"/>
        <v>26.478687583200649</v>
      </c>
      <c r="O5" s="1109">
        <v>21716</v>
      </c>
      <c r="P5" s="1177">
        <f t="shared" si="6"/>
        <v>14.170864764688993</v>
      </c>
      <c r="Q5" s="1109">
        <v>5407</v>
      </c>
      <c r="R5" s="1177">
        <f t="shared" si="7"/>
        <v>3.5283600010440868</v>
      </c>
      <c r="S5" s="1109">
        <v>1315</v>
      </c>
      <c r="T5" s="1177">
        <f t="shared" si="8"/>
        <v>0.85810863720602437</v>
      </c>
      <c r="U5" s="1109">
        <v>208</v>
      </c>
      <c r="V5" s="1177">
        <f t="shared" si="9"/>
        <v>0.13573125212080081</v>
      </c>
      <c r="W5" s="1179">
        <v>5</v>
      </c>
      <c r="X5" s="1177">
        <f t="shared" si="10"/>
        <v>3.2627704836730963E-3</v>
      </c>
      <c r="Y5" s="1180"/>
    </row>
    <row r="6" spans="1:25" ht="15" customHeight="1">
      <c r="A6" s="3276"/>
      <c r="B6" s="1176" t="s">
        <v>959</v>
      </c>
      <c r="C6" s="1109">
        <f t="shared" si="0"/>
        <v>26453</v>
      </c>
      <c r="D6" s="62">
        <f t="shared" si="0"/>
        <v>100</v>
      </c>
      <c r="E6" s="1109">
        <v>25</v>
      </c>
      <c r="F6" s="1177">
        <f t="shared" si="1"/>
        <v>9.4507239254526906E-2</v>
      </c>
      <c r="G6" s="1109">
        <v>2339</v>
      </c>
      <c r="H6" s="1177">
        <f t="shared" si="2"/>
        <v>8.8420973046535352</v>
      </c>
      <c r="I6" s="1109">
        <v>4676</v>
      </c>
      <c r="J6" s="1177">
        <f t="shared" si="3"/>
        <v>17.67663403016671</v>
      </c>
      <c r="K6" s="1109">
        <v>8036</v>
      </c>
      <c r="L6" s="1177">
        <f t="shared" si="4"/>
        <v>30.378406985975126</v>
      </c>
      <c r="M6" s="1109">
        <v>5947</v>
      </c>
      <c r="N6" s="1177">
        <f t="shared" si="5"/>
        <v>22.481382073866857</v>
      </c>
      <c r="O6" s="1109">
        <v>3990</v>
      </c>
      <c r="P6" s="1177">
        <f t="shared" si="6"/>
        <v>15.083355385022493</v>
      </c>
      <c r="Q6" s="1109">
        <v>1118</v>
      </c>
      <c r="R6" s="1177">
        <f t="shared" si="7"/>
        <v>4.2263637394624434</v>
      </c>
      <c r="S6" s="1109">
        <v>275</v>
      </c>
      <c r="T6" s="1177">
        <f t="shared" si="8"/>
        <v>1.0395796317997958</v>
      </c>
      <c r="U6" s="1178">
        <v>46</v>
      </c>
      <c r="V6" s="1177">
        <f t="shared" si="9"/>
        <v>0.17389332022832948</v>
      </c>
      <c r="W6" s="1179">
        <v>1</v>
      </c>
      <c r="X6" s="1177">
        <f t="shared" si="10"/>
        <v>3.7802895701810756E-3</v>
      </c>
      <c r="Y6" s="1180"/>
    </row>
    <row r="7" spans="1:25" ht="15" customHeight="1">
      <c r="A7" s="3275" t="s">
        <v>1426</v>
      </c>
      <c r="B7" s="1176" t="s">
        <v>1427</v>
      </c>
      <c r="C7" s="1109">
        <f t="shared" si="0"/>
        <v>175300</v>
      </c>
      <c r="D7" s="62">
        <f t="shared" si="0"/>
        <v>99.999999999999986</v>
      </c>
      <c r="E7" s="1109">
        <v>301</v>
      </c>
      <c r="F7" s="1177">
        <f t="shared" si="1"/>
        <v>0.17170564746149458</v>
      </c>
      <c r="G7" s="1109">
        <v>12980</v>
      </c>
      <c r="H7" s="1177">
        <f t="shared" si="2"/>
        <v>7.4044495151169425</v>
      </c>
      <c r="I7" s="1109">
        <v>24735</v>
      </c>
      <c r="J7" s="1177">
        <f t="shared" si="3"/>
        <v>14.110096976611523</v>
      </c>
      <c r="K7" s="1109">
        <v>56414</v>
      </c>
      <c r="L7" s="1177">
        <f t="shared" si="4"/>
        <v>32.181403308613802</v>
      </c>
      <c r="M7" s="1109">
        <v>45207</v>
      </c>
      <c r="N7" s="1177">
        <f t="shared" si="5"/>
        <v>25.788362806617226</v>
      </c>
      <c r="O7" s="1109">
        <v>26092</v>
      </c>
      <c r="P7" s="1177">
        <f t="shared" si="6"/>
        <v>14.884198516828295</v>
      </c>
      <c r="Q7" s="1109">
        <v>7171</v>
      </c>
      <c r="R7" s="1177">
        <f t="shared" si="7"/>
        <v>4.0907016543069021</v>
      </c>
      <c r="S7" s="1109">
        <v>1738</v>
      </c>
      <c r="T7" s="1177">
        <f t="shared" si="8"/>
        <v>0.99144324015972618</v>
      </c>
      <c r="U7" s="1178">
        <v>275</v>
      </c>
      <c r="V7" s="1177">
        <f t="shared" si="9"/>
        <v>0.15687393040501998</v>
      </c>
      <c r="W7" s="1179">
        <v>387</v>
      </c>
      <c r="X7" s="1177">
        <f t="shared" si="10"/>
        <v>0.22076440387906446</v>
      </c>
      <c r="Y7" s="1180"/>
    </row>
    <row r="8" spans="1:25" ht="15" customHeight="1">
      <c r="A8" s="3276"/>
      <c r="B8" s="1176" t="s">
        <v>1425</v>
      </c>
      <c r="C8" s="1109">
        <f t="shared" si="0"/>
        <v>148490</v>
      </c>
      <c r="D8" s="62">
        <f t="shared" si="0"/>
        <v>99.999999999999986</v>
      </c>
      <c r="E8" s="1109">
        <v>268</v>
      </c>
      <c r="F8" s="1177">
        <f t="shared" si="1"/>
        <v>0.18048353424473029</v>
      </c>
      <c r="G8" s="1109">
        <v>10768</v>
      </c>
      <c r="H8" s="1177">
        <f t="shared" si="2"/>
        <v>7.2516667789076701</v>
      </c>
      <c r="I8" s="1109">
        <v>20468</v>
      </c>
      <c r="J8" s="1177">
        <f t="shared" si="3"/>
        <v>13.784093204929626</v>
      </c>
      <c r="K8" s="1109">
        <v>48365</v>
      </c>
      <c r="L8" s="1177">
        <f t="shared" si="4"/>
        <v>32.571216916964104</v>
      </c>
      <c r="M8" s="1109">
        <v>39387</v>
      </c>
      <c r="N8" s="1177">
        <f t="shared" si="5"/>
        <v>26.525018519765641</v>
      </c>
      <c r="O8" s="1109">
        <v>21804</v>
      </c>
      <c r="P8" s="1177">
        <f t="shared" si="6"/>
        <v>14.683817092060073</v>
      </c>
      <c r="Q8" s="1109">
        <v>5799</v>
      </c>
      <c r="R8" s="1177">
        <f t="shared" si="7"/>
        <v>3.9053134891238468</v>
      </c>
      <c r="S8" s="1109">
        <v>1375</v>
      </c>
      <c r="T8" s="1177">
        <f t="shared" si="8"/>
        <v>0.92598828203919459</v>
      </c>
      <c r="U8" s="1109">
        <v>242</v>
      </c>
      <c r="V8" s="1177">
        <f t="shared" si="9"/>
        <v>0.16297393763889823</v>
      </c>
      <c r="W8" s="1179">
        <v>14</v>
      </c>
      <c r="X8" s="1177">
        <f t="shared" si="10"/>
        <v>9.4282443262172534E-3</v>
      </c>
      <c r="Y8" s="1180"/>
    </row>
    <row r="9" spans="1:25" ht="15" customHeight="1">
      <c r="A9" s="3276"/>
      <c r="B9" s="1176" t="s">
        <v>1428</v>
      </c>
      <c r="C9" s="1109">
        <f t="shared" si="0"/>
        <v>26439</v>
      </c>
      <c r="D9" s="62">
        <f t="shared" si="0"/>
        <v>99.999999999999986</v>
      </c>
      <c r="E9" s="1109">
        <v>33</v>
      </c>
      <c r="F9" s="1177">
        <f t="shared" si="1"/>
        <v>0.12481561329853626</v>
      </c>
      <c r="G9" s="1109">
        <v>2212</v>
      </c>
      <c r="H9" s="1177">
        <f t="shared" si="2"/>
        <v>8.3664283823140053</v>
      </c>
      <c r="I9" s="1109">
        <v>4267</v>
      </c>
      <c r="J9" s="1177">
        <f t="shared" si="3"/>
        <v>16.139037028631943</v>
      </c>
      <c r="K9" s="1109">
        <v>8049</v>
      </c>
      <c r="L9" s="1177">
        <f t="shared" si="4"/>
        <v>30.443662770906617</v>
      </c>
      <c r="M9" s="1109">
        <v>5820</v>
      </c>
      <c r="N9" s="1177">
        <f t="shared" si="5"/>
        <v>22.012935436287304</v>
      </c>
      <c r="O9" s="1109">
        <v>4288</v>
      </c>
      <c r="P9" s="1177">
        <f t="shared" si="6"/>
        <v>16.218465146185558</v>
      </c>
      <c r="Q9" s="1109">
        <v>1372</v>
      </c>
      <c r="R9" s="1177">
        <f t="shared" si="7"/>
        <v>5.1893036801694468</v>
      </c>
      <c r="S9" s="1109">
        <v>363</v>
      </c>
      <c r="T9" s="1177">
        <f t="shared" si="8"/>
        <v>1.3729717462838988</v>
      </c>
      <c r="U9" s="1178">
        <v>33</v>
      </c>
      <c r="V9" s="1177">
        <f t="shared" si="9"/>
        <v>0.12481561329853626</v>
      </c>
      <c r="W9" s="1179">
        <v>2</v>
      </c>
      <c r="X9" s="1177">
        <f t="shared" si="10"/>
        <v>7.5645826241537125E-3</v>
      </c>
      <c r="Y9" s="1180"/>
    </row>
    <row r="10" spans="1:25" ht="15" customHeight="1">
      <c r="A10" s="3275" t="s">
        <v>1429</v>
      </c>
      <c r="B10" s="1176" t="s">
        <v>1427</v>
      </c>
      <c r="C10" s="1109">
        <f t="shared" si="0"/>
        <v>173864</v>
      </c>
      <c r="D10" s="62">
        <f t="shared" si="0"/>
        <v>99.999999999999986</v>
      </c>
      <c r="E10" s="1109">
        <v>347</v>
      </c>
      <c r="F10" s="1177">
        <f t="shared" si="1"/>
        <v>0.19958128192150187</v>
      </c>
      <c r="G10" s="1109">
        <v>14276</v>
      </c>
      <c r="H10" s="1177">
        <f t="shared" si="2"/>
        <v>8.2110155063727976</v>
      </c>
      <c r="I10" s="1109">
        <v>22240</v>
      </c>
      <c r="J10" s="1177">
        <f t="shared" si="3"/>
        <v>12.791607233239773</v>
      </c>
      <c r="K10" s="1109">
        <v>54958</v>
      </c>
      <c r="L10" s="1177">
        <f t="shared" si="4"/>
        <v>31.609763953434864</v>
      </c>
      <c r="M10" s="1109">
        <v>44828</v>
      </c>
      <c r="N10" s="1177">
        <f t="shared" si="5"/>
        <v>25.783370910596787</v>
      </c>
      <c r="O10" s="1109">
        <v>27093</v>
      </c>
      <c r="P10" s="1177">
        <f t="shared" si="6"/>
        <v>15.582869369162102</v>
      </c>
      <c r="Q10" s="1109">
        <v>7700</v>
      </c>
      <c r="R10" s="1177">
        <f t="shared" si="7"/>
        <v>4.428748907191828</v>
      </c>
      <c r="S10" s="1109">
        <v>1721</v>
      </c>
      <c r="T10" s="1177">
        <f t="shared" si="8"/>
        <v>0.98985413886716056</v>
      </c>
      <c r="U10" s="1109">
        <v>306</v>
      </c>
      <c r="V10" s="1177">
        <f t="shared" si="9"/>
        <v>0.17599963189619475</v>
      </c>
      <c r="W10" s="1179">
        <v>395</v>
      </c>
      <c r="X10" s="1177">
        <f t="shared" si="10"/>
        <v>0.22718906731698341</v>
      </c>
      <c r="Y10" s="1180"/>
    </row>
    <row r="11" spans="1:25" ht="15" customHeight="1">
      <c r="A11" s="3276"/>
      <c r="B11" s="1176" t="s">
        <v>1425</v>
      </c>
      <c r="C11" s="1109">
        <f t="shared" si="0"/>
        <v>147682</v>
      </c>
      <c r="D11" s="62">
        <f t="shared" si="0"/>
        <v>100.00000000000001</v>
      </c>
      <c r="E11" s="1109">
        <v>310</v>
      </c>
      <c r="F11" s="1177">
        <f t="shared" si="1"/>
        <v>0.20991048333581616</v>
      </c>
      <c r="G11" s="1109">
        <v>11908</v>
      </c>
      <c r="H11" s="1177">
        <f t="shared" si="2"/>
        <v>8.0632710824609646</v>
      </c>
      <c r="I11" s="1109">
        <v>18432</v>
      </c>
      <c r="J11" s="1177">
        <f t="shared" si="3"/>
        <v>12.480871060792785</v>
      </c>
      <c r="K11" s="1109">
        <v>47173</v>
      </c>
      <c r="L11" s="1177">
        <f t="shared" si="4"/>
        <v>31.942281388388565</v>
      </c>
      <c r="M11" s="1109">
        <v>39035</v>
      </c>
      <c r="N11" s="1177">
        <f t="shared" si="5"/>
        <v>26.431792635527689</v>
      </c>
      <c r="O11" s="1109">
        <v>22918</v>
      </c>
      <c r="P11" s="1177">
        <f t="shared" si="6"/>
        <v>15.518478893839466</v>
      </c>
      <c r="Q11" s="1109">
        <v>6245</v>
      </c>
      <c r="R11" s="1177">
        <f t="shared" si="7"/>
        <v>4.2286805433295864</v>
      </c>
      <c r="S11" s="1109">
        <v>1378</v>
      </c>
      <c r="T11" s="1177">
        <f t="shared" si="8"/>
        <v>0.9330859549572732</v>
      </c>
      <c r="U11" s="1178">
        <v>271</v>
      </c>
      <c r="V11" s="1177">
        <f t="shared" si="9"/>
        <v>0.18350239027098766</v>
      </c>
      <c r="W11" s="1179">
        <v>12</v>
      </c>
      <c r="X11" s="1177">
        <f t="shared" si="10"/>
        <v>8.1255670968703019E-3</v>
      </c>
      <c r="Y11" s="1180"/>
    </row>
    <row r="12" spans="1:25" ht="15" customHeight="1">
      <c r="A12" s="3276"/>
      <c r="B12" s="1176" t="s">
        <v>1430</v>
      </c>
      <c r="C12" s="1109">
        <f t="shared" si="0"/>
        <v>25800</v>
      </c>
      <c r="D12" s="62">
        <f t="shared" si="0"/>
        <v>99.999999999999986</v>
      </c>
      <c r="E12" s="1109">
        <v>37</v>
      </c>
      <c r="F12" s="1177">
        <f t="shared" si="1"/>
        <v>0.1434108527131783</v>
      </c>
      <c r="G12" s="1109">
        <v>2368</v>
      </c>
      <c r="H12" s="1177">
        <f t="shared" si="2"/>
        <v>9.1782945736434112</v>
      </c>
      <c r="I12" s="1109">
        <v>3808</v>
      </c>
      <c r="J12" s="1177">
        <f t="shared" si="3"/>
        <v>14.75968992248062</v>
      </c>
      <c r="K12" s="1109">
        <v>7785</v>
      </c>
      <c r="L12" s="1177">
        <f t="shared" si="4"/>
        <v>30.174418604651166</v>
      </c>
      <c r="M12" s="1109">
        <v>5793</v>
      </c>
      <c r="N12" s="1177">
        <f t="shared" si="5"/>
        <v>22.453488372093023</v>
      </c>
      <c r="O12" s="1109">
        <v>4175</v>
      </c>
      <c r="P12" s="1177">
        <f t="shared" si="6"/>
        <v>16.18217054263566</v>
      </c>
      <c r="Q12" s="1109">
        <v>1455</v>
      </c>
      <c r="R12" s="1177">
        <f t="shared" si="7"/>
        <v>5.6395348837209296</v>
      </c>
      <c r="S12" s="1109">
        <v>343</v>
      </c>
      <c r="T12" s="1177">
        <f t="shared" si="8"/>
        <v>1.3294573643410852</v>
      </c>
      <c r="U12" s="1178">
        <v>35</v>
      </c>
      <c r="V12" s="1177">
        <f t="shared" si="9"/>
        <v>0.13565891472868216</v>
      </c>
      <c r="W12" s="1179">
        <v>1</v>
      </c>
      <c r="X12" s="1177">
        <f t="shared" si="10"/>
        <v>3.8759689922480624E-3</v>
      </c>
      <c r="Y12" s="1180"/>
    </row>
    <row r="13" spans="1:25" ht="15" customHeight="1">
      <c r="A13" s="3275" t="s">
        <v>1431</v>
      </c>
      <c r="B13" s="1176" t="s">
        <v>1432</v>
      </c>
      <c r="C13" s="1109">
        <f t="shared" si="0"/>
        <v>168595</v>
      </c>
      <c r="D13" s="62">
        <f t="shared" si="0"/>
        <v>100</v>
      </c>
      <c r="E13" s="1109">
        <v>304</v>
      </c>
      <c r="F13" s="1177">
        <f t="shared" si="1"/>
        <v>0.18031376968474747</v>
      </c>
      <c r="G13" s="1109">
        <v>14460</v>
      </c>
      <c r="H13" s="1177">
        <f t="shared" si="2"/>
        <v>8.5767668080310813</v>
      </c>
      <c r="I13" s="1109">
        <v>20248</v>
      </c>
      <c r="J13" s="1177">
        <f t="shared" si="3"/>
        <v>12.009846080844627</v>
      </c>
      <c r="K13" s="1109">
        <v>52901</v>
      </c>
      <c r="L13" s="1177">
        <f t="shared" si="4"/>
        <v>31.377561612147453</v>
      </c>
      <c r="M13" s="1109">
        <v>43353</v>
      </c>
      <c r="N13" s="1177">
        <f t="shared" si="5"/>
        <v>25.714285714285712</v>
      </c>
      <c r="O13" s="1109">
        <v>26871</v>
      </c>
      <c r="P13" s="1177">
        <f t="shared" si="6"/>
        <v>15.938195082890951</v>
      </c>
      <c r="Q13" s="1109">
        <v>8117</v>
      </c>
      <c r="R13" s="1177">
        <f t="shared" si="7"/>
        <v>4.8144962780628129</v>
      </c>
      <c r="S13" s="1109">
        <v>1741</v>
      </c>
      <c r="T13" s="1177">
        <f t="shared" si="8"/>
        <v>1.0326522138853464</v>
      </c>
      <c r="U13" s="1178">
        <v>270</v>
      </c>
      <c r="V13" s="1177">
        <f t="shared" si="9"/>
        <v>0.16014709807526914</v>
      </c>
      <c r="W13" s="1179">
        <v>330</v>
      </c>
      <c r="X13" s="1177">
        <f t="shared" si="10"/>
        <v>0.19573534209199561</v>
      </c>
      <c r="Y13" s="1180"/>
    </row>
    <row r="14" spans="1:25" ht="15" customHeight="1">
      <c r="A14" s="3276"/>
      <c r="B14" s="1176" t="s">
        <v>1425</v>
      </c>
      <c r="C14" s="1109">
        <f t="shared" si="0"/>
        <v>143595</v>
      </c>
      <c r="D14" s="62">
        <f t="shared" si="0"/>
        <v>100</v>
      </c>
      <c r="E14" s="1109">
        <v>282</v>
      </c>
      <c r="F14" s="1177">
        <f t="shared" si="1"/>
        <v>0.19638566802465265</v>
      </c>
      <c r="G14" s="1109">
        <v>12261</v>
      </c>
      <c r="H14" s="1177">
        <f t="shared" si="2"/>
        <v>8.5385981406037814</v>
      </c>
      <c r="I14" s="1109">
        <v>16946</v>
      </c>
      <c r="J14" s="1177">
        <f t="shared" si="3"/>
        <v>11.801246561509803</v>
      </c>
      <c r="K14" s="1109">
        <v>45313</v>
      </c>
      <c r="L14" s="1177">
        <f t="shared" si="4"/>
        <v>31.556112678018039</v>
      </c>
      <c r="M14" s="1109">
        <v>37825</v>
      </c>
      <c r="N14" s="1177">
        <f t="shared" si="5"/>
        <v>26.341446429193216</v>
      </c>
      <c r="O14" s="1109">
        <v>22732</v>
      </c>
      <c r="P14" s="1177">
        <f t="shared" si="6"/>
        <v>15.830634771405688</v>
      </c>
      <c r="Q14" s="1109">
        <v>6624</v>
      </c>
      <c r="R14" s="1177">
        <f t="shared" si="7"/>
        <v>4.6129739893450328</v>
      </c>
      <c r="S14" s="1109">
        <v>1386</v>
      </c>
      <c r="T14" s="1177">
        <f t="shared" si="8"/>
        <v>0.9652146662488249</v>
      </c>
      <c r="U14" s="1178">
        <v>226</v>
      </c>
      <c r="V14" s="1177">
        <f t="shared" si="9"/>
        <v>0.15738709565096279</v>
      </c>
      <c r="W14" s="1179" t="s">
        <v>1</v>
      </c>
      <c r="X14" s="1177" t="s">
        <v>1298</v>
      </c>
      <c r="Y14" s="1180"/>
    </row>
    <row r="15" spans="1:25" ht="15" customHeight="1">
      <c r="A15" s="3276"/>
      <c r="B15" s="1176" t="s">
        <v>1313</v>
      </c>
      <c r="C15" s="1109">
        <f t="shared" si="0"/>
        <v>24670</v>
      </c>
      <c r="D15" s="62">
        <f t="shared" si="0"/>
        <v>100</v>
      </c>
      <c r="E15" s="1109">
        <v>22</v>
      </c>
      <c r="F15" s="1177">
        <f t="shared" si="1"/>
        <v>8.9177138224564245E-2</v>
      </c>
      <c r="G15" s="1109">
        <v>2199</v>
      </c>
      <c r="H15" s="1177">
        <f t="shared" si="2"/>
        <v>8.9136603161734893</v>
      </c>
      <c r="I15" s="1109">
        <v>3302</v>
      </c>
      <c r="J15" s="1177">
        <f t="shared" si="3"/>
        <v>13.384677746250507</v>
      </c>
      <c r="K15" s="1109">
        <v>7588</v>
      </c>
      <c r="L15" s="1177">
        <f t="shared" si="4"/>
        <v>30.758005674908794</v>
      </c>
      <c r="M15" s="1109">
        <v>5528</v>
      </c>
      <c r="N15" s="1177">
        <f t="shared" si="5"/>
        <v>22.407782732063232</v>
      </c>
      <c r="O15" s="1109">
        <v>4139</v>
      </c>
      <c r="P15" s="1177">
        <f t="shared" si="6"/>
        <v>16.777462505066882</v>
      </c>
      <c r="Q15" s="1109">
        <v>1493</v>
      </c>
      <c r="R15" s="1177">
        <f t="shared" si="7"/>
        <v>6.0518848804215644</v>
      </c>
      <c r="S15" s="1109">
        <v>355</v>
      </c>
      <c r="T15" s="1177">
        <f t="shared" si="8"/>
        <v>1.4389947304418322</v>
      </c>
      <c r="U15" s="1178">
        <v>44</v>
      </c>
      <c r="V15" s="1177">
        <f t="shared" si="9"/>
        <v>0.17835427644912849</v>
      </c>
      <c r="W15" s="1179" t="s">
        <v>1</v>
      </c>
      <c r="X15" s="1177" t="s">
        <v>994</v>
      </c>
      <c r="Y15" s="1180"/>
    </row>
    <row r="16" spans="1:25" ht="15" customHeight="1">
      <c r="A16" s="3275" t="s">
        <v>1433</v>
      </c>
      <c r="B16" s="1176" t="s">
        <v>1434</v>
      </c>
      <c r="C16" s="1109">
        <f t="shared" si="0"/>
        <v>188557</v>
      </c>
      <c r="D16" s="62">
        <f t="shared" si="0"/>
        <v>99.999999999999986</v>
      </c>
      <c r="E16" s="1109">
        <v>379</v>
      </c>
      <c r="F16" s="1177">
        <f t="shared" si="1"/>
        <v>0.20100022804775214</v>
      </c>
      <c r="G16" s="1109">
        <v>14576</v>
      </c>
      <c r="H16" s="1177">
        <f t="shared" si="2"/>
        <v>7.7302884538892753</v>
      </c>
      <c r="I16" s="1109">
        <v>20211</v>
      </c>
      <c r="J16" s="1177">
        <f t="shared" si="3"/>
        <v>10.718774694124324</v>
      </c>
      <c r="K16" s="1109">
        <v>56328</v>
      </c>
      <c r="L16" s="1177">
        <f t="shared" si="4"/>
        <v>29.873194842938737</v>
      </c>
      <c r="M16" s="1109">
        <v>50231</v>
      </c>
      <c r="N16" s="1177">
        <f t="shared" si="5"/>
        <v>26.639689855057092</v>
      </c>
      <c r="O16" s="1109">
        <v>33387</v>
      </c>
      <c r="P16" s="1177">
        <f t="shared" si="6"/>
        <v>17.706582094539051</v>
      </c>
      <c r="Q16" s="1109">
        <v>10568</v>
      </c>
      <c r="R16" s="1177">
        <f t="shared" si="7"/>
        <v>5.6046712665135745</v>
      </c>
      <c r="S16" s="1109">
        <v>2189</v>
      </c>
      <c r="T16" s="1177">
        <f t="shared" si="8"/>
        <v>1.1609221614684153</v>
      </c>
      <c r="U16" s="1178">
        <v>337</v>
      </c>
      <c r="V16" s="1177">
        <f t="shared" si="9"/>
        <v>0.17872579644351577</v>
      </c>
      <c r="W16" s="1179">
        <v>351</v>
      </c>
      <c r="X16" s="1177">
        <f>W16/C16*100</f>
        <v>0.18615060697826122</v>
      </c>
      <c r="Y16" s="1181"/>
    </row>
    <row r="17" spans="1:25" ht="15" customHeight="1">
      <c r="A17" s="3276"/>
      <c r="B17" s="1176" t="s">
        <v>957</v>
      </c>
      <c r="C17" s="1109">
        <f t="shared" si="0"/>
        <v>162924</v>
      </c>
      <c r="D17" s="62">
        <f t="shared" si="0"/>
        <v>100.00000000000001</v>
      </c>
      <c r="E17" s="1109">
        <v>344</v>
      </c>
      <c r="F17" s="1177">
        <f t="shared" si="1"/>
        <v>0.21114139107804866</v>
      </c>
      <c r="G17" s="1109">
        <v>12500</v>
      </c>
      <c r="H17" s="1177">
        <f t="shared" si="2"/>
        <v>7.6722889199872331</v>
      </c>
      <c r="I17" s="1109">
        <v>16926</v>
      </c>
      <c r="J17" s="1177">
        <f t="shared" si="3"/>
        <v>10.388892980776312</v>
      </c>
      <c r="K17" s="1109">
        <v>48876</v>
      </c>
      <c r="L17" s="1177">
        <f t="shared" si="4"/>
        <v>29.999263460263681</v>
      </c>
      <c r="M17" s="1109">
        <v>44271</v>
      </c>
      <c r="N17" s="1177">
        <f t="shared" si="5"/>
        <v>27.172792222140384</v>
      </c>
      <c r="O17" s="1109">
        <v>29086</v>
      </c>
      <c r="P17" s="1177">
        <f t="shared" si="6"/>
        <v>17.852495642139893</v>
      </c>
      <c r="Q17" s="1109">
        <v>8803</v>
      </c>
      <c r="R17" s="1177">
        <f t="shared" si="7"/>
        <v>5.4031327490118093</v>
      </c>
      <c r="S17" s="1109">
        <v>1821</v>
      </c>
      <c r="T17" s="1177">
        <f t="shared" si="8"/>
        <v>1.1176990498637402</v>
      </c>
      <c r="U17" s="1178">
        <v>297</v>
      </c>
      <c r="V17" s="1177">
        <f t="shared" si="9"/>
        <v>0.18229358473889667</v>
      </c>
      <c r="W17" s="1179" t="s">
        <v>1</v>
      </c>
      <c r="X17" s="1177" t="s">
        <v>1435</v>
      </c>
      <c r="Y17" s="1181"/>
    </row>
    <row r="18" spans="1:25" ht="15" customHeight="1">
      <c r="A18" s="3276"/>
      <c r="B18" s="1176" t="s">
        <v>1430</v>
      </c>
      <c r="C18" s="1109">
        <f t="shared" si="0"/>
        <v>25282</v>
      </c>
      <c r="D18" s="62">
        <f t="shared" si="0"/>
        <v>100</v>
      </c>
      <c r="E18" s="1109">
        <v>35</v>
      </c>
      <c r="F18" s="1177">
        <f t="shared" si="1"/>
        <v>0.13843841468238272</v>
      </c>
      <c r="G18" s="1109">
        <v>2076</v>
      </c>
      <c r="H18" s="1177">
        <f t="shared" si="2"/>
        <v>8.2113756823036148</v>
      </c>
      <c r="I18" s="1109">
        <v>3285</v>
      </c>
      <c r="J18" s="1177">
        <f t="shared" si="3"/>
        <v>12.993434063760779</v>
      </c>
      <c r="K18" s="1109">
        <v>7452</v>
      </c>
      <c r="L18" s="1177">
        <f t="shared" si="4"/>
        <v>29.475516177517601</v>
      </c>
      <c r="M18" s="1109">
        <v>5960</v>
      </c>
      <c r="N18" s="1177">
        <f t="shared" si="5"/>
        <v>23.574084328771459</v>
      </c>
      <c r="O18" s="1109">
        <v>4301</v>
      </c>
      <c r="P18" s="1177">
        <f t="shared" si="6"/>
        <v>17.012103472826517</v>
      </c>
      <c r="Q18" s="1109">
        <v>1765</v>
      </c>
      <c r="R18" s="1177">
        <f t="shared" si="7"/>
        <v>6.9812514832687285</v>
      </c>
      <c r="S18" s="1109">
        <v>368</v>
      </c>
      <c r="T18" s="1177">
        <f t="shared" si="8"/>
        <v>1.4555810458033382</v>
      </c>
      <c r="U18" s="1178">
        <v>40</v>
      </c>
      <c r="V18" s="1177">
        <f t="shared" si="9"/>
        <v>0.15821533106558025</v>
      </c>
      <c r="W18" s="1179" t="s">
        <v>1</v>
      </c>
      <c r="X18" s="1177" t="s">
        <v>1298</v>
      </c>
      <c r="Y18" s="1181"/>
    </row>
    <row r="19" spans="1:25" ht="15" customHeight="1">
      <c r="A19" s="3275" t="s">
        <v>1436</v>
      </c>
      <c r="B19" s="1176" t="s">
        <v>1434</v>
      </c>
      <c r="C19" s="1109">
        <f t="shared" si="0"/>
        <v>185053</v>
      </c>
      <c r="D19" s="62">
        <f t="shared" si="0"/>
        <v>100</v>
      </c>
      <c r="E19" s="1109">
        <v>259</v>
      </c>
      <c r="F19" s="1177">
        <f t="shared" si="1"/>
        <v>0.13995990337903197</v>
      </c>
      <c r="G19" s="1109">
        <v>14615</v>
      </c>
      <c r="H19" s="1177">
        <f t="shared" si="2"/>
        <v>7.8977374049596607</v>
      </c>
      <c r="I19" s="1109">
        <v>19344</v>
      </c>
      <c r="J19" s="1177">
        <f t="shared" si="3"/>
        <v>10.453221509513492</v>
      </c>
      <c r="K19" s="1109">
        <v>54457</v>
      </c>
      <c r="L19" s="1177">
        <f t="shared" si="4"/>
        <v>29.427785553327968</v>
      </c>
      <c r="M19" s="1109">
        <v>48499</v>
      </c>
      <c r="N19" s="1177">
        <f t="shared" si="5"/>
        <v>26.208167389882895</v>
      </c>
      <c r="O19" s="1109">
        <v>32883</v>
      </c>
      <c r="P19" s="1177">
        <f t="shared" si="6"/>
        <v>17.769503871863737</v>
      </c>
      <c r="Q19" s="1109">
        <v>11819</v>
      </c>
      <c r="R19" s="1177">
        <f t="shared" si="7"/>
        <v>6.3868189113389136</v>
      </c>
      <c r="S19" s="1109">
        <v>2447</v>
      </c>
      <c r="T19" s="1177">
        <f t="shared" si="8"/>
        <v>1.3223238747818193</v>
      </c>
      <c r="U19" s="1178">
        <v>379</v>
      </c>
      <c r="V19" s="1177">
        <f t="shared" si="9"/>
        <v>0.20480619065889233</v>
      </c>
      <c r="W19" s="1179">
        <v>351</v>
      </c>
      <c r="X19" s="1177">
        <f>W19/C19*100</f>
        <v>0.18967539029359157</v>
      </c>
      <c r="Y19" s="1181"/>
    </row>
    <row r="20" spans="1:25" ht="15" customHeight="1">
      <c r="A20" s="3276"/>
      <c r="B20" s="1176" t="s">
        <v>1437</v>
      </c>
      <c r="C20" s="1109">
        <f t="shared" si="0"/>
        <v>159591</v>
      </c>
      <c r="D20" s="62">
        <f t="shared" si="0"/>
        <v>100.00000000000001</v>
      </c>
      <c r="E20" s="1109">
        <v>241</v>
      </c>
      <c r="F20" s="1177">
        <f t="shared" si="1"/>
        <v>0.15101102192479526</v>
      </c>
      <c r="G20" s="1109">
        <v>12651</v>
      </c>
      <c r="H20" s="1177">
        <f t="shared" si="2"/>
        <v>7.927138748425663</v>
      </c>
      <c r="I20" s="1109">
        <v>16217</v>
      </c>
      <c r="J20" s="1177">
        <f t="shared" si="3"/>
        <v>10.161600591512054</v>
      </c>
      <c r="K20" s="1109">
        <v>46833</v>
      </c>
      <c r="L20" s="1177">
        <f t="shared" si="4"/>
        <v>29.345639791717577</v>
      </c>
      <c r="M20" s="1109">
        <v>42976</v>
      </c>
      <c r="N20" s="1177">
        <f t="shared" si="5"/>
        <v>26.928836839170128</v>
      </c>
      <c r="O20" s="1109">
        <v>28619</v>
      </c>
      <c r="P20" s="1177">
        <f t="shared" si="6"/>
        <v>17.932715504007117</v>
      </c>
      <c r="Q20" s="1109">
        <v>9790</v>
      </c>
      <c r="R20" s="1177">
        <f t="shared" si="7"/>
        <v>6.1344311396006042</v>
      </c>
      <c r="S20" s="1109">
        <v>1945</v>
      </c>
      <c r="T20" s="1177">
        <f t="shared" si="8"/>
        <v>1.218740405160692</v>
      </c>
      <c r="U20" s="1178">
        <v>319</v>
      </c>
      <c r="V20" s="1177">
        <f t="shared" si="9"/>
        <v>0.199885958481368</v>
      </c>
      <c r="W20" s="1179" t="s">
        <v>1</v>
      </c>
      <c r="X20" s="1177" t="s">
        <v>1435</v>
      </c>
      <c r="Y20" s="1181"/>
    </row>
    <row r="21" spans="1:25" ht="15" customHeight="1">
      <c r="A21" s="3276"/>
      <c r="B21" s="1176" t="s">
        <v>1438</v>
      </c>
      <c r="C21" s="1109">
        <f t="shared" si="0"/>
        <v>25111</v>
      </c>
      <c r="D21" s="62">
        <f t="shared" si="0"/>
        <v>100</v>
      </c>
      <c r="E21" s="1109">
        <v>18</v>
      </c>
      <c r="F21" s="1177">
        <f t="shared" si="1"/>
        <v>7.1681733105013745E-2</v>
      </c>
      <c r="G21" s="1109">
        <v>1964</v>
      </c>
      <c r="H21" s="1177">
        <f t="shared" si="2"/>
        <v>7.8212735454581654</v>
      </c>
      <c r="I21" s="1109">
        <v>3127</v>
      </c>
      <c r="J21" s="1177">
        <f t="shared" si="3"/>
        <v>12.452709967743219</v>
      </c>
      <c r="K21" s="1109">
        <v>7624</v>
      </c>
      <c r="L21" s="1177">
        <f t="shared" si="4"/>
        <v>30.361196288479153</v>
      </c>
      <c r="M21" s="1109">
        <v>5523</v>
      </c>
      <c r="N21" s="1177">
        <f t="shared" si="5"/>
        <v>21.994345107721717</v>
      </c>
      <c r="O21" s="1109">
        <v>4264</v>
      </c>
      <c r="P21" s="1177">
        <f t="shared" si="6"/>
        <v>16.980606108876589</v>
      </c>
      <c r="Q21" s="1109">
        <v>2029</v>
      </c>
      <c r="R21" s="1177">
        <f t="shared" si="7"/>
        <v>8.0801242483373823</v>
      </c>
      <c r="S21" s="1109">
        <v>502</v>
      </c>
      <c r="T21" s="1177">
        <f t="shared" si="8"/>
        <v>1.9991238899287163</v>
      </c>
      <c r="U21" s="1178">
        <v>60</v>
      </c>
      <c r="V21" s="1177">
        <f t="shared" si="9"/>
        <v>0.23893911035004581</v>
      </c>
      <c r="W21" s="1179" t="s">
        <v>1</v>
      </c>
      <c r="X21" s="1177" t="s">
        <v>1435</v>
      </c>
      <c r="Y21" s="1181"/>
    </row>
    <row r="22" spans="1:25" ht="15" customHeight="1">
      <c r="A22" s="3275" t="s">
        <v>1439</v>
      </c>
      <c r="B22" s="1176" t="s">
        <v>1440</v>
      </c>
      <c r="C22" s="1109">
        <f t="shared" si="0"/>
        <v>181132</v>
      </c>
      <c r="D22" s="62">
        <f t="shared" si="0"/>
        <v>99.999999999999986</v>
      </c>
      <c r="E22" s="1109">
        <v>255</v>
      </c>
      <c r="F22" s="1177">
        <f t="shared" si="1"/>
        <v>0.14078130865887861</v>
      </c>
      <c r="G22" s="1109">
        <v>15095</v>
      </c>
      <c r="H22" s="1177">
        <f t="shared" si="2"/>
        <v>8.3337013890422451</v>
      </c>
      <c r="I22" s="1109">
        <v>19261</v>
      </c>
      <c r="J22" s="1177">
        <f t="shared" si="3"/>
        <v>10.633681514033965</v>
      </c>
      <c r="K22" s="1109">
        <v>53037</v>
      </c>
      <c r="L22" s="1177">
        <f t="shared" si="4"/>
        <v>29.280855950356642</v>
      </c>
      <c r="M22" s="1109">
        <v>46855</v>
      </c>
      <c r="N22" s="1177">
        <f t="shared" si="5"/>
        <v>25.867875361614733</v>
      </c>
      <c r="O22" s="1109">
        <v>31561</v>
      </c>
      <c r="P22" s="1177">
        <f t="shared" si="6"/>
        <v>17.424309343462227</v>
      </c>
      <c r="Q22" s="1109">
        <v>12001</v>
      </c>
      <c r="R22" s="1177">
        <f t="shared" si="7"/>
        <v>6.6255548439811847</v>
      </c>
      <c r="S22" s="1109">
        <v>2260</v>
      </c>
      <c r="T22" s="1177">
        <f t="shared" si="8"/>
        <v>1.2477088532120222</v>
      </c>
      <c r="U22" s="1178">
        <v>408</v>
      </c>
      <c r="V22" s="1177">
        <f t="shared" si="9"/>
        <v>0.22525009385420575</v>
      </c>
      <c r="W22" s="1179">
        <v>399</v>
      </c>
      <c r="X22" s="1177">
        <f>W22/C22*100</f>
        <v>0.22028134178389241</v>
      </c>
      <c r="Y22" s="1181"/>
    </row>
    <row r="23" spans="1:25" ht="15" customHeight="1">
      <c r="A23" s="3276"/>
      <c r="B23" s="1176" t="s">
        <v>1441</v>
      </c>
      <c r="C23" s="1109">
        <f t="shared" si="0"/>
        <v>156108</v>
      </c>
      <c r="D23" s="62">
        <f t="shared" si="0"/>
        <v>100.00000000000001</v>
      </c>
      <c r="E23" s="1109">
        <v>233</v>
      </c>
      <c r="F23" s="1177">
        <f t="shared" si="1"/>
        <v>0.14925564352883902</v>
      </c>
      <c r="G23" s="1109">
        <v>13174</v>
      </c>
      <c r="H23" s="1177">
        <f t="shared" si="2"/>
        <v>8.4390293899095496</v>
      </c>
      <c r="I23" s="1109">
        <v>16259</v>
      </c>
      <c r="J23" s="1177">
        <f t="shared" si="3"/>
        <v>10.415225356804264</v>
      </c>
      <c r="K23" s="1109">
        <v>45664</v>
      </c>
      <c r="L23" s="1177">
        <f t="shared" si="4"/>
        <v>29.251543803008172</v>
      </c>
      <c r="M23" s="1109">
        <v>41361</v>
      </c>
      <c r="N23" s="1177">
        <f t="shared" si="5"/>
        <v>26.495118763932663</v>
      </c>
      <c r="O23" s="1109">
        <v>27320</v>
      </c>
      <c r="P23" s="1177">
        <f t="shared" si="6"/>
        <v>17.500704640377172</v>
      </c>
      <c r="Q23" s="1109">
        <v>9931</v>
      </c>
      <c r="R23" s="1177">
        <f t="shared" si="7"/>
        <v>6.3616214415660952</v>
      </c>
      <c r="S23" s="1109">
        <v>1827</v>
      </c>
      <c r="T23" s="1177">
        <f t="shared" si="8"/>
        <v>1.1703436082711969</v>
      </c>
      <c r="U23" s="1178">
        <v>339</v>
      </c>
      <c r="V23" s="1177">
        <f t="shared" si="9"/>
        <v>0.21715735260204472</v>
      </c>
      <c r="W23" s="1179" t="s">
        <v>1</v>
      </c>
      <c r="X23" s="1177" t="s">
        <v>994</v>
      </c>
      <c r="Y23" s="1181"/>
    </row>
    <row r="24" spans="1:25" ht="15" customHeight="1">
      <c r="A24" s="3276"/>
      <c r="B24" s="1176" t="s">
        <v>959</v>
      </c>
      <c r="C24" s="1109">
        <f t="shared" si="0"/>
        <v>24625</v>
      </c>
      <c r="D24" s="62">
        <f t="shared" si="0"/>
        <v>100</v>
      </c>
      <c r="E24" s="1109">
        <v>22</v>
      </c>
      <c r="F24" s="1177">
        <f t="shared" si="1"/>
        <v>8.9340101522842635E-2</v>
      </c>
      <c r="G24" s="1109">
        <v>1921</v>
      </c>
      <c r="H24" s="1177">
        <f t="shared" si="2"/>
        <v>7.8010152284263956</v>
      </c>
      <c r="I24" s="1109">
        <v>3002</v>
      </c>
      <c r="J24" s="1177">
        <f t="shared" si="3"/>
        <v>12.190862944162436</v>
      </c>
      <c r="K24" s="1109">
        <v>7373</v>
      </c>
      <c r="L24" s="1177">
        <f t="shared" si="4"/>
        <v>29.941116751269035</v>
      </c>
      <c r="M24" s="1109">
        <v>5494</v>
      </c>
      <c r="N24" s="1177">
        <f t="shared" si="5"/>
        <v>22.310659898477159</v>
      </c>
      <c r="O24" s="1109">
        <v>4241</v>
      </c>
      <c r="P24" s="1177">
        <f t="shared" si="6"/>
        <v>17.222335025380712</v>
      </c>
      <c r="Q24" s="1109">
        <v>2070</v>
      </c>
      <c r="R24" s="1177">
        <f t="shared" si="7"/>
        <v>8.4060913705583751</v>
      </c>
      <c r="S24" s="1109">
        <v>433</v>
      </c>
      <c r="T24" s="1177">
        <f t="shared" si="8"/>
        <v>1.7583756345177666</v>
      </c>
      <c r="U24" s="1178">
        <v>69</v>
      </c>
      <c r="V24" s="1177">
        <f t="shared" si="9"/>
        <v>0.28020304568527915</v>
      </c>
      <c r="W24" s="1179" t="s">
        <v>1</v>
      </c>
      <c r="X24" s="1177" t="s">
        <v>994</v>
      </c>
      <c r="Y24" s="1181"/>
    </row>
    <row r="25" spans="1:25" ht="15" customHeight="1">
      <c r="A25" s="3275" t="s">
        <v>1442</v>
      </c>
      <c r="B25" s="1176" t="s">
        <v>1434</v>
      </c>
      <c r="C25" s="1109">
        <f t="shared" si="0"/>
        <v>192539</v>
      </c>
      <c r="D25" s="62">
        <f t="shared" si="0"/>
        <v>100.00000000000001</v>
      </c>
      <c r="E25" s="1109">
        <v>207</v>
      </c>
      <c r="F25" s="1177">
        <f t="shared" si="1"/>
        <v>0.10751068614670274</v>
      </c>
      <c r="G25" s="1109">
        <v>17620</v>
      </c>
      <c r="H25" s="1177">
        <f t="shared" si="2"/>
        <v>9.1513927048546009</v>
      </c>
      <c r="I25" s="1109">
        <v>22272</v>
      </c>
      <c r="J25" s="1177">
        <f t="shared" si="3"/>
        <v>11.567526579030742</v>
      </c>
      <c r="K25" s="1109">
        <v>53864</v>
      </c>
      <c r="L25" s="1177">
        <f t="shared" si="4"/>
        <v>27.97563091114008</v>
      </c>
      <c r="M25" s="1109">
        <v>50098</v>
      </c>
      <c r="N25" s="1177">
        <f t="shared" si="5"/>
        <v>26.019663548683642</v>
      </c>
      <c r="O25" s="1109">
        <v>32782</v>
      </c>
      <c r="P25" s="1177">
        <f t="shared" si="6"/>
        <v>17.026160933629029</v>
      </c>
      <c r="Q25" s="1109">
        <v>12736</v>
      </c>
      <c r="R25" s="1177">
        <f t="shared" si="7"/>
        <v>6.6147637621468895</v>
      </c>
      <c r="S25" s="1109">
        <v>2227</v>
      </c>
      <c r="T25" s="1177">
        <f t="shared" si="8"/>
        <v>1.1566487828439953</v>
      </c>
      <c r="U25" s="1178">
        <v>352</v>
      </c>
      <c r="V25" s="1177">
        <f t="shared" si="9"/>
        <v>0.18282010397893414</v>
      </c>
      <c r="W25" s="1179">
        <v>381</v>
      </c>
      <c r="X25" s="1177">
        <f>W25/C25*100</f>
        <v>0.19788198754538042</v>
      </c>
      <c r="Y25" s="1181"/>
    </row>
    <row r="26" spans="1:25" ht="15" customHeight="1">
      <c r="A26" s="3276"/>
      <c r="B26" s="1176" t="s">
        <v>1443</v>
      </c>
      <c r="C26" s="1109">
        <f t="shared" si="0"/>
        <v>165604</v>
      </c>
      <c r="D26" s="62">
        <f t="shared" si="0"/>
        <v>99.999999999999986</v>
      </c>
      <c r="E26" s="1109">
        <v>192</v>
      </c>
      <c r="F26" s="1177">
        <f t="shared" si="1"/>
        <v>0.11593922852105021</v>
      </c>
      <c r="G26" s="1109">
        <v>15446</v>
      </c>
      <c r="H26" s="1177">
        <f t="shared" si="2"/>
        <v>9.3270693944590715</v>
      </c>
      <c r="I26" s="1109">
        <v>18814</v>
      </c>
      <c r="J26" s="1177">
        <f t="shared" si="3"/>
        <v>11.360836694765828</v>
      </c>
      <c r="K26" s="1109">
        <v>45930</v>
      </c>
      <c r="L26" s="1177">
        <f t="shared" si="4"/>
        <v>27.734837322769984</v>
      </c>
      <c r="M26" s="1109">
        <v>44089</v>
      </c>
      <c r="N26" s="1177">
        <f t="shared" si="5"/>
        <v>26.623149199294705</v>
      </c>
      <c r="O26" s="1109">
        <v>28498</v>
      </c>
      <c r="P26" s="1177">
        <f t="shared" si="6"/>
        <v>17.208521533296299</v>
      </c>
      <c r="Q26" s="1109">
        <v>10594</v>
      </c>
      <c r="R26" s="1177">
        <f t="shared" si="7"/>
        <v>6.3971884737083649</v>
      </c>
      <c r="S26" s="1109">
        <v>1758</v>
      </c>
      <c r="T26" s="1177">
        <f t="shared" si="8"/>
        <v>1.0615685611458661</v>
      </c>
      <c r="U26" s="1178">
        <v>283</v>
      </c>
      <c r="V26" s="1177">
        <f t="shared" si="9"/>
        <v>0.17088959203883963</v>
      </c>
      <c r="W26" s="1179" t="s">
        <v>1</v>
      </c>
      <c r="X26" s="1177" t="s">
        <v>1298</v>
      </c>
      <c r="Y26" s="1181"/>
    </row>
    <row r="27" spans="1:25" ht="15" customHeight="1">
      <c r="A27" s="3276"/>
      <c r="B27" s="1176" t="s">
        <v>1430</v>
      </c>
      <c r="C27" s="1109">
        <f t="shared" si="0"/>
        <v>26554</v>
      </c>
      <c r="D27" s="62">
        <f t="shared" si="0"/>
        <v>99.999999999999986</v>
      </c>
      <c r="E27" s="1109">
        <v>15</v>
      </c>
      <c r="F27" s="1177">
        <f t="shared" si="1"/>
        <v>5.6488664607968669E-2</v>
      </c>
      <c r="G27" s="1109">
        <v>2174</v>
      </c>
      <c r="H27" s="1177">
        <f t="shared" si="2"/>
        <v>8.1870904571815917</v>
      </c>
      <c r="I27" s="1109">
        <v>3458</v>
      </c>
      <c r="J27" s="1177">
        <f t="shared" si="3"/>
        <v>13.022520147623709</v>
      </c>
      <c r="K27" s="1109">
        <v>7934</v>
      </c>
      <c r="L27" s="1177">
        <f t="shared" si="4"/>
        <v>29.878737666641559</v>
      </c>
      <c r="M27" s="1109">
        <v>6009</v>
      </c>
      <c r="N27" s="1177">
        <f t="shared" si="5"/>
        <v>22.629359041952249</v>
      </c>
      <c r="O27" s="1109">
        <v>4284</v>
      </c>
      <c r="P27" s="1177">
        <f t="shared" si="6"/>
        <v>16.13316261203585</v>
      </c>
      <c r="Q27" s="1109">
        <v>2142</v>
      </c>
      <c r="R27" s="1177">
        <f t="shared" si="7"/>
        <v>8.066581306017925</v>
      </c>
      <c r="S27" s="1109">
        <v>469</v>
      </c>
      <c r="T27" s="1177">
        <f t="shared" si="8"/>
        <v>1.7662122467424868</v>
      </c>
      <c r="U27" s="1178">
        <v>69</v>
      </c>
      <c r="V27" s="1177">
        <f t="shared" si="9"/>
        <v>0.25984785719665587</v>
      </c>
      <c r="W27" s="1179" t="s">
        <v>1</v>
      </c>
      <c r="X27" s="1177" t="s">
        <v>1435</v>
      </c>
      <c r="Y27" s="1181"/>
    </row>
    <row r="28" spans="1:25" ht="15" customHeight="1">
      <c r="A28" s="3275" t="s">
        <v>1444</v>
      </c>
      <c r="B28" s="1176" t="s">
        <v>1434</v>
      </c>
      <c r="C28" s="1109">
        <f t="shared" si="0"/>
        <v>192555</v>
      </c>
      <c r="D28" s="62">
        <f t="shared" si="0"/>
        <v>100.00000000000001</v>
      </c>
      <c r="E28" s="1109">
        <v>286</v>
      </c>
      <c r="F28" s="1177">
        <f t="shared" si="1"/>
        <v>0.14852899171665238</v>
      </c>
      <c r="G28" s="1109">
        <v>18158</v>
      </c>
      <c r="H28" s="1177">
        <f t="shared" si="2"/>
        <v>9.4300329775908196</v>
      </c>
      <c r="I28" s="1109">
        <v>23342</v>
      </c>
      <c r="J28" s="1177">
        <f t="shared" si="3"/>
        <v>12.122250785489861</v>
      </c>
      <c r="K28" s="1109">
        <v>51452</v>
      </c>
      <c r="L28" s="1177">
        <f t="shared" si="4"/>
        <v>26.720677209109084</v>
      </c>
      <c r="M28" s="1109">
        <v>51432</v>
      </c>
      <c r="N28" s="1177">
        <f t="shared" si="5"/>
        <v>26.710290566331697</v>
      </c>
      <c r="O28" s="1109">
        <v>32220</v>
      </c>
      <c r="P28" s="1177">
        <f t="shared" si="6"/>
        <v>16.732881514372515</v>
      </c>
      <c r="Q28" s="1109">
        <v>12767</v>
      </c>
      <c r="R28" s="1177">
        <f t="shared" si="7"/>
        <v>6.6303134169458069</v>
      </c>
      <c r="S28" s="1109">
        <v>2203</v>
      </c>
      <c r="T28" s="1177">
        <f t="shared" si="8"/>
        <v>1.1440887019293189</v>
      </c>
      <c r="U28" s="1178">
        <v>370</v>
      </c>
      <c r="V28" s="1177">
        <f t="shared" si="9"/>
        <v>0.19215289138168315</v>
      </c>
      <c r="W28" s="1179">
        <v>325</v>
      </c>
      <c r="X28" s="1177">
        <f>W28/C28*100</f>
        <v>0.16878294513255954</v>
      </c>
      <c r="Y28" s="1181"/>
    </row>
    <row r="29" spans="1:25" ht="15" customHeight="1">
      <c r="A29" s="3276"/>
      <c r="B29" s="1176" t="s">
        <v>1437</v>
      </c>
      <c r="C29" s="1109">
        <f t="shared" si="0"/>
        <v>165517</v>
      </c>
      <c r="D29" s="62">
        <f t="shared" si="0"/>
        <v>100</v>
      </c>
      <c r="E29" s="1109">
        <v>261</v>
      </c>
      <c r="F29" s="1177">
        <f t="shared" si="1"/>
        <v>0.15768772996127287</v>
      </c>
      <c r="G29" s="1109">
        <v>15773</v>
      </c>
      <c r="H29" s="1177">
        <f t="shared" si="2"/>
        <v>9.5295347305714824</v>
      </c>
      <c r="I29" s="1109">
        <v>19646</v>
      </c>
      <c r="J29" s="1177">
        <f t="shared" si="3"/>
        <v>11.869475642985313</v>
      </c>
      <c r="K29" s="1109">
        <v>43554</v>
      </c>
      <c r="L29" s="1177">
        <f t="shared" si="4"/>
        <v>26.313913374457005</v>
      </c>
      <c r="M29" s="1109">
        <v>45112</v>
      </c>
      <c r="N29" s="1177">
        <f t="shared" si="5"/>
        <v>27.255206413842686</v>
      </c>
      <c r="O29" s="1109">
        <v>28316</v>
      </c>
      <c r="P29" s="1177">
        <f t="shared" si="6"/>
        <v>17.107608281928744</v>
      </c>
      <c r="Q29" s="1109">
        <v>10773</v>
      </c>
      <c r="R29" s="1177">
        <f t="shared" si="7"/>
        <v>6.5086969918497797</v>
      </c>
      <c r="S29" s="1109">
        <v>1775</v>
      </c>
      <c r="T29" s="1177">
        <f t="shared" si="8"/>
        <v>1.0723973972462042</v>
      </c>
      <c r="U29" s="1178">
        <v>307</v>
      </c>
      <c r="V29" s="1177">
        <f t="shared" si="9"/>
        <v>0.18547943715751253</v>
      </c>
      <c r="W29" s="1179" t="s">
        <v>1</v>
      </c>
      <c r="X29" s="1177" t="s">
        <v>994</v>
      </c>
      <c r="Y29" s="1181"/>
    </row>
    <row r="30" spans="1:25" ht="15" customHeight="1">
      <c r="A30" s="3276"/>
      <c r="B30" s="1176" t="s">
        <v>1428</v>
      </c>
      <c r="C30" s="1109">
        <f t="shared" si="0"/>
        <v>26713</v>
      </c>
      <c r="D30" s="62">
        <f t="shared" si="0"/>
        <v>100.00000000000003</v>
      </c>
      <c r="E30" s="1109">
        <v>25</v>
      </c>
      <c r="F30" s="1177">
        <f t="shared" si="1"/>
        <v>9.3587391906562345E-2</v>
      </c>
      <c r="G30" s="1109">
        <v>2385</v>
      </c>
      <c r="H30" s="1177">
        <f t="shared" si="2"/>
        <v>8.9282371878860491</v>
      </c>
      <c r="I30" s="1109">
        <v>3696</v>
      </c>
      <c r="J30" s="1177">
        <f t="shared" si="3"/>
        <v>13.835960019466178</v>
      </c>
      <c r="K30" s="1109">
        <v>7898</v>
      </c>
      <c r="L30" s="1177">
        <f t="shared" si="4"/>
        <v>29.566128851121178</v>
      </c>
      <c r="M30" s="1109">
        <v>6320</v>
      </c>
      <c r="N30" s="1177">
        <f t="shared" si="5"/>
        <v>23.658892673978961</v>
      </c>
      <c r="O30" s="1109">
        <v>3904</v>
      </c>
      <c r="P30" s="1177">
        <f t="shared" si="6"/>
        <v>14.614607120128776</v>
      </c>
      <c r="Q30" s="1109">
        <v>1994</v>
      </c>
      <c r="R30" s="1177">
        <f t="shared" si="7"/>
        <v>7.4645303784674129</v>
      </c>
      <c r="S30" s="1109">
        <v>428</v>
      </c>
      <c r="T30" s="1177">
        <f t="shared" si="8"/>
        <v>1.6022161494403473</v>
      </c>
      <c r="U30" s="1178">
        <v>63</v>
      </c>
      <c r="V30" s="1177">
        <f t="shared" si="9"/>
        <v>0.23584022760453713</v>
      </c>
      <c r="W30" s="1179" t="s">
        <v>1</v>
      </c>
      <c r="X30" s="1177" t="s">
        <v>1435</v>
      </c>
      <c r="Y30" s="1181"/>
    </row>
    <row r="31" spans="1:25" ht="15" customHeight="1">
      <c r="A31" s="3275" t="s">
        <v>1445</v>
      </c>
      <c r="B31" s="1176" t="s">
        <v>1440</v>
      </c>
      <c r="C31" s="1109">
        <f t="shared" si="0"/>
        <v>183159</v>
      </c>
      <c r="D31" s="62">
        <f t="shared" si="0"/>
        <v>99.999999999999986</v>
      </c>
      <c r="E31" s="1109">
        <v>459</v>
      </c>
      <c r="F31" s="1177">
        <f t="shared" si="1"/>
        <v>0.25060193602279984</v>
      </c>
      <c r="G31" s="1109">
        <v>17240</v>
      </c>
      <c r="H31" s="1177">
        <f t="shared" si="2"/>
        <v>9.4125868780676907</v>
      </c>
      <c r="I31" s="1109">
        <v>22271</v>
      </c>
      <c r="J31" s="1177">
        <f t="shared" si="3"/>
        <v>12.159380647415635</v>
      </c>
      <c r="K31" s="1109">
        <v>46856</v>
      </c>
      <c r="L31" s="1177">
        <f t="shared" si="4"/>
        <v>25.582144475564945</v>
      </c>
      <c r="M31" s="1109">
        <v>49156</v>
      </c>
      <c r="N31" s="1177">
        <f t="shared" si="5"/>
        <v>26.837884024263069</v>
      </c>
      <c r="O31" s="1109">
        <v>31047</v>
      </c>
      <c r="P31" s="1177">
        <f t="shared" si="6"/>
        <v>16.950845986274221</v>
      </c>
      <c r="Q31" s="1109">
        <v>12972</v>
      </c>
      <c r="R31" s="1177">
        <f t="shared" si="7"/>
        <v>7.0823710546574281</v>
      </c>
      <c r="S31" s="1109">
        <v>2436</v>
      </c>
      <c r="T31" s="1177">
        <f t="shared" si="8"/>
        <v>1.3299919741863626</v>
      </c>
      <c r="U31" s="1178">
        <v>392</v>
      </c>
      <c r="V31" s="1177">
        <f t="shared" si="9"/>
        <v>0.21402169699550663</v>
      </c>
      <c r="W31" s="1179">
        <v>330</v>
      </c>
      <c r="X31" s="1177">
        <f>W31/C31*100</f>
        <v>0.18017132655233978</v>
      </c>
      <c r="Y31" s="1181"/>
    </row>
    <row r="32" spans="1:25" ht="15" customHeight="1">
      <c r="A32" s="3276"/>
      <c r="B32" s="1176" t="s">
        <v>957</v>
      </c>
      <c r="C32" s="1109">
        <f t="shared" si="0"/>
        <v>156310</v>
      </c>
      <c r="D32" s="62">
        <f t="shared" si="0"/>
        <v>100.00000000000001</v>
      </c>
      <c r="E32" s="1109">
        <v>416</v>
      </c>
      <c r="F32" s="1177">
        <f t="shared" si="1"/>
        <v>0.2661378030836159</v>
      </c>
      <c r="G32" s="1109">
        <v>14831</v>
      </c>
      <c r="H32" s="1177">
        <f t="shared" si="2"/>
        <v>9.4881965325315072</v>
      </c>
      <c r="I32" s="1109">
        <v>18849</v>
      </c>
      <c r="J32" s="1177">
        <f t="shared" si="3"/>
        <v>12.058729447892009</v>
      </c>
      <c r="K32" s="1109">
        <v>39512</v>
      </c>
      <c r="L32" s="1177">
        <f t="shared" si="4"/>
        <v>25.277973258268826</v>
      </c>
      <c r="M32" s="1109">
        <v>42941</v>
      </c>
      <c r="N32" s="1177">
        <f t="shared" si="5"/>
        <v>27.47169087070565</v>
      </c>
      <c r="O32" s="1109">
        <v>26841</v>
      </c>
      <c r="P32" s="1177">
        <f t="shared" si="6"/>
        <v>17.171646087902246</v>
      </c>
      <c r="Q32" s="1109">
        <v>10714</v>
      </c>
      <c r="R32" s="1177">
        <f t="shared" si="7"/>
        <v>6.8543279380717799</v>
      </c>
      <c r="S32" s="1109">
        <v>1878</v>
      </c>
      <c r="T32" s="1177">
        <f t="shared" si="8"/>
        <v>1.2014586398822853</v>
      </c>
      <c r="U32" s="1178">
        <v>328</v>
      </c>
      <c r="V32" s="1177">
        <f t="shared" si="9"/>
        <v>0.20983942166208175</v>
      </c>
      <c r="W32" s="1179" t="s">
        <v>1</v>
      </c>
      <c r="X32" s="1177" t="s">
        <v>994</v>
      </c>
      <c r="Y32" s="1181"/>
    </row>
    <row r="33" spans="1:25" ht="15" customHeight="1">
      <c r="A33" s="3283"/>
      <c r="B33" s="1182" t="s">
        <v>1428</v>
      </c>
      <c r="C33" s="1119">
        <f t="shared" si="0"/>
        <v>26519</v>
      </c>
      <c r="D33" s="65">
        <f t="shared" si="0"/>
        <v>99.999999999999986</v>
      </c>
      <c r="E33" s="1119">
        <v>43</v>
      </c>
      <c r="F33" s="1183">
        <f t="shared" si="1"/>
        <v>0.16214789396281912</v>
      </c>
      <c r="G33" s="1119">
        <v>2409</v>
      </c>
      <c r="H33" s="1183">
        <f t="shared" si="2"/>
        <v>9.0840529431728196</v>
      </c>
      <c r="I33" s="1119">
        <v>3422</v>
      </c>
      <c r="J33" s="1183">
        <f t="shared" si="3"/>
        <v>12.903955654436441</v>
      </c>
      <c r="K33" s="1119">
        <v>7344</v>
      </c>
      <c r="L33" s="1183">
        <f t="shared" si="4"/>
        <v>27.693351936347526</v>
      </c>
      <c r="M33" s="1119">
        <v>6215</v>
      </c>
      <c r="N33" s="1183">
        <f t="shared" si="5"/>
        <v>23.436026999509785</v>
      </c>
      <c r="O33" s="1119">
        <v>4206</v>
      </c>
      <c r="P33" s="1183">
        <f t="shared" si="6"/>
        <v>15.860326558316679</v>
      </c>
      <c r="Q33" s="1119">
        <v>2258</v>
      </c>
      <c r="R33" s="1183">
        <f t="shared" si="7"/>
        <v>8.514649873675479</v>
      </c>
      <c r="S33" s="1119">
        <v>558</v>
      </c>
      <c r="T33" s="1183">
        <f t="shared" si="8"/>
        <v>2.1041517402616989</v>
      </c>
      <c r="U33" s="1184">
        <v>64</v>
      </c>
      <c r="V33" s="1183">
        <f t="shared" si="9"/>
        <v>0.24133640031675402</v>
      </c>
      <c r="W33" s="1185" t="s">
        <v>1</v>
      </c>
      <c r="X33" s="1183" t="s">
        <v>994</v>
      </c>
      <c r="Y33" s="1181"/>
    </row>
    <row r="34" spans="1:25" ht="15" customHeight="1">
      <c r="A34" s="1130" t="s">
        <v>997</v>
      </c>
      <c r="B34" s="1130"/>
    </row>
    <row r="35" spans="1:25" ht="15" customHeight="1">
      <c r="A35" s="1187" t="s">
        <v>1446</v>
      </c>
    </row>
  </sheetData>
  <mergeCells count="23">
    <mergeCell ref="A31:A33"/>
    <mergeCell ref="A13:A15"/>
    <mergeCell ref="A16:A18"/>
    <mergeCell ref="A19:A21"/>
    <mergeCell ref="A22:A24"/>
    <mergeCell ref="A25:A27"/>
    <mergeCell ref="A28:A30"/>
    <mergeCell ref="A10:A12"/>
    <mergeCell ref="A1:X1"/>
    <mergeCell ref="A2:B3"/>
    <mergeCell ref="C2:D2"/>
    <mergeCell ref="E2:F2"/>
    <mergeCell ref="G2:H2"/>
    <mergeCell ref="I2:J2"/>
    <mergeCell ref="K2:L2"/>
    <mergeCell ref="M2:N2"/>
    <mergeCell ref="O2:P2"/>
    <mergeCell ref="Q2:R2"/>
    <mergeCell ref="S2:T2"/>
    <mergeCell ref="U2:V2"/>
    <mergeCell ref="W2:X2"/>
    <mergeCell ref="A4:A6"/>
    <mergeCell ref="A7:A9"/>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46"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X35"/>
  <sheetViews>
    <sheetView showGridLines="0" workbookViewId="0">
      <selection activeCell="B16" sqref="B16"/>
    </sheetView>
  </sheetViews>
  <sheetFormatPr defaultColWidth="9" defaultRowHeight="14.1" customHeight="1"/>
  <cols>
    <col min="1" max="1" width="5.875" style="1097" customWidth="1"/>
    <col min="2" max="2" width="5.25" style="1097" customWidth="1"/>
    <col min="3" max="3" width="8.625" style="1097" customWidth="1"/>
    <col min="4" max="4" width="8.125" style="1097" customWidth="1"/>
    <col min="5" max="5" width="8.625" style="1097" customWidth="1"/>
    <col min="6" max="6" width="8.125" style="1097" customWidth="1"/>
    <col min="7" max="7" width="8.625" style="1097" customWidth="1"/>
    <col min="8" max="8" width="8.125" style="1097" customWidth="1"/>
    <col min="9" max="9" width="8.625" style="1097" customWidth="1"/>
    <col min="10" max="10" width="8.125" style="1097" customWidth="1"/>
    <col min="11" max="11" width="8.625" style="1097" customWidth="1"/>
    <col min="12" max="12" width="8.125" style="1097" customWidth="1"/>
    <col min="13" max="13" width="8.625" style="1097" customWidth="1"/>
    <col min="14" max="14" width="8.125" style="1097" customWidth="1"/>
    <col min="15" max="15" width="8.625" style="1097" customWidth="1"/>
    <col min="16" max="16" width="8.125" style="1097" customWidth="1"/>
    <col min="17" max="16384" width="9" style="1097"/>
  </cols>
  <sheetData>
    <row r="1" spans="1:24" s="1173" customFormat="1" ht="20.25">
      <c r="A1" s="3277" t="s">
        <v>1447</v>
      </c>
      <c r="B1" s="3277"/>
      <c r="C1" s="3277"/>
      <c r="D1" s="3277"/>
      <c r="E1" s="3277"/>
      <c r="F1" s="3277"/>
      <c r="G1" s="3277"/>
      <c r="H1" s="3277"/>
      <c r="I1" s="3277"/>
      <c r="J1" s="3277"/>
      <c r="K1" s="3277"/>
      <c r="L1" s="3277"/>
      <c r="M1" s="3277"/>
      <c r="N1" s="3277"/>
      <c r="O1" s="3277"/>
      <c r="P1" s="3277"/>
      <c r="Q1" s="1188"/>
      <c r="R1" s="1188"/>
      <c r="S1" s="1188"/>
      <c r="T1" s="1188"/>
      <c r="U1" s="1188"/>
      <c r="V1" s="1188"/>
      <c r="W1" s="1188"/>
      <c r="X1" s="1188"/>
    </row>
    <row r="2" spans="1:24" ht="16.5">
      <c r="A2" s="3278"/>
      <c r="B2" s="3278"/>
      <c r="C2" s="1189" t="s">
        <v>1448</v>
      </c>
      <c r="D2" s="1189"/>
      <c r="E2" s="1190" t="s">
        <v>1449</v>
      </c>
      <c r="F2" s="1189"/>
      <c r="G2" s="1190" t="s">
        <v>1450</v>
      </c>
      <c r="H2" s="1189"/>
      <c r="I2" s="1190" t="s">
        <v>1451</v>
      </c>
      <c r="J2" s="1189"/>
      <c r="K2" s="1190" t="s">
        <v>1452</v>
      </c>
      <c r="L2" s="1189"/>
      <c r="M2" s="1190" t="s">
        <v>1453</v>
      </c>
      <c r="N2" s="1189"/>
      <c r="O2" s="1189" t="s">
        <v>1454</v>
      </c>
      <c r="P2" s="1191"/>
    </row>
    <row r="3" spans="1:24" ht="14.1" customHeight="1">
      <c r="A3" s="3279"/>
      <c r="B3" s="3279"/>
      <c r="C3" s="1174" t="s">
        <v>1189</v>
      </c>
      <c r="D3" s="1174" t="s">
        <v>1245</v>
      </c>
      <c r="E3" s="1174" t="s">
        <v>1189</v>
      </c>
      <c r="F3" s="1174" t="s">
        <v>1078</v>
      </c>
      <c r="G3" s="1174" t="s">
        <v>1189</v>
      </c>
      <c r="H3" s="1174" t="s">
        <v>1421</v>
      </c>
      <c r="I3" s="1174" t="s">
        <v>1189</v>
      </c>
      <c r="J3" s="1174" t="s">
        <v>1455</v>
      </c>
      <c r="K3" s="1174" t="s">
        <v>1189</v>
      </c>
      <c r="L3" s="1174" t="s">
        <v>1456</v>
      </c>
      <c r="M3" s="1174" t="s">
        <v>1189</v>
      </c>
      <c r="N3" s="1174" t="s">
        <v>1078</v>
      </c>
      <c r="O3" s="1174" t="s">
        <v>1189</v>
      </c>
      <c r="P3" s="1175" t="s">
        <v>1456</v>
      </c>
    </row>
    <row r="4" spans="1:24" ht="14.1" customHeight="1">
      <c r="A4" s="3285" t="s">
        <v>1457</v>
      </c>
      <c r="B4" s="1176" t="s">
        <v>1458</v>
      </c>
      <c r="C4" s="1109">
        <f t="shared" ref="C4:D33" si="0">SUM(E4,G4,I4,K4,M4,O4)</f>
        <v>180081</v>
      </c>
      <c r="D4" s="1192">
        <f t="shared" si="0"/>
        <v>100</v>
      </c>
      <c r="E4" s="1109">
        <f>SUM(E5,E6)</f>
        <v>1304</v>
      </c>
      <c r="F4" s="1193">
        <f t="shared" ref="F4:F33" si="1">E4/C4*100</f>
        <v>0.72411859107845922</v>
      </c>
      <c r="G4" s="1109">
        <f>SUM(G5,G6)</f>
        <v>19701</v>
      </c>
      <c r="H4" s="1193">
        <f t="shared" ref="H4:H33" si="2">G4/C4*100</f>
        <v>10.940076965365586</v>
      </c>
      <c r="I4" s="1109">
        <f>SUM(I5,I6)</f>
        <v>55799</v>
      </c>
      <c r="J4" s="1193">
        <f t="shared" ref="J4:J33" si="3">I4/C4*100</f>
        <v>30.985500969008388</v>
      </c>
      <c r="K4" s="1109">
        <f>SUM(K5,K6)</f>
        <v>59411</v>
      </c>
      <c r="L4" s="1193">
        <f t="shared" ref="L4:L33" si="4">K4/C4*100</f>
        <v>32.991265041842283</v>
      </c>
      <c r="M4" s="1109">
        <f>SUM(M5,M6)</f>
        <v>16249</v>
      </c>
      <c r="N4" s="1193">
        <f t="shared" ref="N4:N33" si="5">M4/C4*100</f>
        <v>9.0231617994124864</v>
      </c>
      <c r="O4" s="1109">
        <v>27617</v>
      </c>
      <c r="P4" s="1194">
        <f t="shared" ref="P4:P33" si="6">O4/C4*100</f>
        <v>15.335876633292797</v>
      </c>
    </row>
    <row r="5" spans="1:24" ht="14.1" customHeight="1">
      <c r="A5" s="3275"/>
      <c r="B5" s="1176" t="s">
        <v>1459</v>
      </c>
      <c r="C5" s="1109">
        <f t="shared" si="0"/>
        <v>153244</v>
      </c>
      <c r="D5" s="1192">
        <f t="shared" si="0"/>
        <v>100</v>
      </c>
      <c r="E5" s="1109">
        <v>737</v>
      </c>
      <c r="F5" s="1193">
        <f t="shared" si="1"/>
        <v>0.48093236929341437</v>
      </c>
      <c r="G5" s="1109">
        <v>16363</v>
      </c>
      <c r="H5" s="1193">
        <f t="shared" si="2"/>
        <v>10.677742684868576</v>
      </c>
      <c r="I5" s="1109">
        <v>49818</v>
      </c>
      <c r="J5" s="1193">
        <f t="shared" si="3"/>
        <v>32.50893999112526</v>
      </c>
      <c r="K5" s="1109">
        <v>50718</v>
      </c>
      <c r="L5" s="1193">
        <f t="shared" si="4"/>
        <v>33.096238678186424</v>
      </c>
      <c r="M5" s="1109">
        <v>13665</v>
      </c>
      <c r="N5" s="1193">
        <f t="shared" si="5"/>
        <v>8.9171517318785725</v>
      </c>
      <c r="O5" s="1109">
        <v>21943</v>
      </c>
      <c r="P5" s="1194">
        <f t="shared" si="6"/>
        <v>14.318994544647751</v>
      </c>
    </row>
    <row r="6" spans="1:24" ht="14.1" customHeight="1">
      <c r="A6" s="3275"/>
      <c r="B6" s="1176" t="s">
        <v>1313</v>
      </c>
      <c r="C6" s="1109">
        <f t="shared" si="0"/>
        <v>26453</v>
      </c>
      <c r="D6" s="1192">
        <f t="shared" si="0"/>
        <v>99.999999999999986</v>
      </c>
      <c r="E6" s="1109">
        <v>567</v>
      </c>
      <c r="F6" s="1193">
        <f t="shared" si="1"/>
        <v>2.1434241862926697</v>
      </c>
      <c r="G6" s="1109">
        <v>3338</v>
      </c>
      <c r="H6" s="1193">
        <f t="shared" si="2"/>
        <v>12.61860658526443</v>
      </c>
      <c r="I6" s="1109">
        <v>5981</v>
      </c>
      <c r="J6" s="1193">
        <f t="shared" si="3"/>
        <v>22.609911919253015</v>
      </c>
      <c r="K6" s="1109">
        <v>8693</v>
      </c>
      <c r="L6" s="1193">
        <f t="shared" si="4"/>
        <v>32.862057233584089</v>
      </c>
      <c r="M6" s="1109">
        <v>2584</v>
      </c>
      <c r="N6" s="1193">
        <f t="shared" si="5"/>
        <v>9.7682682493478996</v>
      </c>
      <c r="O6" s="1109">
        <v>5290</v>
      </c>
      <c r="P6" s="1194">
        <f t="shared" si="6"/>
        <v>19.99773182625789</v>
      </c>
    </row>
    <row r="7" spans="1:24" ht="14.1" customHeight="1">
      <c r="A7" s="3275" t="s">
        <v>1460</v>
      </c>
      <c r="B7" s="1176" t="s">
        <v>1461</v>
      </c>
      <c r="C7" s="1109">
        <f t="shared" si="0"/>
        <v>175300</v>
      </c>
      <c r="D7" s="1192">
        <f t="shared" si="0"/>
        <v>100.00000000000001</v>
      </c>
      <c r="E7" s="1109">
        <f>SUM(E8,E9)</f>
        <v>1276</v>
      </c>
      <c r="F7" s="1193">
        <f t="shared" si="1"/>
        <v>0.7278950370792926</v>
      </c>
      <c r="G7" s="1109">
        <f>SUM(G8,G9)</f>
        <v>18532</v>
      </c>
      <c r="H7" s="1193">
        <f t="shared" si="2"/>
        <v>10.571591557330292</v>
      </c>
      <c r="I7" s="1109">
        <f>SUM(I8,I9)</f>
        <v>53329</v>
      </c>
      <c r="J7" s="1193">
        <f t="shared" si="3"/>
        <v>30.42156303479749</v>
      </c>
      <c r="K7" s="1109">
        <f>SUM(K8,K9)</f>
        <v>58751</v>
      </c>
      <c r="L7" s="1193">
        <f t="shared" si="4"/>
        <v>33.514546491728467</v>
      </c>
      <c r="M7" s="1109">
        <f>SUM(M8,M9)</f>
        <v>15499</v>
      </c>
      <c r="N7" s="1193">
        <f t="shared" si="5"/>
        <v>8.8414147176269253</v>
      </c>
      <c r="O7" s="1109">
        <v>27913</v>
      </c>
      <c r="P7" s="1194">
        <f t="shared" si="6"/>
        <v>15.922989161437537</v>
      </c>
    </row>
    <row r="8" spans="1:24" ht="14.1" customHeight="1">
      <c r="A8" s="3275"/>
      <c r="B8" s="1176" t="s">
        <v>1312</v>
      </c>
      <c r="C8" s="1109">
        <f t="shared" si="0"/>
        <v>148490</v>
      </c>
      <c r="D8" s="1192">
        <f t="shared" si="0"/>
        <v>100</v>
      </c>
      <c r="E8" s="1109">
        <v>755</v>
      </c>
      <c r="F8" s="1193">
        <f t="shared" si="1"/>
        <v>0.5084517475924305</v>
      </c>
      <c r="G8" s="1109">
        <v>15131</v>
      </c>
      <c r="H8" s="1193">
        <f t="shared" si="2"/>
        <v>10.189911778570949</v>
      </c>
      <c r="I8" s="1109">
        <v>47516</v>
      </c>
      <c r="J8" s="1193">
        <f t="shared" si="3"/>
        <v>31.999461243181358</v>
      </c>
      <c r="K8" s="1109">
        <v>50048</v>
      </c>
      <c r="L8" s="1193">
        <f t="shared" si="4"/>
        <v>33.704626574180082</v>
      </c>
      <c r="M8" s="1109">
        <v>12798</v>
      </c>
      <c r="N8" s="1193">
        <f t="shared" si="5"/>
        <v>8.6187622062091727</v>
      </c>
      <c r="O8" s="1109">
        <v>22242</v>
      </c>
      <c r="P8" s="1194">
        <f t="shared" si="6"/>
        <v>14.978786450266011</v>
      </c>
    </row>
    <row r="9" spans="1:24" ht="14.1" customHeight="1">
      <c r="A9" s="3275"/>
      <c r="B9" s="1176" t="s">
        <v>1313</v>
      </c>
      <c r="C9" s="1109">
        <f t="shared" si="0"/>
        <v>26439</v>
      </c>
      <c r="D9" s="1192">
        <f t="shared" si="0"/>
        <v>100</v>
      </c>
      <c r="E9" s="1109">
        <v>521</v>
      </c>
      <c r="F9" s="1193">
        <f t="shared" si="1"/>
        <v>1.9705737735920419</v>
      </c>
      <c r="G9" s="1109">
        <v>3401</v>
      </c>
      <c r="H9" s="1193">
        <f t="shared" si="2"/>
        <v>12.863572752373386</v>
      </c>
      <c r="I9" s="1109">
        <v>5813</v>
      </c>
      <c r="J9" s="1193">
        <f t="shared" si="3"/>
        <v>21.986459397102763</v>
      </c>
      <c r="K9" s="1109">
        <v>8703</v>
      </c>
      <c r="L9" s="1193">
        <f t="shared" si="4"/>
        <v>32.917281289004876</v>
      </c>
      <c r="M9" s="1109">
        <v>2701</v>
      </c>
      <c r="N9" s="1193">
        <f t="shared" si="5"/>
        <v>10.215968833919588</v>
      </c>
      <c r="O9" s="1109">
        <v>5300</v>
      </c>
      <c r="P9" s="1194">
        <f t="shared" si="6"/>
        <v>20.046143954007338</v>
      </c>
    </row>
    <row r="10" spans="1:24" ht="14.1" customHeight="1">
      <c r="A10" s="3275" t="s">
        <v>1462</v>
      </c>
      <c r="B10" s="1176" t="s">
        <v>1427</v>
      </c>
      <c r="C10" s="1109">
        <f t="shared" si="0"/>
        <v>173864</v>
      </c>
      <c r="D10" s="1192">
        <f t="shared" si="0"/>
        <v>100</v>
      </c>
      <c r="E10" s="1109">
        <f>SUM(E11,E12)</f>
        <v>1153</v>
      </c>
      <c r="F10" s="1193">
        <f t="shared" si="1"/>
        <v>0.66316201168729583</v>
      </c>
      <c r="G10" s="1109">
        <f>SUM(G11,G12)</f>
        <v>17340</v>
      </c>
      <c r="H10" s="1193">
        <f t="shared" si="2"/>
        <v>9.9733124741177015</v>
      </c>
      <c r="I10" s="1109">
        <f>SUM(I11,I12)</f>
        <v>51389</v>
      </c>
      <c r="J10" s="1193">
        <f t="shared" si="3"/>
        <v>29.557010076841667</v>
      </c>
      <c r="K10" s="1109">
        <f>SUM(K11,K12)</f>
        <v>59076</v>
      </c>
      <c r="L10" s="1193">
        <f t="shared" si="4"/>
        <v>33.978281875488889</v>
      </c>
      <c r="M10" s="1109">
        <f>SUM(M11,M12)</f>
        <v>16111</v>
      </c>
      <c r="N10" s="1193">
        <f t="shared" si="5"/>
        <v>9.2664381355542265</v>
      </c>
      <c r="O10" s="1109">
        <v>28795</v>
      </c>
      <c r="P10" s="1194">
        <f t="shared" si="6"/>
        <v>16.561795426310219</v>
      </c>
    </row>
    <row r="11" spans="1:24" ht="14.1" customHeight="1">
      <c r="A11" s="3275"/>
      <c r="B11" s="1176" t="s">
        <v>1463</v>
      </c>
      <c r="C11" s="1109">
        <f t="shared" si="0"/>
        <v>147682</v>
      </c>
      <c r="D11" s="1192">
        <f t="shared" si="0"/>
        <v>100</v>
      </c>
      <c r="E11" s="1109">
        <v>668</v>
      </c>
      <c r="F11" s="1193">
        <f t="shared" si="1"/>
        <v>0.45232323505911354</v>
      </c>
      <c r="G11" s="1109">
        <v>14165</v>
      </c>
      <c r="H11" s="1193">
        <f t="shared" si="2"/>
        <v>9.5915548272639857</v>
      </c>
      <c r="I11" s="1109">
        <v>45948</v>
      </c>
      <c r="J11" s="1193">
        <f t="shared" si="3"/>
        <v>31.112796413916389</v>
      </c>
      <c r="K11" s="1109">
        <v>50278</v>
      </c>
      <c r="L11" s="1193">
        <f t="shared" si="4"/>
        <v>34.044771874703756</v>
      </c>
      <c r="M11" s="1109">
        <v>13329</v>
      </c>
      <c r="N11" s="1193">
        <f t="shared" si="5"/>
        <v>9.0254736528486887</v>
      </c>
      <c r="O11" s="1109">
        <v>23294</v>
      </c>
      <c r="P11" s="1194">
        <f t="shared" si="6"/>
        <v>15.77307999620807</v>
      </c>
    </row>
    <row r="12" spans="1:24" ht="14.1" customHeight="1">
      <c r="A12" s="3275"/>
      <c r="B12" s="1176" t="s">
        <v>1438</v>
      </c>
      <c r="C12" s="1109">
        <f t="shared" si="0"/>
        <v>25800</v>
      </c>
      <c r="D12" s="1192">
        <f t="shared" si="0"/>
        <v>100</v>
      </c>
      <c r="E12" s="1109">
        <v>485</v>
      </c>
      <c r="F12" s="1193">
        <f t="shared" si="1"/>
        <v>1.8798449612403103</v>
      </c>
      <c r="G12" s="1109">
        <v>3175</v>
      </c>
      <c r="H12" s="1193">
        <f t="shared" si="2"/>
        <v>12.306201550387597</v>
      </c>
      <c r="I12" s="1109">
        <v>5441</v>
      </c>
      <c r="J12" s="1193">
        <f t="shared" si="3"/>
        <v>21.089147286821706</v>
      </c>
      <c r="K12" s="1109">
        <v>8798</v>
      </c>
      <c r="L12" s="1193">
        <f t="shared" si="4"/>
        <v>34.100775193798448</v>
      </c>
      <c r="M12" s="1109">
        <v>2782</v>
      </c>
      <c r="N12" s="1193">
        <f t="shared" si="5"/>
        <v>10.782945736434108</v>
      </c>
      <c r="O12" s="1109">
        <v>5119</v>
      </c>
      <c r="P12" s="1194">
        <f t="shared" si="6"/>
        <v>19.84108527131783</v>
      </c>
    </row>
    <row r="13" spans="1:24" ht="14.1" customHeight="1">
      <c r="A13" s="3275" t="s">
        <v>1464</v>
      </c>
      <c r="B13" s="1176" t="s">
        <v>1461</v>
      </c>
      <c r="C13" s="1109">
        <f t="shared" si="0"/>
        <v>168595</v>
      </c>
      <c r="D13" s="1192">
        <f t="shared" si="0"/>
        <v>100</v>
      </c>
      <c r="E13" s="1109">
        <f>SUM(E14,E15)</f>
        <v>1033</v>
      </c>
      <c r="F13" s="1193">
        <f t="shared" si="1"/>
        <v>0.6127109344879742</v>
      </c>
      <c r="G13" s="1109">
        <f>SUM(G14,G15)</f>
        <v>16635</v>
      </c>
      <c r="H13" s="1193">
        <f t="shared" si="2"/>
        <v>9.866840653637416</v>
      </c>
      <c r="I13" s="1109">
        <f>SUM(I14,I15)</f>
        <v>51064</v>
      </c>
      <c r="J13" s="1193">
        <f t="shared" si="3"/>
        <v>30.287968207835348</v>
      </c>
      <c r="K13" s="1109">
        <f>SUM(K14,K15)</f>
        <v>58194</v>
      </c>
      <c r="L13" s="1193">
        <f t="shared" si="4"/>
        <v>34.517037871823007</v>
      </c>
      <c r="M13" s="1109">
        <f>SUM(M14,M15)</f>
        <v>16511</v>
      </c>
      <c r="N13" s="1193">
        <f t="shared" si="5"/>
        <v>9.7932916160028469</v>
      </c>
      <c r="O13" s="1109">
        <v>25158</v>
      </c>
      <c r="P13" s="1194">
        <f t="shared" si="6"/>
        <v>14.922150716213412</v>
      </c>
    </row>
    <row r="14" spans="1:24" ht="14.1" customHeight="1">
      <c r="A14" s="3275"/>
      <c r="B14" s="1176" t="s">
        <v>1459</v>
      </c>
      <c r="C14" s="1109">
        <f t="shared" si="0"/>
        <v>143595</v>
      </c>
      <c r="D14" s="1192">
        <f t="shared" si="0"/>
        <v>100</v>
      </c>
      <c r="E14" s="1109">
        <v>577</v>
      </c>
      <c r="F14" s="1193">
        <f t="shared" si="1"/>
        <v>0.40182457606462624</v>
      </c>
      <c r="G14" s="1109">
        <v>13700</v>
      </c>
      <c r="H14" s="1193">
        <f t="shared" si="2"/>
        <v>9.5407221699919909</v>
      </c>
      <c r="I14" s="1109">
        <v>45684</v>
      </c>
      <c r="J14" s="1193">
        <f t="shared" si="3"/>
        <v>31.814478219993731</v>
      </c>
      <c r="K14" s="1109">
        <v>49824</v>
      </c>
      <c r="L14" s="1193">
        <f t="shared" si="4"/>
        <v>34.697586963334373</v>
      </c>
      <c r="M14" s="1109">
        <v>13668</v>
      </c>
      <c r="N14" s="1193">
        <f t="shared" si="5"/>
        <v>9.5184372714927399</v>
      </c>
      <c r="O14" s="1109">
        <v>20142</v>
      </c>
      <c r="P14" s="1194">
        <f t="shared" si="6"/>
        <v>14.026950799122531</v>
      </c>
    </row>
    <row r="15" spans="1:24" ht="14.1" customHeight="1">
      <c r="A15" s="3275"/>
      <c r="B15" s="1176" t="s">
        <v>1428</v>
      </c>
      <c r="C15" s="1109">
        <f t="shared" si="0"/>
        <v>24670</v>
      </c>
      <c r="D15" s="1192">
        <f t="shared" si="0"/>
        <v>100</v>
      </c>
      <c r="E15" s="1109">
        <v>456</v>
      </c>
      <c r="F15" s="1193">
        <f t="shared" si="1"/>
        <v>1.8483988650182408</v>
      </c>
      <c r="G15" s="1109">
        <v>2935</v>
      </c>
      <c r="H15" s="1193">
        <f t="shared" si="2"/>
        <v>11.897040940413458</v>
      </c>
      <c r="I15" s="1109">
        <v>5380</v>
      </c>
      <c r="J15" s="1193">
        <f t="shared" si="3"/>
        <v>21.807863802188894</v>
      </c>
      <c r="K15" s="1109">
        <v>8370</v>
      </c>
      <c r="L15" s="1193">
        <f t="shared" si="4"/>
        <v>33.927847588163765</v>
      </c>
      <c r="M15" s="1109">
        <v>2843</v>
      </c>
      <c r="N15" s="1193">
        <f t="shared" si="5"/>
        <v>11.524118362383462</v>
      </c>
      <c r="O15" s="1109">
        <v>4686</v>
      </c>
      <c r="P15" s="1194">
        <f t="shared" si="6"/>
        <v>18.994730441832186</v>
      </c>
    </row>
    <row r="16" spans="1:24" ht="14.1" customHeight="1">
      <c r="A16" s="3275" t="s">
        <v>1465</v>
      </c>
      <c r="B16" s="1176" t="s">
        <v>1461</v>
      </c>
      <c r="C16" s="1109">
        <f t="shared" si="0"/>
        <v>188557</v>
      </c>
      <c r="D16" s="1192">
        <f t="shared" si="0"/>
        <v>100</v>
      </c>
      <c r="E16" s="1109">
        <f>SUM(E17,E18)</f>
        <v>1077</v>
      </c>
      <c r="F16" s="1193">
        <f t="shared" si="1"/>
        <v>0.57118006756577588</v>
      </c>
      <c r="G16" s="1109">
        <f>SUM(G17,G18)</f>
        <v>18918</v>
      </c>
      <c r="H16" s="1193">
        <f t="shared" si="2"/>
        <v>10.033040406879618</v>
      </c>
      <c r="I16" s="1109">
        <f>SUM(I17,I18)</f>
        <v>57997</v>
      </c>
      <c r="J16" s="1193">
        <f t="shared" si="3"/>
        <v>30.758338327402324</v>
      </c>
      <c r="K16" s="1109">
        <f>SUM(K17,K18)</f>
        <v>66694</v>
      </c>
      <c r="L16" s="1193">
        <f t="shared" si="4"/>
        <v>35.370736700308129</v>
      </c>
      <c r="M16" s="1109">
        <f>SUM(M17,M18)</f>
        <v>19621</v>
      </c>
      <c r="N16" s="1193">
        <f t="shared" si="5"/>
        <v>10.405871964445765</v>
      </c>
      <c r="O16" s="1109">
        <v>24250</v>
      </c>
      <c r="P16" s="1194">
        <f t="shared" si="6"/>
        <v>12.860832533398389</v>
      </c>
    </row>
    <row r="17" spans="1:16" ht="14.1" customHeight="1">
      <c r="A17" s="3275"/>
      <c r="B17" s="1176" t="s">
        <v>1459</v>
      </c>
      <c r="C17" s="1109">
        <f t="shared" si="0"/>
        <v>162924</v>
      </c>
      <c r="D17" s="1192">
        <f t="shared" si="0"/>
        <v>100</v>
      </c>
      <c r="E17" s="1109">
        <v>648</v>
      </c>
      <c r="F17" s="1193">
        <f t="shared" si="1"/>
        <v>0.39773145761213813</v>
      </c>
      <c r="G17" s="1109">
        <v>15948</v>
      </c>
      <c r="H17" s="1193">
        <f t="shared" si="2"/>
        <v>9.7886130956765118</v>
      </c>
      <c r="I17" s="1109">
        <v>52309</v>
      </c>
      <c r="J17" s="1193">
        <f t="shared" si="3"/>
        <v>32.106380889248975</v>
      </c>
      <c r="K17" s="1109">
        <v>57821</v>
      </c>
      <c r="L17" s="1193">
        <f t="shared" si="4"/>
        <v>35.489553411406547</v>
      </c>
      <c r="M17" s="1109">
        <v>16404</v>
      </c>
      <c r="N17" s="1193">
        <f t="shared" si="5"/>
        <v>10.068498195477646</v>
      </c>
      <c r="O17" s="1109">
        <v>19794</v>
      </c>
      <c r="P17" s="1194">
        <f t="shared" si="6"/>
        <v>12.149222950578183</v>
      </c>
    </row>
    <row r="18" spans="1:16" ht="14.1" customHeight="1">
      <c r="A18" s="3275"/>
      <c r="B18" s="1176" t="s">
        <v>1466</v>
      </c>
      <c r="C18" s="1109">
        <f t="shared" si="0"/>
        <v>25282</v>
      </c>
      <c r="D18" s="1192">
        <f t="shared" si="0"/>
        <v>99.999999999999986</v>
      </c>
      <c r="E18" s="1109">
        <v>429</v>
      </c>
      <c r="F18" s="1193">
        <f t="shared" si="1"/>
        <v>1.6968594256783482</v>
      </c>
      <c r="G18" s="1109">
        <v>2970</v>
      </c>
      <c r="H18" s="1193">
        <f t="shared" si="2"/>
        <v>11.747488331619333</v>
      </c>
      <c r="I18" s="1109">
        <v>5688</v>
      </c>
      <c r="J18" s="1193">
        <f t="shared" si="3"/>
        <v>22.498220077525513</v>
      </c>
      <c r="K18" s="1109">
        <v>8873</v>
      </c>
      <c r="L18" s="1193">
        <f t="shared" si="4"/>
        <v>35.09611581362234</v>
      </c>
      <c r="M18" s="1109">
        <v>3217</v>
      </c>
      <c r="N18" s="1193">
        <f t="shared" si="5"/>
        <v>12.724468000949294</v>
      </c>
      <c r="O18" s="1109">
        <v>4105</v>
      </c>
      <c r="P18" s="1194">
        <f t="shared" si="6"/>
        <v>16.236848350605175</v>
      </c>
    </row>
    <row r="19" spans="1:16" ht="14.1" customHeight="1">
      <c r="A19" s="3275" t="s">
        <v>1467</v>
      </c>
      <c r="B19" s="1176" t="s">
        <v>1440</v>
      </c>
      <c r="C19" s="1109">
        <f t="shared" si="0"/>
        <v>185053</v>
      </c>
      <c r="D19" s="1192">
        <f t="shared" si="0"/>
        <v>100</v>
      </c>
      <c r="E19" s="1109">
        <f>SUM(E20,E21)</f>
        <v>1157</v>
      </c>
      <c r="F19" s="1193">
        <f t="shared" si="1"/>
        <v>0.62522628652332035</v>
      </c>
      <c r="G19" s="1109">
        <f>SUM(G20,G21)</f>
        <v>18436</v>
      </c>
      <c r="H19" s="1193">
        <f t="shared" si="2"/>
        <v>9.9625512690958811</v>
      </c>
      <c r="I19" s="1109">
        <f>SUM(I20,I21)</f>
        <v>57959</v>
      </c>
      <c r="J19" s="1193">
        <f t="shared" si="3"/>
        <v>31.320216370445227</v>
      </c>
      <c r="K19" s="1109">
        <f>SUM(K20,K21)</f>
        <v>68791</v>
      </c>
      <c r="L19" s="1193">
        <f t="shared" si="4"/>
        <v>37.173674568907281</v>
      </c>
      <c r="M19" s="1109">
        <f>SUM(M20,M21)</f>
        <v>21023</v>
      </c>
      <c r="N19" s="1193">
        <f t="shared" si="5"/>
        <v>11.360529145704204</v>
      </c>
      <c r="O19" s="1109">
        <v>17687</v>
      </c>
      <c r="P19" s="1194">
        <f t="shared" si="6"/>
        <v>9.5578023593240857</v>
      </c>
    </row>
    <row r="20" spans="1:16" ht="14.1" customHeight="1">
      <c r="A20" s="3275"/>
      <c r="B20" s="1176" t="s">
        <v>1312</v>
      </c>
      <c r="C20" s="1109">
        <f t="shared" si="0"/>
        <v>159591</v>
      </c>
      <c r="D20" s="1192">
        <f t="shared" si="0"/>
        <v>100</v>
      </c>
      <c r="E20" s="1109">
        <v>635</v>
      </c>
      <c r="F20" s="1193">
        <f t="shared" si="1"/>
        <v>0.3978921117105601</v>
      </c>
      <c r="G20" s="1109">
        <v>15310</v>
      </c>
      <c r="H20" s="1193">
        <f t="shared" si="2"/>
        <v>9.5932728036042132</v>
      </c>
      <c r="I20" s="1109">
        <v>52477</v>
      </c>
      <c r="J20" s="1193">
        <f t="shared" si="3"/>
        <v>32.882180072811124</v>
      </c>
      <c r="K20" s="1109">
        <v>59646</v>
      </c>
      <c r="L20" s="1193">
        <f t="shared" si="4"/>
        <v>37.374288023760741</v>
      </c>
      <c r="M20" s="1109">
        <v>17522</v>
      </c>
      <c r="N20" s="1193">
        <f t="shared" si="5"/>
        <v>10.979315876208558</v>
      </c>
      <c r="O20" s="1109">
        <v>14001</v>
      </c>
      <c r="P20" s="1194">
        <f t="shared" si="6"/>
        <v>8.773051111904806</v>
      </c>
    </row>
    <row r="21" spans="1:16" ht="14.1" customHeight="1">
      <c r="A21" s="3275"/>
      <c r="B21" s="1176" t="s">
        <v>1466</v>
      </c>
      <c r="C21" s="1109">
        <f t="shared" si="0"/>
        <v>25111</v>
      </c>
      <c r="D21" s="1192">
        <f t="shared" si="0"/>
        <v>100.00000000000001</v>
      </c>
      <c r="E21" s="1109">
        <v>522</v>
      </c>
      <c r="F21" s="1193">
        <f t="shared" si="1"/>
        <v>2.0787702600453981</v>
      </c>
      <c r="G21" s="1109">
        <v>3126</v>
      </c>
      <c r="H21" s="1193">
        <f t="shared" si="2"/>
        <v>12.448727649237386</v>
      </c>
      <c r="I21" s="1109">
        <v>5482</v>
      </c>
      <c r="J21" s="1193">
        <f t="shared" si="3"/>
        <v>21.831070048982518</v>
      </c>
      <c r="K21" s="1109">
        <v>9145</v>
      </c>
      <c r="L21" s="1193">
        <f t="shared" si="4"/>
        <v>36.418302735852812</v>
      </c>
      <c r="M21" s="1109">
        <v>3501</v>
      </c>
      <c r="N21" s="1193">
        <f t="shared" si="5"/>
        <v>13.942097088925173</v>
      </c>
      <c r="O21" s="1109">
        <v>3335</v>
      </c>
      <c r="P21" s="1194">
        <f t="shared" si="6"/>
        <v>13.281032216956712</v>
      </c>
    </row>
    <row r="22" spans="1:16" ht="14.1" customHeight="1">
      <c r="A22" s="3275" t="s">
        <v>1468</v>
      </c>
      <c r="B22" s="1176" t="s">
        <v>1427</v>
      </c>
      <c r="C22" s="1109">
        <f t="shared" si="0"/>
        <v>181132</v>
      </c>
      <c r="D22" s="1192">
        <f t="shared" si="0"/>
        <v>100</v>
      </c>
      <c r="E22" s="1109">
        <f>SUM(E23,E24)</f>
        <v>932</v>
      </c>
      <c r="F22" s="1193">
        <f t="shared" si="1"/>
        <v>0.51454188105911713</v>
      </c>
      <c r="G22" s="1109">
        <f>SUM(G23,G24)</f>
        <v>16523</v>
      </c>
      <c r="H22" s="1193">
        <f t="shared" si="2"/>
        <v>9.1220767175319661</v>
      </c>
      <c r="I22" s="1109">
        <f>SUM(I23,I24)</f>
        <v>56453</v>
      </c>
      <c r="J22" s="1193">
        <f t="shared" si="3"/>
        <v>31.166773402822251</v>
      </c>
      <c r="K22" s="1109">
        <f>SUM(K23,K24)</f>
        <v>68490</v>
      </c>
      <c r="L22" s="1193">
        <f t="shared" si="4"/>
        <v>37.81220325508469</v>
      </c>
      <c r="M22" s="1109">
        <f>SUM(M23,M24)</f>
        <v>21135</v>
      </c>
      <c r="N22" s="1193">
        <f t="shared" si="5"/>
        <v>11.66828611178588</v>
      </c>
      <c r="O22" s="1109">
        <v>17599</v>
      </c>
      <c r="P22" s="1194">
        <f t="shared" si="6"/>
        <v>9.7161186317160961</v>
      </c>
    </row>
    <row r="23" spans="1:16" ht="14.1" customHeight="1">
      <c r="A23" s="3275"/>
      <c r="B23" s="1176" t="s">
        <v>1425</v>
      </c>
      <c r="C23" s="1109">
        <f t="shared" si="0"/>
        <v>156108</v>
      </c>
      <c r="D23" s="1192">
        <f t="shared" si="0"/>
        <v>100</v>
      </c>
      <c r="E23" s="1109">
        <v>491</v>
      </c>
      <c r="F23" s="1193">
        <f t="shared" si="1"/>
        <v>0.31452584108437748</v>
      </c>
      <c r="G23" s="1109">
        <v>13651</v>
      </c>
      <c r="H23" s="1193">
        <f t="shared" si="2"/>
        <v>8.7445870807389756</v>
      </c>
      <c r="I23" s="1109">
        <v>50948</v>
      </c>
      <c r="J23" s="1193">
        <f t="shared" si="3"/>
        <v>32.636379942091374</v>
      </c>
      <c r="K23" s="1109">
        <v>59398</v>
      </c>
      <c r="L23" s="1193">
        <f t="shared" si="4"/>
        <v>38.049299203115794</v>
      </c>
      <c r="M23" s="1109">
        <v>17699</v>
      </c>
      <c r="N23" s="1193">
        <f t="shared" si="5"/>
        <v>11.337663668742152</v>
      </c>
      <c r="O23" s="1109">
        <v>13921</v>
      </c>
      <c r="P23" s="1194">
        <f t="shared" si="6"/>
        <v>8.9175442642273293</v>
      </c>
    </row>
    <row r="24" spans="1:16" ht="14.1" customHeight="1">
      <c r="A24" s="3275"/>
      <c r="B24" s="1176" t="s">
        <v>1313</v>
      </c>
      <c r="C24" s="1109">
        <f t="shared" si="0"/>
        <v>24625</v>
      </c>
      <c r="D24" s="1192">
        <f t="shared" si="0"/>
        <v>99.999999999999986</v>
      </c>
      <c r="E24" s="1109">
        <v>441</v>
      </c>
      <c r="F24" s="1193">
        <f t="shared" si="1"/>
        <v>1.7908629441624364</v>
      </c>
      <c r="G24" s="1109">
        <v>2872</v>
      </c>
      <c r="H24" s="1193">
        <f t="shared" si="2"/>
        <v>11.662944162436547</v>
      </c>
      <c r="I24" s="1109">
        <v>5505</v>
      </c>
      <c r="J24" s="1193">
        <f t="shared" si="3"/>
        <v>22.355329949238577</v>
      </c>
      <c r="K24" s="1109">
        <v>9092</v>
      </c>
      <c r="L24" s="1193">
        <f t="shared" si="4"/>
        <v>36.921827411167513</v>
      </c>
      <c r="M24" s="1109">
        <v>3436</v>
      </c>
      <c r="N24" s="1193">
        <f t="shared" si="5"/>
        <v>13.953299492385787</v>
      </c>
      <c r="O24" s="1109">
        <v>3279</v>
      </c>
      <c r="P24" s="1194">
        <f t="shared" si="6"/>
        <v>13.315736040609135</v>
      </c>
    </row>
    <row r="25" spans="1:16" ht="14.1" customHeight="1">
      <c r="A25" s="3275" t="s">
        <v>1469</v>
      </c>
      <c r="B25" s="1176" t="s">
        <v>1434</v>
      </c>
      <c r="C25" s="1109">
        <f t="shared" si="0"/>
        <v>192539</v>
      </c>
      <c r="D25" s="1192">
        <f t="shared" si="0"/>
        <v>99.999999999999986</v>
      </c>
      <c r="E25" s="1109">
        <f>SUM(E26,E27)</f>
        <v>773</v>
      </c>
      <c r="F25" s="1193">
        <f t="shared" si="1"/>
        <v>0.40147710334010256</v>
      </c>
      <c r="G25" s="1109">
        <f>SUM(G26,G27)</f>
        <v>16125</v>
      </c>
      <c r="H25" s="1193">
        <f t="shared" si="2"/>
        <v>8.3749266382395255</v>
      </c>
      <c r="I25" s="1109">
        <f>SUM(I26,I27)</f>
        <v>59202</v>
      </c>
      <c r="J25" s="1193">
        <f t="shared" si="3"/>
        <v>30.748056237956984</v>
      </c>
      <c r="K25" s="1109">
        <f>SUM(K26,K27)</f>
        <v>75094</v>
      </c>
      <c r="L25" s="1193">
        <f t="shared" si="4"/>
        <v>39.001968432369544</v>
      </c>
      <c r="M25" s="1109">
        <f>SUM(M26,M27)</f>
        <v>22964</v>
      </c>
      <c r="N25" s="1193">
        <f t="shared" si="5"/>
        <v>11.926934283443874</v>
      </c>
      <c r="O25" s="1109">
        <v>18381</v>
      </c>
      <c r="P25" s="1194">
        <f t="shared" si="6"/>
        <v>9.546637304649968</v>
      </c>
    </row>
    <row r="26" spans="1:16" ht="14.1" customHeight="1">
      <c r="A26" s="3275"/>
      <c r="B26" s="1176" t="s">
        <v>1312</v>
      </c>
      <c r="C26" s="1109">
        <f t="shared" si="0"/>
        <v>165604</v>
      </c>
      <c r="D26" s="1192">
        <f t="shared" si="0"/>
        <v>100</v>
      </c>
      <c r="E26" s="1109">
        <v>378</v>
      </c>
      <c r="F26" s="1193">
        <f t="shared" si="1"/>
        <v>0.2282553561508176</v>
      </c>
      <c r="G26" s="1109">
        <v>13357</v>
      </c>
      <c r="H26" s="1193">
        <f t="shared" si="2"/>
        <v>8.0656264341441037</v>
      </c>
      <c r="I26" s="1109">
        <v>53066</v>
      </c>
      <c r="J26" s="1193">
        <f t="shared" si="3"/>
        <v>32.043911982802349</v>
      </c>
      <c r="K26" s="1109">
        <v>65028</v>
      </c>
      <c r="L26" s="1193">
        <f t="shared" si="4"/>
        <v>39.267167459723197</v>
      </c>
      <c r="M26" s="1109">
        <v>18947</v>
      </c>
      <c r="N26" s="1193">
        <f t="shared" si="5"/>
        <v>11.441148764522596</v>
      </c>
      <c r="O26" s="1109">
        <v>14828</v>
      </c>
      <c r="P26" s="1194">
        <f t="shared" si="6"/>
        <v>8.9538900026569408</v>
      </c>
    </row>
    <row r="27" spans="1:16" ht="14.1" customHeight="1">
      <c r="A27" s="3275"/>
      <c r="B27" s="1176" t="s">
        <v>1428</v>
      </c>
      <c r="C27" s="1109">
        <f t="shared" si="0"/>
        <v>26554</v>
      </c>
      <c r="D27" s="1192">
        <f t="shared" si="0"/>
        <v>99.999999999999986</v>
      </c>
      <c r="E27" s="1109">
        <v>395</v>
      </c>
      <c r="F27" s="1193">
        <f t="shared" si="1"/>
        <v>1.4875348346765083</v>
      </c>
      <c r="G27" s="1109">
        <v>2768</v>
      </c>
      <c r="H27" s="1193">
        <f t="shared" si="2"/>
        <v>10.424041575657151</v>
      </c>
      <c r="I27" s="1109">
        <v>6136</v>
      </c>
      <c r="J27" s="1193">
        <f t="shared" si="3"/>
        <v>23.107629735633051</v>
      </c>
      <c r="K27" s="1109">
        <v>10066</v>
      </c>
      <c r="L27" s="1193">
        <f t="shared" si="4"/>
        <v>37.907659862920838</v>
      </c>
      <c r="M27" s="1109">
        <v>4017</v>
      </c>
      <c r="N27" s="1193">
        <f t="shared" si="5"/>
        <v>15.127664382014009</v>
      </c>
      <c r="O27" s="1109">
        <v>3172</v>
      </c>
      <c r="P27" s="1194">
        <f t="shared" si="6"/>
        <v>11.945469609098442</v>
      </c>
    </row>
    <row r="28" spans="1:16" ht="14.1" customHeight="1">
      <c r="A28" s="3275" t="s">
        <v>1470</v>
      </c>
      <c r="B28" s="1176" t="s">
        <v>1434</v>
      </c>
      <c r="C28" s="1109">
        <f t="shared" si="0"/>
        <v>192555</v>
      </c>
      <c r="D28" s="1192">
        <f t="shared" si="0"/>
        <v>100.00000000000001</v>
      </c>
      <c r="E28" s="1109">
        <v>707</v>
      </c>
      <c r="F28" s="1193">
        <f t="shared" si="1"/>
        <v>0.36716782218067562</v>
      </c>
      <c r="G28" s="1109">
        <v>14841</v>
      </c>
      <c r="H28" s="1193">
        <f t="shared" si="2"/>
        <v>7.7074082729609721</v>
      </c>
      <c r="I28" s="1109">
        <v>58404</v>
      </c>
      <c r="J28" s="1193">
        <f t="shared" si="3"/>
        <v>30.331074238529247</v>
      </c>
      <c r="K28" s="1109">
        <v>76794</v>
      </c>
      <c r="L28" s="1193">
        <f t="shared" si="4"/>
        <v>39.881592272337777</v>
      </c>
      <c r="M28" s="1109">
        <v>24002</v>
      </c>
      <c r="N28" s="1193">
        <f t="shared" si="5"/>
        <v>12.465009997143675</v>
      </c>
      <c r="O28" s="1109">
        <v>17807</v>
      </c>
      <c r="P28" s="1194">
        <f t="shared" si="6"/>
        <v>9.2477473968476538</v>
      </c>
    </row>
    <row r="29" spans="1:16" ht="14.1" customHeight="1">
      <c r="A29" s="3275"/>
      <c r="B29" s="1176" t="s">
        <v>1312</v>
      </c>
      <c r="C29" s="1109">
        <f t="shared" si="0"/>
        <v>165517</v>
      </c>
      <c r="D29" s="1192">
        <f t="shared" si="0"/>
        <v>99.999999999999986</v>
      </c>
      <c r="E29" s="1109">
        <v>380</v>
      </c>
      <c r="F29" s="1193">
        <f t="shared" si="1"/>
        <v>0.22958366814284939</v>
      </c>
      <c r="G29" s="1109">
        <v>12323</v>
      </c>
      <c r="H29" s="1193">
        <f t="shared" si="2"/>
        <v>7.4451566908535076</v>
      </c>
      <c r="I29" s="1109">
        <v>52403</v>
      </c>
      <c r="J29" s="1193">
        <f t="shared" si="3"/>
        <v>31.660192004446674</v>
      </c>
      <c r="K29" s="1109">
        <v>66279</v>
      </c>
      <c r="L29" s="1193">
        <f t="shared" si="4"/>
        <v>40.043620896947139</v>
      </c>
      <c r="M29" s="1109">
        <v>19845</v>
      </c>
      <c r="N29" s="1193">
        <f t="shared" si="5"/>
        <v>11.989704984986437</v>
      </c>
      <c r="O29" s="1109">
        <v>14287</v>
      </c>
      <c r="P29" s="1194">
        <f t="shared" si="6"/>
        <v>8.631741754623393</v>
      </c>
    </row>
    <row r="30" spans="1:16" ht="14.1" customHeight="1">
      <c r="A30" s="3275"/>
      <c r="B30" s="1176" t="s">
        <v>1313</v>
      </c>
      <c r="C30" s="1109">
        <f t="shared" si="0"/>
        <v>26713</v>
      </c>
      <c r="D30" s="1192">
        <f t="shared" si="0"/>
        <v>100</v>
      </c>
      <c r="E30" s="1109">
        <v>327</v>
      </c>
      <c r="F30" s="1193">
        <f t="shared" si="1"/>
        <v>1.2241230861378354</v>
      </c>
      <c r="G30" s="1109">
        <v>2518</v>
      </c>
      <c r="H30" s="1193">
        <f t="shared" si="2"/>
        <v>9.4261221128289598</v>
      </c>
      <c r="I30" s="1109">
        <v>6001</v>
      </c>
      <c r="J30" s="1193">
        <f t="shared" si="3"/>
        <v>22.464717553251226</v>
      </c>
      <c r="K30" s="1109">
        <v>10515</v>
      </c>
      <c r="L30" s="1193">
        <f t="shared" si="4"/>
        <v>39.36285703590012</v>
      </c>
      <c r="M30" s="1109">
        <v>4157</v>
      </c>
      <c r="N30" s="1193">
        <f t="shared" si="5"/>
        <v>15.561711526223188</v>
      </c>
      <c r="O30" s="1109">
        <v>3195</v>
      </c>
      <c r="P30" s="1194">
        <f t="shared" si="6"/>
        <v>11.960468685658668</v>
      </c>
    </row>
    <row r="31" spans="1:16" ht="14.1" customHeight="1">
      <c r="A31" s="3275" t="s">
        <v>1471</v>
      </c>
      <c r="B31" s="1176" t="s">
        <v>1461</v>
      </c>
      <c r="C31" s="1109">
        <f t="shared" si="0"/>
        <v>183159</v>
      </c>
      <c r="D31" s="1192">
        <f t="shared" si="0"/>
        <v>100</v>
      </c>
      <c r="E31" s="1109">
        <v>615</v>
      </c>
      <c r="F31" s="1193">
        <f t="shared" si="1"/>
        <v>0.33577383584754228</v>
      </c>
      <c r="G31" s="1109">
        <v>13488</v>
      </c>
      <c r="H31" s="1193">
        <f t="shared" si="2"/>
        <v>7.3640934925392703</v>
      </c>
      <c r="I31" s="1109">
        <v>54012</v>
      </c>
      <c r="J31" s="1193">
        <f t="shared" si="3"/>
        <v>29.489132393166596</v>
      </c>
      <c r="K31" s="1109">
        <v>73078</v>
      </c>
      <c r="L31" s="1193">
        <f t="shared" si="4"/>
        <v>39.898667278157227</v>
      </c>
      <c r="M31" s="1109">
        <v>24043</v>
      </c>
      <c r="N31" s="1193">
        <f t="shared" si="5"/>
        <v>13.126846073630016</v>
      </c>
      <c r="O31" s="1109">
        <v>17923</v>
      </c>
      <c r="P31" s="1194">
        <f t="shared" si="6"/>
        <v>9.7854869266593507</v>
      </c>
    </row>
    <row r="32" spans="1:16" ht="14.1" customHeight="1">
      <c r="A32" s="3275"/>
      <c r="B32" s="1176" t="s">
        <v>1472</v>
      </c>
      <c r="C32" s="1109">
        <f t="shared" si="0"/>
        <v>156310</v>
      </c>
      <c r="D32" s="1192">
        <f t="shared" si="0"/>
        <v>100</v>
      </c>
      <c r="E32" s="1109">
        <v>327</v>
      </c>
      <c r="F32" s="1193">
        <f t="shared" si="1"/>
        <v>0.20919966732774617</v>
      </c>
      <c r="G32" s="1109">
        <v>10979</v>
      </c>
      <c r="H32" s="1193">
        <f t="shared" si="2"/>
        <v>7.0238628366707188</v>
      </c>
      <c r="I32" s="1109">
        <v>48252</v>
      </c>
      <c r="J32" s="1193">
        <f t="shared" si="3"/>
        <v>30.869426140362101</v>
      </c>
      <c r="K32" s="1109">
        <v>62786</v>
      </c>
      <c r="L32" s="1193">
        <f t="shared" si="4"/>
        <v>40.167615635595929</v>
      </c>
      <c r="M32" s="1109">
        <v>19650</v>
      </c>
      <c r="N32" s="1193">
        <f t="shared" si="5"/>
        <v>12.571172669694839</v>
      </c>
      <c r="O32" s="1109">
        <v>14316</v>
      </c>
      <c r="P32" s="1194">
        <f t="shared" si="6"/>
        <v>9.1587230503486659</v>
      </c>
    </row>
    <row r="33" spans="1:16" ht="14.1" customHeight="1">
      <c r="A33" s="3284"/>
      <c r="B33" s="1182" t="s">
        <v>1313</v>
      </c>
      <c r="C33" s="1119">
        <f t="shared" si="0"/>
        <v>26519</v>
      </c>
      <c r="D33" s="1195">
        <f t="shared" si="0"/>
        <v>100</v>
      </c>
      <c r="E33" s="1119">
        <v>288</v>
      </c>
      <c r="F33" s="1196">
        <f t="shared" si="1"/>
        <v>1.0860138014253931</v>
      </c>
      <c r="G33" s="1119">
        <v>2509</v>
      </c>
      <c r="H33" s="1196">
        <f t="shared" si="2"/>
        <v>9.4611410686677466</v>
      </c>
      <c r="I33" s="1119">
        <v>5760</v>
      </c>
      <c r="J33" s="1196">
        <f t="shared" si="3"/>
        <v>21.720276028507861</v>
      </c>
      <c r="K33" s="1119">
        <v>10292</v>
      </c>
      <c r="L33" s="1196">
        <f t="shared" si="4"/>
        <v>38.809909875938011</v>
      </c>
      <c r="M33" s="1119">
        <v>4393</v>
      </c>
      <c r="N33" s="1196">
        <f t="shared" si="5"/>
        <v>16.565481352992194</v>
      </c>
      <c r="O33" s="1119">
        <v>3277</v>
      </c>
      <c r="P33" s="1197">
        <f t="shared" si="6"/>
        <v>12.357177872468796</v>
      </c>
    </row>
    <row r="34" spans="1:16" ht="14.1" customHeight="1">
      <c r="A34" s="1198" t="s">
        <v>1473</v>
      </c>
      <c r="B34" s="1198"/>
      <c r="C34" s="1198"/>
      <c r="D34" s="1115"/>
      <c r="E34" s="1115"/>
      <c r="F34" s="1115"/>
      <c r="G34" s="1115"/>
      <c r="H34" s="1115"/>
      <c r="I34" s="1115"/>
      <c r="J34" s="1115"/>
    </row>
    <row r="35" spans="1:16" ht="14.1" customHeight="1">
      <c r="A35" s="1199" t="s">
        <v>1474</v>
      </c>
      <c r="B35" s="1115"/>
      <c r="C35" s="1115"/>
      <c r="D35" s="1115"/>
      <c r="E35" s="1115"/>
      <c r="F35" s="1115"/>
      <c r="G35" s="1115"/>
      <c r="H35" s="1115"/>
      <c r="I35" s="1115"/>
      <c r="J35" s="1115"/>
    </row>
  </sheetData>
  <mergeCells count="12">
    <mergeCell ref="A31:A33"/>
    <mergeCell ref="A1:P1"/>
    <mergeCell ref="A2:B3"/>
    <mergeCell ref="A4:A6"/>
    <mergeCell ref="A7:A9"/>
    <mergeCell ref="A10:A12"/>
    <mergeCell ref="A13:A15"/>
    <mergeCell ref="A16:A18"/>
    <mergeCell ref="A19:A21"/>
    <mergeCell ref="A22:A24"/>
    <mergeCell ref="A25:A27"/>
    <mergeCell ref="A28:A30"/>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58"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K24"/>
  <sheetViews>
    <sheetView showGridLines="0" workbookViewId="0">
      <selection activeCell="B16" sqref="B16"/>
    </sheetView>
  </sheetViews>
  <sheetFormatPr defaultColWidth="9" defaultRowHeight="15.75"/>
  <cols>
    <col min="1" max="1" width="12.375" style="732" customWidth="1"/>
    <col min="2" max="8" width="9.5" style="732" customWidth="1"/>
    <col min="9" max="9" width="9.375" style="732" customWidth="1"/>
    <col min="10" max="11" width="9.5" style="732" customWidth="1"/>
    <col min="12" max="16384" width="9" style="732"/>
  </cols>
  <sheetData>
    <row r="1" spans="1:11" ht="30" customHeight="1">
      <c r="A1" s="3286" t="s">
        <v>1475</v>
      </c>
      <c r="B1" s="3286"/>
      <c r="C1" s="3286"/>
      <c r="D1" s="3286"/>
      <c r="E1" s="3286"/>
      <c r="F1" s="3286"/>
      <c r="G1" s="3286"/>
      <c r="H1" s="3286"/>
      <c r="I1" s="3286"/>
      <c r="J1" s="3286"/>
      <c r="K1" s="3286"/>
    </row>
    <row r="2" spans="1:11" ht="15" customHeight="1">
      <c r="A2" s="1200"/>
      <c r="B2" s="1201"/>
      <c r="C2" s="1201"/>
      <c r="D2" s="1201"/>
      <c r="E2" s="1201"/>
      <c r="F2" s="1201"/>
      <c r="G2" s="1202"/>
      <c r="H2" s="1201"/>
      <c r="I2" s="1201"/>
      <c r="J2" s="1201"/>
      <c r="K2" s="1203" t="s">
        <v>1476</v>
      </c>
    </row>
    <row r="3" spans="1:11" ht="16.5" customHeight="1">
      <c r="A3" s="3287"/>
      <c r="B3" s="3290" t="s">
        <v>1477</v>
      </c>
      <c r="C3" s="3290"/>
      <c r="D3" s="3290"/>
      <c r="E3" s="3290"/>
      <c r="F3" s="3290"/>
      <c r="G3" s="3290"/>
      <c r="H3" s="3291" t="s">
        <v>1478</v>
      </c>
      <c r="I3" s="3290"/>
      <c r="J3" s="3290"/>
      <c r="K3" s="3290"/>
    </row>
    <row r="4" spans="1:11" ht="18" customHeight="1">
      <c r="A4" s="3288"/>
      <c r="B4" s="3292" t="s">
        <v>1479</v>
      </c>
      <c r="C4" s="3295" t="s">
        <v>1480</v>
      </c>
      <c r="D4" s="3295" t="s">
        <v>1481</v>
      </c>
      <c r="E4" s="3295" t="s">
        <v>1482</v>
      </c>
      <c r="F4" s="3295" t="s">
        <v>1483</v>
      </c>
      <c r="G4" s="3298" t="s">
        <v>1484</v>
      </c>
      <c r="H4" s="3301" t="s">
        <v>374</v>
      </c>
      <c r="I4" s="3295" t="s">
        <v>1485</v>
      </c>
      <c r="J4" s="3295" t="s">
        <v>1486</v>
      </c>
      <c r="K4" s="3298" t="s">
        <v>1487</v>
      </c>
    </row>
    <row r="5" spans="1:11" ht="18" customHeight="1">
      <c r="A5" s="3288"/>
      <c r="B5" s="3293"/>
      <c r="C5" s="3296"/>
      <c r="D5" s="3296"/>
      <c r="E5" s="3296"/>
      <c r="F5" s="3296"/>
      <c r="G5" s="3299"/>
      <c r="H5" s="3302"/>
      <c r="I5" s="3296"/>
      <c r="J5" s="3296"/>
      <c r="K5" s="3299"/>
    </row>
    <row r="6" spans="1:11" ht="18" customHeight="1">
      <c r="A6" s="3288"/>
      <c r="B6" s="3293"/>
      <c r="C6" s="3296"/>
      <c r="D6" s="3296"/>
      <c r="E6" s="3296"/>
      <c r="F6" s="3296"/>
      <c r="G6" s="3299"/>
      <c r="H6" s="3302"/>
      <c r="I6" s="3296"/>
      <c r="J6" s="3296"/>
      <c r="K6" s="3299"/>
    </row>
    <row r="7" spans="1:11" ht="18" customHeight="1">
      <c r="A7" s="3288"/>
      <c r="B7" s="3293"/>
      <c r="C7" s="3296"/>
      <c r="D7" s="3296"/>
      <c r="E7" s="3296"/>
      <c r="F7" s="3296"/>
      <c r="G7" s="3299"/>
      <c r="H7" s="3302"/>
      <c r="I7" s="3296"/>
      <c r="J7" s="3296"/>
      <c r="K7" s="3299"/>
    </row>
    <row r="8" spans="1:11" ht="18" customHeight="1">
      <c r="A8" s="3289"/>
      <c r="B8" s="3294"/>
      <c r="C8" s="3297"/>
      <c r="D8" s="3297"/>
      <c r="E8" s="3297"/>
      <c r="F8" s="3297"/>
      <c r="G8" s="3300"/>
      <c r="H8" s="3303"/>
      <c r="I8" s="3297"/>
      <c r="J8" s="3297"/>
      <c r="K8" s="3300"/>
    </row>
    <row r="9" spans="1:11" ht="33.75" customHeight="1">
      <c r="A9" s="1204" t="s">
        <v>355</v>
      </c>
      <c r="B9" s="1205">
        <f t="shared" ref="B9:B18" si="0">SUM(C9:G9)</f>
        <v>5696</v>
      </c>
      <c r="C9" s="1205">
        <v>2531</v>
      </c>
      <c r="D9" s="1205">
        <v>2570</v>
      </c>
      <c r="E9" s="1205">
        <v>350</v>
      </c>
      <c r="F9" s="1205">
        <v>1</v>
      </c>
      <c r="G9" s="1206">
        <v>244</v>
      </c>
      <c r="H9" s="1207">
        <v>5552.0709999999999</v>
      </c>
      <c r="I9" s="1208">
        <v>1865.6524999999999</v>
      </c>
      <c r="J9" s="1205">
        <v>3349.8184999999999</v>
      </c>
      <c r="K9" s="1206">
        <v>336.6</v>
      </c>
    </row>
    <row r="10" spans="1:11" ht="33.75" customHeight="1">
      <c r="A10" s="1209" t="s">
        <v>356</v>
      </c>
      <c r="B10" s="1205">
        <f t="shared" si="0"/>
        <v>7197</v>
      </c>
      <c r="C10" s="1205">
        <v>3126</v>
      </c>
      <c r="D10" s="1205">
        <v>3270</v>
      </c>
      <c r="E10" s="1205">
        <v>444</v>
      </c>
      <c r="F10" s="1205">
        <v>12</v>
      </c>
      <c r="G10" s="1206">
        <v>345</v>
      </c>
      <c r="H10" s="1207">
        <v>5688.7718000000004</v>
      </c>
      <c r="I10" s="1208">
        <v>3884.9708000000001</v>
      </c>
      <c r="J10" s="1205">
        <v>962.8</v>
      </c>
      <c r="K10" s="1206">
        <v>841.00099999999998</v>
      </c>
    </row>
    <row r="11" spans="1:11" ht="33.75" customHeight="1">
      <c r="A11" s="1209" t="s">
        <v>357</v>
      </c>
      <c r="B11" s="1205">
        <f t="shared" si="0"/>
        <v>9056</v>
      </c>
      <c r="C11" s="1205">
        <v>3409</v>
      </c>
      <c r="D11" s="1205">
        <v>4716</v>
      </c>
      <c r="E11" s="1205">
        <v>562</v>
      </c>
      <c r="F11" s="1205">
        <v>6</v>
      </c>
      <c r="G11" s="1206">
        <v>363</v>
      </c>
      <c r="H11" s="1207">
        <v>7263.05</v>
      </c>
      <c r="I11" s="1208">
        <v>6096</v>
      </c>
      <c r="J11" s="1205">
        <v>535.20000000000005</v>
      </c>
      <c r="K11" s="1206">
        <v>631.85</v>
      </c>
    </row>
    <row r="12" spans="1:11" ht="33.75" customHeight="1">
      <c r="A12" s="1209" t="s">
        <v>358</v>
      </c>
      <c r="B12" s="1205">
        <f t="shared" si="0"/>
        <v>8090</v>
      </c>
      <c r="C12" s="1205">
        <v>3798</v>
      </c>
      <c r="D12" s="1205">
        <v>3447</v>
      </c>
      <c r="E12" s="1205">
        <v>342</v>
      </c>
      <c r="F12" s="1205">
        <v>4</v>
      </c>
      <c r="G12" s="1206">
        <v>499</v>
      </c>
      <c r="H12" s="1207">
        <v>6712.9</v>
      </c>
      <c r="I12" s="1208">
        <v>3814.8</v>
      </c>
      <c r="J12" s="1205">
        <v>125</v>
      </c>
      <c r="K12" s="1206">
        <v>2773.1</v>
      </c>
    </row>
    <row r="13" spans="1:11" ht="33.75" customHeight="1">
      <c r="A13" s="1209" t="s">
        <v>359</v>
      </c>
      <c r="B13" s="1205">
        <f t="shared" si="0"/>
        <v>6983</v>
      </c>
      <c r="C13" s="1205">
        <v>3626</v>
      </c>
      <c r="D13" s="1205">
        <v>2606</v>
      </c>
      <c r="E13" s="1205">
        <v>399</v>
      </c>
      <c r="F13" s="1205">
        <v>6</v>
      </c>
      <c r="G13" s="1206">
        <v>346</v>
      </c>
      <c r="H13" s="1207">
        <v>3493.4</v>
      </c>
      <c r="I13" s="1208">
        <v>3181.2</v>
      </c>
      <c r="J13" s="1205">
        <v>155.5</v>
      </c>
      <c r="K13" s="1206">
        <v>156.69999999999999</v>
      </c>
    </row>
    <row r="14" spans="1:11" ht="33.75" customHeight="1">
      <c r="A14" s="1209" t="s">
        <v>360</v>
      </c>
      <c r="B14" s="1205">
        <f t="shared" si="0"/>
        <v>5615</v>
      </c>
      <c r="C14" s="1205">
        <v>2918</v>
      </c>
      <c r="D14" s="1205">
        <v>2191</v>
      </c>
      <c r="E14" s="1205">
        <v>331</v>
      </c>
      <c r="F14" s="1205">
        <v>7</v>
      </c>
      <c r="G14" s="1206">
        <v>168</v>
      </c>
      <c r="H14" s="1207">
        <v>4961.7</v>
      </c>
      <c r="I14" s="1208">
        <v>4961.7</v>
      </c>
      <c r="J14" s="1205" t="s">
        <v>1298</v>
      </c>
      <c r="K14" s="1206" t="s">
        <v>1298</v>
      </c>
    </row>
    <row r="15" spans="1:11" ht="33.75" customHeight="1">
      <c r="A15" s="1209" t="s">
        <v>361</v>
      </c>
      <c r="B15" s="1205">
        <f t="shared" si="0"/>
        <v>5220</v>
      </c>
      <c r="C15" s="1205">
        <v>2643</v>
      </c>
      <c r="D15" s="1205">
        <v>2010</v>
      </c>
      <c r="E15" s="1205">
        <v>339</v>
      </c>
      <c r="F15" s="1205">
        <v>5</v>
      </c>
      <c r="G15" s="1206">
        <v>223</v>
      </c>
      <c r="H15" s="1207">
        <v>4493.1000000000004</v>
      </c>
      <c r="I15" s="1208">
        <v>4493.1000000000004</v>
      </c>
      <c r="J15" s="1205" t="s">
        <v>1488</v>
      </c>
      <c r="K15" s="1206" t="s">
        <v>994</v>
      </c>
    </row>
    <row r="16" spans="1:11" ht="33.75" customHeight="1">
      <c r="A16" s="1209" t="s">
        <v>362</v>
      </c>
      <c r="B16" s="1205">
        <f t="shared" si="0"/>
        <v>5310</v>
      </c>
      <c r="C16" s="1205">
        <v>2607</v>
      </c>
      <c r="D16" s="1205">
        <v>2082</v>
      </c>
      <c r="E16" s="1205">
        <v>355</v>
      </c>
      <c r="F16" s="1205">
        <v>5</v>
      </c>
      <c r="G16" s="1206">
        <v>261</v>
      </c>
      <c r="H16" s="1207">
        <v>5671.7</v>
      </c>
      <c r="I16" s="1208">
        <v>5671.7</v>
      </c>
      <c r="J16" s="1205" t="s">
        <v>1298</v>
      </c>
      <c r="K16" s="1206" t="s">
        <v>1298</v>
      </c>
    </row>
    <row r="17" spans="1:11" ht="33.75" customHeight="1">
      <c r="A17" s="1209" t="s">
        <v>363</v>
      </c>
      <c r="B17" s="1205">
        <f t="shared" si="0"/>
        <v>5358</v>
      </c>
      <c r="C17" s="1205">
        <v>2707</v>
      </c>
      <c r="D17" s="1205">
        <v>1981</v>
      </c>
      <c r="E17" s="1205">
        <v>348</v>
      </c>
      <c r="F17" s="1205">
        <v>5</v>
      </c>
      <c r="G17" s="1206">
        <v>317</v>
      </c>
      <c r="H17" s="1207">
        <v>3290</v>
      </c>
      <c r="I17" s="1208">
        <v>3290</v>
      </c>
      <c r="J17" s="1205" t="s">
        <v>1489</v>
      </c>
      <c r="K17" s="1206" t="s">
        <v>1490</v>
      </c>
    </row>
    <row r="18" spans="1:11" ht="33.75" customHeight="1">
      <c r="A18" s="1210" t="s">
        <v>765</v>
      </c>
      <c r="B18" s="1211">
        <f t="shared" si="0"/>
        <v>5123</v>
      </c>
      <c r="C18" s="1211">
        <v>2764</v>
      </c>
      <c r="D18" s="1211">
        <v>1559</v>
      </c>
      <c r="E18" s="1211">
        <v>312</v>
      </c>
      <c r="F18" s="1211">
        <v>7</v>
      </c>
      <c r="G18" s="1212">
        <v>481</v>
      </c>
      <c r="H18" s="1213">
        <v>8299.1753000000008</v>
      </c>
      <c r="I18" s="1214">
        <v>8299.1753000000008</v>
      </c>
      <c r="J18" s="1211" t="s">
        <v>1491</v>
      </c>
      <c r="K18" s="1212" t="s">
        <v>1298</v>
      </c>
    </row>
    <row r="19" spans="1:11" s="1219" customFormat="1" ht="16.5" customHeight="1">
      <c r="A19" s="1215" t="s">
        <v>1331</v>
      </c>
      <c r="B19" s="1216"/>
      <c r="C19" s="1216"/>
      <c r="D19" s="1217"/>
      <c r="E19" s="1217"/>
      <c r="F19" s="1217"/>
      <c r="G19" s="1217"/>
      <c r="H19" s="1217"/>
      <c r="I19" s="1218"/>
      <c r="J19" s="1217"/>
      <c r="K19" s="1217"/>
    </row>
    <row r="20" spans="1:11" s="1219" customFormat="1" ht="14.25">
      <c r="A20" s="1220" t="s">
        <v>1492</v>
      </c>
      <c r="B20" s="1221"/>
      <c r="C20" s="1221"/>
      <c r="D20" s="1221"/>
      <c r="E20" s="1221"/>
      <c r="F20" s="1221"/>
      <c r="G20" s="1221"/>
      <c r="H20" s="1221"/>
      <c r="I20" s="1221"/>
      <c r="J20" s="1221"/>
      <c r="K20" s="1222"/>
    </row>
    <row r="21" spans="1:11" s="1219" customFormat="1" ht="14.25">
      <c r="A21" s="1220" t="s">
        <v>1493</v>
      </c>
    </row>
    <row r="22" spans="1:11" s="1219" customFormat="1" ht="13.5" customHeight="1">
      <c r="A22" s="1220" t="s">
        <v>1494</v>
      </c>
    </row>
    <row r="23" spans="1:11" s="1202" customFormat="1" ht="14.25" hidden="1" customHeight="1">
      <c r="A23" s="3304"/>
      <c r="B23" s="3304"/>
      <c r="C23" s="3304"/>
      <c r="D23" s="3304"/>
      <c r="E23" s="3304"/>
      <c r="F23" s="3304"/>
      <c r="G23" s="3304"/>
      <c r="H23" s="3304"/>
      <c r="I23" s="3304"/>
      <c r="J23" s="3304"/>
      <c r="K23" s="3304"/>
    </row>
    <row r="24" spans="1:11">
      <c r="C24" s="1223"/>
      <c r="D24" s="1223"/>
      <c r="E24" s="1223"/>
      <c r="F24" s="1223"/>
      <c r="G24" s="1223"/>
      <c r="H24" s="1223"/>
      <c r="I24" s="1223"/>
      <c r="J24" s="1223"/>
      <c r="K24" s="1223"/>
    </row>
  </sheetData>
  <mergeCells count="15">
    <mergeCell ref="A23:K23"/>
    <mergeCell ref="A1:K1"/>
    <mergeCell ref="A3:A8"/>
    <mergeCell ref="B3:G3"/>
    <mergeCell ref="H3:K3"/>
    <mergeCell ref="B4:B8"/>
    <mergeCell ref="C4:C8"/>
    <mergeCell ref="D4:D8"/>
    <mergeCell ref="E4:E8"/>
    <mergeCell ref="F4:F8"/>
    <mergeCell ref="G4:G8"/>
    <mergeCell ref="H4:H8"/>
    <mergeCell ref="I4:I8"/>
    <mergeCell ref="J4:J8"/>
    <mergeCell ref="K4:K8"/>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59"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H283"/>
  <sheetViews>
    <sheetView showGridLines="0" workbookViewId="0">
      <selection activeCell="B16" sqref="B16"/>
    </sheetView>
  </sheetViews>
  <sheetFormatPr defaultColWidth="9" defaultRowHeight="15.75"/>
  <cols>
    <col min="1" max="1" width="6.5" style="650" customWidth="1"/>
    <col min="2" max="2" width="5" style="961" customWidth="1"/>
    <col min="3" max="7" width="18.375" style="650" customWidth="1"/>
    <col min="8" max="16384" width="9" style="650"/>
  </cols>
  <sheetData>
    <row r="1" spans="1:8" ht="30.6" customHeight="1">
      <c r="A1" s="2964" t="s">
        <v>1495</v>
      </c>
      <c r="B1" s="2964"/>
      <c r="C1" s="2964"/>
      <c r="D1" s="2964"/>
      <c r="E1" s="2964"/>
      <c r="F1" s="2964"/>
      <c r="G1" s="2964"/>
    </row>
    <row r="2" spans="1:8" ht="30" customHeight="1">
      <c r="A2" s="2981"/>
      <c r="B2" s="2981"/>
      <c r="C2" s="2962" t="s">
        <v>1496</v>
      </c>
      <c r="D2" s="2966" t="s">
        <v>1497</v>
      </c>
      <c r="E2" s="2965"/>
      <c r="F2" s="2965"/>
      <c r="G2" s="2965"/>
    </row>
    <row r="3" spans="1:8" ht="30" customHeight="1">
      <c r="A3" s="2983"/>
      <c r="B3" s="2983"/>
      <c r="C3" s="3306"/>
      <c r="D3" s="654" t="s">
        <v>1498</v>
      </c>
      <c r="E3" s="654" t="s">
        <v>1499</v>
      </c>
      <c r="F3" s="654" t="s">
        <v>1500</v>
      </c>
      <c r="G3" s="653" t="s">
        <v>1501</v>
      </c>
    </row>
    <row r="4" spans="1:8" ht="17.25" customHeight="1">
      <c r="A4" s="3305" t="s">
        <v>1145</v>
      </c>
      <c r="B4" s="1081" t="s">
        <v>1502</v>
      </c>
      <c r="C4" s="1224">
        <v>23141</v>
      </c>
      <c r="D4" s="1224">
        <v>16691</v>
      </c>
      <c r="E4" s="1224">
        <v>3923</v>
      </c>
      <c r="F4" s="1224">
        <v>1204</v>
      </c>
      <c r="G4" s="1225">
        <v>1323</v>
      </c>
    </row>
    <row r="5" spans="1:8" ht="17.25" customHeight="1">
      <c r="A5" s="3305"/>
      <c r="B5" s="1081" t="s">
        <v>0</v>
      </c>
      <c r="C5" s="1226">
        <v>100</v>
      </c>
      <c r="D5" s="1226">
        <v>72.127392938939551</v>
      </c>
      <c r="E5" s="1226">
        <v>16.952594961324056</v>
      </c>
      <c r="F5" s="1226">
        <v>5.2028866513979519</v>
      </c>
      <c r="G5" s="1227">
        <v>5.7171254483384466</v>
      </c>
      <c r="H5" s="1228"/>
    </row>
    <row r="6" spans="1:8" ht="17.25" customHeight="1">
      <c r="A6" s="3305" t="s">
        <v>1107</v>
      </c>
      <c r="B6" s="1081" t="s">
        <v>1502</v>
      </c>
      <c r="C6" s="1224">
        <v>21764</v>
      </c>
      <c r="D6" s="1224">
        <v>15396</v>
      </c>
      <c r="E6" s="1224">
        <v>3805</v>
      </c>
      <c r="F6" s="1224">
        <v>1181</v>
      </c>
      <c r="G6" s="1229">
        <v>1382</v>
      </c>
    </row>
    <row r="7" spans="1:8" ht="17.25" customHeight="1">
      <c r="A7" s="3305"/>
      <c r="B7" s="1081" t="s">
        <v>0</v>
      </c>
      <c r="C7" s="1226">
        <v>100</v>
      </c>
      <c r="D7" s="1226">
        <v>70.740672670464988</v>
      </c>
      <c r="E7" s="1226">
        <v>17.482999448630768</v>
      </c>
      <c r="F7" s="1226">
        <v>5.4263922073148319</v>
      </c>
      <c r="G7" s="1227">
        <v>6.349935673589413</v>
      </c>
      <c r="H7" s="1228"/>
    </row>
    <row r="8" spans="1:8" ht="17.25" customHeight="1">
      <c r="A8" s="3305" t="s">
        <v>1060</v>
      </c>
      <c r="B8" s="1081" t="s">
        <v>1502</v>
      </c>
      <c r="C8" s="1224">
        <v>19906</v>
      </c>
      <c r="D8" s="1224">
        <v>13829</v>
      </c>
      <c r="E8" s="1224">
        <v>3583</v>
      </c>
      <c r="F8" s="1224">
        <v>1142</v>
      </c>
      <c r="G8" s="1229">
        <v>1352</v>
      </c>
    </row>
    <row r="9" spans="1:8" ht="17.25" customHeight="1">
      <c r="A9" s="3305"/>
      <c r="B9" s="1081" t="s">
        <v>0</v>
      </c>
      <c r="C9" s="1226">
        <v>100</v>
      </c>
      <c r="D9" s="1226">
        <v>69.471516125791226</v>
      </c>
      <c r="E9" s="1226">
        <v>17.999598111122275</v>
      </c>
      <c r="F9" s="1226">
        <v>5.7369637295287852</v>
      </c>
      <c r="G9" s="1227">
        <v>6.7919220335577206</v>
      </c>
      <c r="H9" s="1228"/>
    </row>
    <row r="10" spans="1:8" ht="17.25" customHeight="1">
      <c r="A10" s="3305" t="s">
        <v>1061</v>
      </c>
      <c r="B10" s="1081" t="s">
        <v>1502</v>
      </c>
      <c r="C10" s="1224">
        <v>18419</v>
      </c>
      <c r="D10" s="1224">
        <v>13005</v>
      </c>
      <c r="E10" s="1224">
        <v>3157</v>
      </c>
      <c r="F10" s="1224">
        <v>1024</v>
      </c>
      <c r="G10" s="1229">
        <v>1233</v>
      </c>
    </row>
    <row r="11" spans="1:8" ht="17.25" customHeight="1">
      <c r="A11" s="3305"/>
      <c r="B11" s="1081" t="s">
        <v>0</v>
      </c>
      <c r="C11" s="1226">
        <v>100</v>
      </c>
      <c r="D11" s="1226">
        <v>70.606439003203221</v>
      </c>
      <c r="E11" s="1226">
        <v>17.139909875671862</v>
      </c>
      <c r="F11" s="1226">
        <v>5.5594766273956244</v>
      </c>
      <c r="G11" s="1227">
        <v>6.6941744937293022</v>
      </c>
      <c r="H11" s="1228"/>
    </row>
    <row r="12" spans="1:8" ht="17.25" customHeight="1">
      <c r="A12" s="3305" t="s">
        <v>1062</v>
      </c>
      <c r="B12" s="1081" t="s">
        <v>1503</v>
      </c>
      <c r="C12" s="1224">
        <v>19286</v>
      </c>
      <c r="D12" s="1224">
        <v>13813</v>
      </c>
      <c r="E12" s="1224">
        <v>3132</v>
      </c>
      <c r="F12" s="1224">
        <v>1063</v>
      </c>
      <c r="G12" s="1229">
        <v>1278</v>
      </c>
    </row>
    <row r="13" spans="1:8" ht="17.25" customHeight="1">
      <c r="A13" s="3305"/>
      <c r="B13" s="1081" t="s">
        <v>0</v>
      </c>
      <c r="C13" s="1226">
        <v>100</v>
      </c>
      <c r="D13" s="1226">
        <v>71.621901897749666</v>
      </c>
      <c r="E13" s="1226">
        <v>16.239759410971686</v>
      </c>
      <c r="F13" s="1226">
        <v>5.5117701959970962</v>
      </c>
      <c r="G13" s="1227">
        <v>6.6265684952815516</v>
      </c>
      <c r="H13" s="1228"/>
    </row>
    <row r="14" spans="1:8" ht="17.25" customHeight="1">
      <c r="A14" s="3305" t="s">
        <v>1063</v>
      </c>
      <c r="B14" s="1081" t="s">
        <v>1502</v>
      </c>
      <c r="C14" s="1224">
        <v>21049</v>
      </c>
      <c r="D14" s="1224">
        <v>14718</v>
      </c>
      <c r="E14" s="1224">
        <v>3621</v>
      </c>
      <c r="F14" s="1224">
        <v>1368</v>
      </c>
      <c r="G14" s="1229">
        <v>1342</v>
      </c>
    </row>
    <row r="15" spans="1:8" ht="17.25" customHeight="1">
      <c r="A15" s="3305"/>
      <c r="B15" s="1081" t="s">
        <v>0</v>
      </c>
      <c r="C15" s="1226">
        <v>100</v>
      </c>
      <c r="D15" s="1226">
        <v>69.922561641883235</v>
      </c>
      <c r="E15" s="1226">
        <v>17.20271746876336</v>
      </c>
      <c r="F15" s="1226">
        <v>6.4991210983894723</v>
      </c>
      <c r="G15" s="1227">
        <v>6.3755997909639417</v>
      </c>
      <c r="H15" s="1228"/>
    </row>
    <row r="16" spans="1:8" ht="17.25" customHeight="1">
      <c r="A16" s="3305" t="s">
        <v>1064</v>
      </c>
      <c r="B16" s="1081" t="s">
        <v>1504</v>
      </c>
      <c r="C16" s="1224">
        <v>18913</v>
      </c>
      <c r="D16" s="1224">
        <v>13636</v>
      </c>
      <c r="E16" s="1224">
        <v>3043</v>
      </c>
      <c r="F16" s="1224">
        <v>1053</v>
      </c>
      <c r="G16" s="1229">
        <v>1181</v>
      </c>
    </row>
    <row r="17" spans="1:8" ht="17.25" customHeight="1">
      <c r="A17" s="3305"/>
      <c r="B17" s="1081" t="s">
        <v>0</v>
      </c>
      <c r="C17" s="1226">
        <v>100</v>
      </c>
      <c r="D17" s="1226">
        <v>72.098556548405853</v>
      </c>
      <c r="E17" s="1226">
        <v>16.089462274625919</v>
      </c>
      <c r="F17" s="1226">
        <v>5.567599005974726</v>
      </c>
      <c r="G17" s="1227">
        <v>6.2443821709934966</v>
      </c>
      <c r="H17" s="1228"/>
    </row>
    <row r="18" spans="1:8" ht="17.25" customHeight="1">
      <c r="A18" s="3305" t="s">
        <v>1065</v>
      </c>
      <c r="B18" s="1081" t="s">
        <v>1502</v>
      </c>
      <c r="C18" s="1224">
        <v>19787</v>
      </c>
      <c r="D18" s="1224">
        <v>14565</v>
      </c>
      <c r="E18" s="1224">
        <v>3012</v>
      </c>
      <c r="F18" s="1224">
        <v>929</v>
      </c>
      <c r="G18" s="1229">
        <v>1281</v>
      </c>
    </row>
    <row r="19" spans="1:8" ht="17.25" customHeight="1">
      <c r="A19" s="3305"/>
      <c r="B19" s="1081" t="s">
        <v>0</v>
      </c>
      <c r="C19" s="1226">
        <v>100</v>
      </c>
      <c r="D19" s="1226">
        <v>73.608935159448123</v>
      </c>
      <c r="E19" s="1226">
        <v>15.222115530398748</v>
      </c>
      <c r="F19" s="1226">
        <v>4.695001768838126</v>
      </c>
      <c r="G19" s="1227">
        <v>6.4739475413150043</v>
      </c>
      <c r="H19" s="1228"/>
    </row>
    <row r="20" spans="1:8" ht="17.25" customHeight="1">
      <c r="A20" s="3305" t="s">
        <v>1066</v>
      </c>
      <c r="B20" s="1081" t="s">
        <v>1502</v>
      </c>
      <c r="C20" s="1224">
        <v>19038</v>
      </c>
      <c r="D20" s="1224">
        <v>13767</v>
      </c>
      <c r="E20" s="1224">
        <v>2978</v>
      </c>
      <c r="F20" s="1224">
        <v>975</v>
      </c>
      <c r="G20" s="1229">
        <v>1318</v>
      </c>
    </row>
    <row r="21" spans="1:8" ht="17.25" customHeight="1">
      <c r="A21" s="3305"/>
      <c r="B21" s="1081" t="s">
        <v>0</v>
      </c>
      <c r="C21" s="1226">
        <v>100</v>
      </c>
      <c r="D21" s="1226">
        <v>72.313268200441229</v>
      </c>
      <c r="E21" s="1226">
        <v>15.642399411702909</v>
      </c>
      <c r="F21" s="1226">
        <v>5.1213362748187841</v>
      </c>
      <c r="G21" s="1227">
        <v>6.9229961130370832</v>
      </c>
      <c r="H21" s="1228"/>
    </row>
    <row r="22" spans="1:8" ht="17.25" customHeight="1">
      <c r="A22" s="3305" t="s">
        <v>1067</v>
      </c>
      <c r="B22" s="1081" t="s">
        <v>1505</v>
      </c>
      <c r="C22" s="1224">
        <v>19171</v>
      </c>
      <c r="D22" s="1224">
        <v>13765</v>
      </c>
      <c r="E22" s="1224">
        <v>2819</v>
      </c>
      <c r="F22" s="1224">
        <v>1060</v>
      </c>
      <c r="G22" s="1229">
        <v>1527</v>
      </c>
      <c r="H22" s="1228"/>
    </row>
    <row r="23" spans="1:8" ht="17.25" customHeight="1">
      <c r="A23" s="3307"/>
      <c r="B23" s="1088" t="s">
        <v>0</v>
      </c>
      <c r="C23" s="1230">
        <v>100</v>
      </c>
      <c r="D23" s="1230">
        <v>71.801157999061076</v>
      </c>
      <c r="E23" s="1230">
        <v>14.704501590944655</v>
      </c>
      <c r="F23" s="1230">
        <v>5.529184706066455</v>
      </c>
      <c r="G23" s="1231">
        <v>7.9651557039278078</v>
      </c>
      <c r="H23" s="1228"/>
    </row>
    <row r="24" spans="1:8" ht="15" customHeight="1">
      <c r="A24" s="665" t="s">
        <v>1506</v>
      </c>
      <c r="B24" s="1232"/>
      <c r="C24" s="1228"/>
      <c r="D24" s="1228"/>
      <c r="E24" s="1228"/>
      <c r="F24" s="1228"/>
      <c r="G24" s="1228"/>
    </row>
    <row r="25" spans="1:8" ht="15" customHeight="1">
      <c r="A25" s="1096"/>
      <c r="C25" s="1228"/>
      <c r="D25" s="1228"/>
      <c r="E25" s="1228"/>
      <c r="F25" s="1228"/>
      <c r="G25" s="1228"/>
    </row>
    <row r="26" spans="1:8" ht="15" customHeight="1"/>
    <row r="27" spans="1:8" ht="15" customHeight="1"/>
    <row r="28" spans="1:8" ht="15" customHeight="1"/>
    <row r="29" spans="1:8" ht="15" customHeight="1"/>
    <row r="30" spans="1:8" ht="15" customHeight="1">
      <c r="D30" s="1095"/>
    </row>
    <row r="31" spans="1:8" ht="15" customHeight="1"/>
    <row r="32" spans="1:8"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sheetData>
  <mergeCells count="14">
    <mergeCell ref="A20:A21"/>
    <mergeCell ref="A22:A23"/>
    <mergeCell ref="A8:A9"/>
    <mergeCell ref="A10:A11"/>
    <mergeCell ref="A12:A13"/>
    <mergeCell ref="A14:A15"/>
    <mergeCell ref="A16:A17"/>
    <mergeCell ref="A18:A19"/>
    <mergeCell ref="A6:A7"/>
    <mergeCell ref="A1:G1"/>
    <mergeCell ref="A2:B3"/>
    <mergeCell ref="C2:C3"/>
    <mergeCell ref="D2:G2"/>
    <mergeCell ref="A4:A5"/>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73" orientation="landscape" r:id="rId1"/>
  <headerFooter differentOddEven="1" scaleWithDoc="0">
    <oddHeader>&amp;L&amp;"Times New Roman,標準"&amp;8 107&amp;"標楷體,標準"年犯罪狀況及其分析</oddHeader>
    <evenHeader>&amp;R&amp;"標楷體,標準"&amp;8第二篇　犯罪之處理</evenHead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H30"/>
  <sheetViews>
    <sheetView showGridLines="0" workbookViewId="0">
      <selection activeCell="B16" sqref="B16"/>
    </sheetView>
  </sheetViews>
  <sheetFormatPr defaultColWidth="9" defaultRowHeight="15.75"/>
  <cols>
    <col min="1" max="1" width="6.125" style="1202" customWidth="1"/>
    <col min="2" max="2" width="5" style="961" customWidth="1"/>
    <col min="3" max="3" width="15.625" style="1202" customWidth="1"/>
    <col min="4" max="4" width="20.625" style="1202" customWidth="1"/>
    <col min="5" max="5" width="20.75" style="1202" customWidth="1"/>
    <col min="6" max="6" width="18" style="1202" customWidth="1"/>
    <col min="7" max="7" width="17.25" style="1202" customWidth="1"/>
    <col min="8" max="16384" width="9" style="1202"/>
  </cols>
  <sheetData>
    <row r="1" spans="1:8" ht="30.6" customHeight="1">
      <c r="A1" s="2964" t="s">
        <v>1507</v>
      </c>
      <c r="B1" s="2964"/>
      <c r="C1" s="2964"/>
      <c r="D1" s="2964"/>
      <c r="E1" s="2964"/>
      <c r="F1" s="2964"/>
      <c r="G1" s="2964"/>
    </row>
    <row r="2" spans="1:8" ht="30.6" customHeight="1">
      <c r="A2" s="2981"/>
      <c r="B2" s="2981"/>
      <c r="C2" s="2962" t="s">
        <v>1508</v>
      </c>
      <c r="D2" s="3309" t="s">
        <v>1509</v>
      </c>
      <c r="E2" s="3310"/>
      <c r="F2" s="3310"/>
      <c r="G2" s="3310"/>
    </row>
    <row r="3" spans="1:8" ht="28.5" customHeight="1">
      <c r="A3" s="2982"/>
      <c r="B3" s="2982"/>
      <c r="C3" s="3308"/>
      <c r="D3" s="3311" t="s">
        <v>1510</v>
      </c>
      <c r="E3" s="3312"/>
      <c r="F3" s="3313" t="s">
        <v>1511</v>
      </c>
      <c r="G3" s="3315" t="s">
        <v>1512</v>
      </c>
    </row>
    <row r="4" spans="1:8" ht="28.5" customHeight="1">
      <c r="A4" s="2983"/>
      <c r="B4" s="2983"/>
      <c r="C4" s="3306"/>
      <c r="D4" s="654" t="s">
        <v>1513</v>
      </c>
      <c r="E4" s="1233" t="s">
        <v>1514</v>
      </c>
      <c r="F4" s="3314"/>
      <c r="G4" s="3316"/>
    </row>
    <row r="5" spans="1:8" ht="16.5" customHeight="1">
      <c r="A5" s="3317" t="s">
        <v>1515</v>
      </c>
      <c r="B5" s="1081" t="s">
        <v>1516</v>
      </c>
      <c r="C5" s="1234">
        <f t="shared" ref="C5:C24" si="0">SUM(D5:G5)</f>
        <v>23141</v>
      </c>
      <c r="D5" s="1234">
        <v>16953</v>
      </c>
      <c r="E5" s="1234">
        <v>82</v>
      </c>
      <c r="F5" s="1234">
        <v>5078</v>
      </c>
      <c r="G5" s="1235">
        <v>1028</v>
      </c>
      <c r="H5" s="1236"/>
    </row>
    <row r="6" spans="1:8" ht="16.5" customHeight="1">
      <c r="A6" s="3317"/>
      <c r="B6" s="1081" t="s">
        <v>0</v>
      </c>
      <c r="C6" s="1237">
        <f t="shared" si="0"/>
        <v>100</v>
      </c>
      <c r="D6" s="1237">
        <f>D5/$C5*100</f>
        <v>73.259582559094255</v>
      </c>
      <c r="E6" s="1237">
        <f>E5/$C5*100</f>
        <v>0.35434942310185386</v>
      </c>
      <c r="F6" s="1237">
        <f>F5/$C5*100</f>
        <v>21.943736225746509</v>
      </c>
      <c r="G6" s="1238">
        <f>G5/$C5*100</f>
        <v>4.442331792057387</v>
      </c>
      <c r="H6" s="1236"/>
    </row>
    <row r="7" spans="1:8" ht="16.5" customHeight="1">
      <c r="A7" s="3317" t="s">
        <v>1107</v>
      </c>
      <c r="B7" s="1081" t="s">
        <v>1516</v>
      </c>
      <c r="C7" s="1239">
        <f t="shared" si="0"/>
        <v>21764</v>
      </c>
      <c r="D7" s="1239">
        <v>16134</v>
      </c>
      <c r="E7" s="1239">
        <v>64</v>
      </c>
      <c r="F7" s="1239">
        <v>4519</v>
      </c>
      <c r="G7" s="1240">
        <v>1047</v>
      </c>
      <c r="H7" s="1236"/>
    </row>
    <row r="8" spans="1:8" ht="16.5" customHeight="1">
      <c r="A8" s="3317"/>
      <c r="B8" s="1081" t="s">
        <v>0</v>
      </c>
      <c r="C8" s="1237">
        <f t="shared" si="0"/>
        <v>100.00000000000001</v>
      </c>
      <c r="D8" s="1237">
        <f>D7/$C7*100</f>
        <v>74.131593457085103</v>
      </c>
      <c r="E8" s="1237">
        <f>E7/$C7*100</f>
        <v>0.29406359125160814</v>
      </c>
      <c r="F8" s="1237">
        <f>F7/$C7*100</f>
        <v>20.763646388531519</v>
      </c>
      <c r="G8" s="1238">
        <f>G7/$C7*100</f>
        <v>4.8106965631317768</v>
      </c>
      <c r="H8" s="1236"/>
    </row>
    <row r="9" spans="1:8" ht="16.5" customHeight="1">
      <c r="A9" s="3317" t="s">
        <v>1060</v>
      </c>
      <c r="B9" s="1081" t="s">
        <v>1517</v>
      </c>
      <c r="C9" s="1239">
        <f t="shared" si="0"/>
        <v>19906</v>
      </c>
      <c r="D9" s="1239">
        <v>14556</v>
      </c>
      <c r="E9" s="1239">
        <v>85</v>
      </c>
      <c r="F9" s="1239">
        <v>4389</v>
      </c>
      <c r="G9" s="1240">
        <v>876</v>
      </c>
      <c r="H9" s="1236"/>
    </row>
    <row r="10" spans="1:8" ht="16.5" customHeight="1">
      <c r="A10" s="3317"/>
      <c r="B10" s="1081" t="s">
        <v>0</v>
      </c>
      <c r="C10" s="1237">
        <f t="shared" si="0"/>
        <v>100</v>
      </c>
      <c r="D10" s="1237">
        <f>D9/$C9*100</f>
        <v>73.123681302119962</v>
      </c>
      <c r="E10" s="1237">
        <f>E9/$C9*100</f>
        <v>0.42700693258314076</v>
      </c>
      <c r="F10" s="1237">
        <f>F9/$C9*100</f>
        <v>22.048628554204765</v>
      </c>
      <c r="G10" s="1238">
        <f>G9/$C9*100</f>
        <v>4.400683211092133</v>
      </c>
      <c r="H10" s="1236"/>
    </row>
    <row r="11" spans="1:8" ht="16.5" customHeight="1">
      <c r="A11" s="3317" t="s">
        <v>1061</v>
      </c>
      <c r="B11" s="1081" t="s">
        <v>1516</v>
      </c>
      <c r="C11" s="1239">
        <f t="shared" si="0"/>
        <v>18419</v>
      </c>
      <c r="D11" s="1239">
        <v>13455</v>
      </c>
      <c r="E11" s="1239">
        <v>82</v>
      </c>
      <c r="F11" s="1239">
        <v>4260</v>
      </c>
      <c r="G11" s="1240">
        <v>622</v>
      </c>
      <c r="H11" s="1236"/>
    </row>
    <row r="12" spans="1:8" ht="16.5" customHeight="1">
      <c r="A12" s="3317"/>
      <c r="B12" s="1081" t="s">
        <v>0</v>
      </c>
      <c r="C12" s="1237">
        <f t="shared" si="0"/>
        <v>100</v>
      </c>
      <c r="D12" s="1237">
        <f>D11/$C11*100</f>
        <v>73.049568380476686</v>
      </c>
      <c r="E12" s="1237">
        <f>E11/$C11*100</f>
        <v>0.44519246430316517</v>
      </c>
      <c r="F12" s="1237">
        <f>F11/$C11*100</f>
        <v>23.128291438188828</v>
      </c>
      <c r="G12" s="1238">
        <f>G11/$C11*100</f>
        <v>3.3769477170313262</v>
      </c>
      <c r="H12" s="1236"/>
    </row>
    <row r="13" spans="1:8" ht="16.5" customHeight="1">
      <c r="A13" s="3317" t="s">
        <v>1062</v>
      </c>
      <c r="B13" s="1081" t="s">
        <v>1503</v>
      </c>
      <c r="C13" s="1239">
        <f t="shared" si="0"/>
        <v>19286</v>
      </c>
      <c r="D13" s="1239">
        <v>14391</v>
      </c>
      <c r="E13" s="1239">
        <v>75</v>
      </c>
      <c r="F13" s="1239">
        <v>4182</v>
      </c>
      <c r="G13" s="1240">
        <v>638</v>
      </c>
      <c r="H13" s="1236"/>
    </row>
    <row r="14" spans="1:8" ht="16.5" customHeight="1">
      <c r="A14" s="3317"/>
      <c r="B14" s="1081" t="s">
        <v>0</v>
      </c>
      <c r="C14" s="1237">
        <f t="shared" si="0"/>
        <v>100</v>
      </c>
      <c r="D14" s="1237">
        <f>D13/$C13*100</f>
        <v>74.618894534895773</v>
      </c>
      <c r="E14" s="1237">
        <f>E13/$C13*100</f>
        <v>0.38888312765736804</v>
      </c>
      <c r="F14" s="1237">
        <f>F13/$C13*100</f>
        <v>21.684123198174841</v>
      </c>
      <c r="G14" s="1238">
        <f>G13/$C13*100</f>
        <v>3.3080991392720112</v>
      </c>
      <c r="H14" s="1236"/>
    </row>
    <row r="15" spans="1:8" ht="16.5" customHeight="1">
      <c r="A15" s="3317" t="s">
        <v>1063</v>
      </c>
      <c r="B15" s="1081" t="s">
        <v>1518</v>
      </c>
      <c r="C15" s="1239">
        <f t="shared" si="0"/>
        <v>21049</v>
      </c>
      <c r="D15" s="1239">
        <v>16205</v>
      </c>
      <c r="E15" s="1239">
        <v>73</v>
      </c>
      <c r="F15" s="1239">
        <v>4011</v>
      </c>
      <c r="G15" s="1240">
        <v>760</v>
      </c>
      <c r="H15" s="1236"/>
    </row>
    <row r="16" spans="1:8" ht="16.5" customHeight="1">
      <c r="A16" s="3317"/>
      <c r="B16" s="1081" t="s">
        <v>0</v>
      </c>
      <c r="C16" s="1237">
        <f t="shared" si="0"/>
        <v>100</v>
      </c>
      <c r="D16" s="1237">
        <f>D15/$C15*100</f>
        <v>76.987030262720324</v>
      </c>
      <c r="E16" s="1237">
        <f>E15/$C15*100</f>
        <v>0.34680982469475985</v>
      </c>
      <c r="F16" s="1237">
        <f>F15/$C15*100</f>
        <v>19.055537080146326</v>
      </c>
      <c r="G16" s="1238">
        <f>G15/$C15*100</f>
        <v>3.6106228324385961</v>
      </c>
      <c r="H16" s="1236"/>
    </row>
    <row r="17" spans="1:8" ht="16.5" customHeight="1">
      <c r="A17" s="3317" t="s">
        <v>1064</v>
      </c>
      <c r="B17" s="1081" t="s">
        <v>1502</v>
      </c>
      <c r="C17" s="1239">
        <f t="shared" si="0"/>
        <v>18913</v>
      </c>
      <c r="D17" s="1239">
        <v>14575</v>
      </c>
      <c r="E17" s="1239">
        <v>58</v>
      </c>
      <c r="F17" s="1239">
        <v>3658</v>
      </c>
      <c r="G17" s="1240">
        <v>622</v>
      </c>
      <c r="H17" s="1236"/>
    </row>
    <row r="18" spans="1:8" ht="16.5" customHeight="1">
      <c r="A18" s="3317"/>
      <c r="B18" s="1081" t="s">
        <v>0</v>
      </c>
      <c r="C18" s="1237">
        <f t="shared" si="0"/>
        <v>99.999999999999986</v>
      </c>
      <c r="D18" s="1237">
        <f>D17/$C17*100</f>
        <v>77.063395548035743</v>
      </c>
      <c r="E18" s="1237">
        <f>E17/$C17*100</f>
        <v>0.30666737164913022</v>
      </c>
      <c r="F18" s="1237">
        <f>F17/$C17*100</f>
        <v>19.341193887802042</v>
      </c>
      <c r="G18" s="1238">
        <f>G17/$C17*100</f>
        <v>3.2887431925130861</v>
      </c>
      <c r="H18" s="1236"/>
    </row>
    <row r="19" spans="1:8" ht="16.5" customHeight="1">
      <c r="A19" s="3317" t="s">
        <v>1065</v>
      </c>
      <c r="B19" s="1081" t="s">
        <v>1504</v>
      </c>
      <c r="C19" s="1239">
        <f t="shared" si="0"/>
        <v>19787</v>
      </c>
      <c r="D19" s="1239">
        <v>15045</v>
      </c>
      <c r="E19" s="1239">
        <v>36</v>
      </c>
      <c r="F19" s="1239">
        <v>4090</v>
      </c>
      <c r="G19" s="1240">
        <v>616</v>
      </c>
      <c r="H19" s="1236"/>
    </row>
    <row r="20" spans="1:8" ht="16.5" customHeight="1">
      <c r="A20" s="3317"/>
      <c r="B20" s="1081" t="s">
        <v>0</v>
      </c>
      <c r="C20" s="1237">
        <f t="shared" si="0"/>
        <v>100</v>
      </c>
      <c r="D20" s="1237">
        <f>D19/$C19*100</f>
        <v>76.034770303734774</v>
      </c>
      <c r="E20" s="1237">
        <f>E19/$C19*100</f>
        <v>0.18193763582149897</v>
      </c>
      <c r="F20" s="1237">
        <f>F19/$C19*100</f>
        <v>20.670136958609188</v>
      </c>
      <c r="G20" s="1238">
        <f>G19/$C19*100</f>
        <v>3.1131551018345376</v>
      </c>
      <c r="H20" s="1236"/>
    </row>
    <row r="21" spans="1:8" ht="16.5" customHeight="1">
      <c r="A21" s="3317" t="s">
        <v>1066</v>
      </c>
      <c r="B21" s="1081" t="s">
        <v>1519</v>
      </c>
      <c r="C21" s="1239">
        <f t="shared" si="0"/>
        <v>19038</v>
      </c>
      <c r="D21" s="1239">
        <v>14037</v>
      </c>
      <c r="E21" s="1239">
        <v>34</v>
      </c>
      <c r="F21" s="1239">
        <v>4296</v>
      </c>
      <c r="G21" s="1240">
        <v>671</v>
      </c>
      <c r="H21" s="1236"/>
    </row>
    <row r="22" spans="1:8" ht="16.5" customHeight="1">
      <c r="A22" s="3317"/>
      <c r="B22" s="1081" t="s">
        <v>0</v>
      </c>
      <c r="C22" s="1237">
        <f t="shared" si="0"/>
        <v>99.999999999999986</v>
      </c>
      <c r="D22" s="1237">
        <f>D21/$C21*100</f>
        <v>73.731484399621806</v>
      </c>
      <c r="E22" s="1237">
        <f>E21/$C21*100</f>
        <v>0.17859018804496271</v>
      </c>
      <c r="F22" s="1237">
        <f>F21/$C21*100</f>
        <v>22.565395524739991</v>
      </c>
      <c r="G22" s="1238">
        <f>G21/$C21*100</f>
        <v>3.5245298875932347</v>
      </c>
      <c r="H22" s="1236"/>
    </row>
    <row r="23" spans="1:8" ht="16.5" customHeight="1">
      <c r="A23" s="3317" t="s">
        <v>1067</v>
      </c>
      <c r="B23" s="1081" t="s">
        <v>1502</v>
      </c>
      <c r="C23" s="1239">
        <f t="shared" si="0"/>
        <v>19171</v>
      </c>
      <c r="D23" s="1239">
        <v>14110</v>
      </c>
      <c r="E23" s="1239">
        <v>103</v>
      </c>
      <c r="F23" s="1239">
        <v>4210</v>
      </c>
      <c r="G23" s="1240">
        <v>748</v>
      </c>
      <c r="H23" s="1236"/>
    </row>
    <row r="24" spans="1:8" ht="16.5" customHeight="1">
      <c r="A24" s="3318"/>
      <c r="B24" s="1088" t="s">
        <v>0</v>
      </c>
      <c r="C24" s="1241">
        <f t="shared" si="0"/>
        <v>100</v>
      </c>
      <c r="D24" s="1241">
        <f>D23/$C23*100</f>
        <v>73.600751134526107</v>
      </c>
      <c r="E24" s="1241">
        <f>E23/$C23*100</f>
        <v>0.53726983464608002</v>
      </c>
      <c r="F24" s="1241">
        <f>F23/$C23*100</f>
        <v>21.960252464660162</v>
      </c>
      <c r="G24" s="1242">
        <f>G23/$C23*100</f>
        <v>3.9017265661676492</v>
      </c>
      <c r="H24" s="1236"/>
    </row>
    <row r="25" spans="1:8">
      <c r="A25" s="1219" t="s">
        <v>1520</v>
      </c>
    </row>
    <row r="30" spans="1:8">
      <c r="D30" s="1095"/>
    </row>
  </sheetData>
  <mergeCells count="17">
    <mergeCell ref="A17:A18"/>
    <mergeCell ref="A19:A20"/>
    <mergeCell ref="A21:A22"/>
    <mergeCell ref="A23:A24"/>
    <mergeCell ref="A5:A6"/>
    <mergeCell ref="A7:A8"/>
    <mergeCell ref="A9:A10"/>
    <mergeCell ref="A11:A12"/>
    <mergeCell ref="A13:A14"/>
    <mergeCell ref="A15:A16"/>
    <mergeCell ref="A1:G1"/>
    <mergeCell ref="A2:B4"/>
    <mergeCell ref="C2:C4"/>
    <mergeCell ref="D2:G2"/>
    <mergeCell ref="D3:E3"/>
    <mergeCell ref="F3:F4"/>
    <mergeCell ref="G3:G4"/>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9" orientation="landscape" r:id="rId1"/>
  <headerFooter differentOddEven="1" scaleWithDoc="0">
    <oddHeader>&amp;L&amp;"Times New Roman,標準"&amp;8 107&amp;"標楷體,標準"年犯罪狀況及其分析</oddHeader>
    <evenHeader>&amp;R&amp;"標楷體,標準"&amp;8第二篇　犯罪之處理</even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Z27"/>
  <sheetViews>
    <sheetView showGridLines="0" workbookViewId="0">
      <selection activeCell="B16" sqref="B16"/>
    </sheetView>
  </sheetViews>
  <sheetFormatPr defaultColWidth="9" defaultRowHeight="15.75"/>
  <cols>
    <col min="1" max="1" width="9.5" style="1267" customWidth="1"/>
    <col min="2" max="15" width="8.375" style="1248" customWidth="1"/>
    <col min="16" max="16384" width="9" style="1248"/>
  </cols>
  <sheetData>
    <row r="1" spans="1:19" s="1243" customFormat="1" ht="20.25">
      <c r="A1" s="3320" t="s">
        <v>1521</v>
      </c>
      <c r="B1" s="3320"/>
      <c r="C1" s="3320"/>
      <c r="D1" s="3320"/>
      <c r="E1" s="3320"/>
      <c r="F1" s="3320"/>
      <c r="G1" s="3320"/>
      <c r="H1" s="3320"/>
      <c r="I1" s="3320"/>
      <c r="J1" s="3320"/>
      <c r="K1" s="3320"/>
      <c r="L1" s="3320"/>
      <c r="M1" s="3320"/>
      <c r="N1" s="3320"/>
      <c r="O1" s="3320"/>
    </row>
    <row r="2" spans="1:19" s="1245" customFormat="1">
      <c r="A2" s="1244"/>
      <c r="K2" s="1246"/>
      <c r="L2" s="1246"/>
      <c r="M2" s="1246"/>
      <c r="N2" s="1246"/>
      <c r="O2" s="1247" t="s">
        <v>1522</v>
      </c>
    </row>
    <row r="3" spans="1:19" ht="36" customHeight="1">
      <c r="A3" s="3321"/>
      <c r="B3" s="3323" t="s">
        <v>1523</v>
      </c>
      <c r="C3" s="3323"/>
      <c r="D3" s="3323"/>
      <c r="E3" s="3324" t="s">
        <v>1524</v>
      </c>
      <c r="F3" s="3323"/>
      <c r="G3" s="3325"/>
      <c r="H3" s="3326" t="s">
        <v>1525</v>
      </c>
      <c r="I3" s="3323"/>
      <c r="J3" s="3323"/>
      <c r="K3" s="3323"/>
      <c r="L3" s="3323"/>
      <c r="M3" s="3323"/>
      <c r="N3" s="3323"/>
      <c r="O3" s="3323"/>
    </row>
    <row r="4" spans="1:19" ht="106.7" customHeight="1">
      <c r="A4" s="3322"/>
      <c r="B4" s="1249" t="s">
        <v>1526</v>
      </c>
      <c r="C4" s="1250" t="s">
        <v>1527</v>
      </c>
      <c r="D4" s="1251" t="s">
        <v>1528</v>
      </c>
      <c r="E4" s="1252" t="s">
        <v>1526</v>
      </c>
      <c r="F4" s="1250" t="s">
        <v>1529</v>
      </c>
      <c r="G4" s="1250" t="s">
        <v>1528</v>
      </c>
      <c r="H4" s="1253" t="s">
        <v>1530</v>
      </c>
      <c r="I4" s="1253" t="s">
        <v>1531</v>
      </c>
      <c r="J4" s="1253" t="s">
        <v>1532</v>
      </c>
      <c r="K4" s="1254" t="s">
        <v>1533</v>
      </c>
      <c r="L4" s="1254" t="s">
        <v>1534</v>
      </c>
      <c r="M4" s="1254" t="s">
        <v>1535</v>
      </c>
      <c r="N4" s="1254" t="s">
        <v>1536</v>
      </c>
      <c r="O4" s="1255" t="s">
        <v>1537</v>
      </c>
    </row>
    <row r="5" spans="1:19" ht="24.75" customHeight="1">
      <c r="A5" s="1256" t="s">
        <v>1145</v>
      </c>
      <c r="B5" s="1257">
        <f t="shared" ref="B5:B14" si="0">SUM(C5,D5)</f>
        <v>23141</v>
      </c>
      <c r="C5" s="1257">
        <v>17632</v>
      </c>
      <c r="D5" s="1258">
        <v>5509</v>
      </c>
      <c r="E5" s="1259">
        <f t="shared" ref="E5:E14" si="1">SUM(F5,G5)</f>
        <v>1760</v>
      </c>
      <c r="F5" s="1257">
        <v>1397</v>
      </c>
      <c r="G5" s="1257">
        <v>363</v>
      </c>
      <c r="H5" s="1257">
        <f t="shared" ref="H5:H14" si="2">SUM(I5:O5)</f>
        <v>1760</v>
      </c>
      <c r="I5" s="1257">
        <v>404</v>
      </c>
      <c r="J5" s="1257">
        <v>186</v>
      </c>
      <c r="K5" s="1257">
        <v>208</v>
      </c>
      <c r="L5" s="1257">
        <v>436</v>
      </c>
      <c r="M5" s="1257">
        <v>5</v>
      </c>
      <c r="N5" s="1257">
        <v>218</v>
      </c>
      <c r="O5" s="1258">
        <v>303</v>
      </c>
      <c r="P5" s="1260"/>
    </row>
    <row r="6" spans="1:19" ht="24.75" customHeight="1">
      <c r="A6" s="1256" t="s">
        <v>794</v>
      </c>
      <c r="B6" s="1257">
        <f t="shared" si="0"/>
        <v>21764</v>
      </c>
      <c r="C6" s="1257">
        <v>16097</v>
      </c>
      <c r="D6" s="1258">
        <v>5667</v>
      </c>
      <c r="E6" s="1261">
        <f t="shared" si="1"/>
        <v>1618</v>
      </c>
      <c r="F6" s="1257">
        <v>1283</v>
      </c>
      <c r="G6" s="1257">
        <v>335</v>
      </c>
      <c r="H6" s="1257">
        <f t="shared" si="2"/>
        <v>1618</v>
      </c>
      <c r="I6" s="1257">
        <v>212</v>
      </c>
      <c r="J6" s="1257">
        <v>126</v>
      </c>
      <c r="K6" s="1257">
        <v>247</v>
      </c>
      <c r="L6" s="1257">
        <v>470</v>
      </c>
      <c r="M6" s="1257">
        <v>6</v>
      </c>
      <c r="N6" s="1257">
        <v>238</v>
      </c>
      <c r="O6" s="1258">
        <v>319</v>
      </c>
      <c r="P6" s="1260"/>
    </row>
    <row r="7" spans="1:19" ht="24.75" customHeight="1">
      <c r="A7" s="1256" t="s">
        <v>795</v>
      </c>
      <c r="B7" s="1257">
        <f t="shared" si="0"/>
        <v>19906</v>
      </c>
      <c r="C7" s="1257">
        <v>15354</v>
      </c>
      <c r="D7" s="1258">
        <v>4552</v>
      </c>
      <c r="E7" s="1261">
        <f t="shared" si="1"/>
        <v>1366</v>
      </c>
      <c r="F7" s="1257">
        <v>1073</v>
      </c>
      <c r="G7" s="1257">
        <v>293</v>
      </c>
      <c r="H7" s="1257">
        <f t="shared" si="2"/>
        <v>1366</v>
      </c>
      <c r="I7" s="1257">
        <v>210</v>
      </c>
      <c r="J7" s="1257">
        <v>134</v>
      </c>
      <c r="K7" s="1257">
        <v>184</v>
      </c>
      <c r="L7" s="1257">
        <v>360</v>
      </c>
      <c r="M7" s="1257" t="s">
        <v>980</v>
      </c>
      <c r="N7" s="1257">
        <v>192</v>
      </c>
      <c r="O7" s="1258">
        <v>286</v>
      </c>
      <c r="P7" s="1260"/>
    </row>
    <row r="8" spans="1:19" ht="24.75" customHeight="1">
      <c r="A8" s="1256" t="s">
        <v>796</v>
      </c>
      <c r="B8" s="1257">
        <f t="shared" si="0"/>
        <v>18419</v>
      </c>
      <c r="C8" s="1257">
        <v>14137</v>
      </c>
      <c r="D8" s="1258">
        <v>4282</v>
      </c>
      <c r="E8" s="1261">
        <f t="shared" si="1"/>
        <v>1121</v>
      </c>
      <c r="F8" s="1257">
        <v>863</v>
      </c>
      <c r="G8" s="1257">
        <v>258</v>
      </c>
      <c r="H8" s="1257">
        <f t="shared" si="2"/>
        <v>1121</v>
      </c>
      <c r="I8" s="1257">
        <v>185</v>
      </c>
      <c r="J8" s="1257">
        <v>115</v>
      </c>
      <c r="K8" s="1257">
        <v>144</v>
      </c>
      <c r="L8" s="1257">
        <v>348</v>
      </c>
      <c r="M8" s="1257">
        <v>2</v>
      </c>
      <c r="N8" s="1257">
        <v>125</v>
      </c>
      <c r="O8" s="1258">
        <v>202</v>
      </c>
      <c r="P8" s="1260"/>
    </row>
    <row r="9" spans="1:19" ht="24.75" customHeight="1">
      <c r="A9" s="1256" t="s">
        <v>797</v>
      </c>
      <c r="B9" s="1257">
        <f t="shared" si="0"/>
        <v>19286</v>
      </c>
      <c r="C9" s="1257">
        <v>15171</v>
      </c>
      <c r="D9" s="1258">
        <v>4115</v>
      </c>
      <c r="E9" s="1261">
        <f t="shared" si="1"/>
        <v>1194</v>
      </c>
      <c r="F9" s="1257">
        <v>903</v>
      </c>
      <c r="G9" s="1257">
        <v>291</v>
      </c>
      <c r="H9" s="1257">
        <f t="shared" si="2"/>
        <v>1194</v>
      </c>
      <c r="I9" s="1257">
        <v>123</v>
      </c>
      <c r="J9" s="1257">
        <v>132</v>
      </c>
      <c r="K9" s="1257">
        <v>137</v>
      </c>
      <c r="L9" s="1257">
        <v>377</v>
      </c>
      <c r="M9" s="1257">
        <v>5</v>
      </c>
      <c r="N9" s="1257">
        <v>163</v>
      </c>
      <c r="O9" s="1258">
        <v>257</v>
      </c>
      <c r="P9" s="1260"/>
    </row>
    <row r="10" spans="1:19" ht="24.75" customHeight="1">
      <c r="A10" s="1256" t="s">
        <v>798</v>
      </c>
      <c r="B10" s="1257">
        <f t="shared" si="0"/>
        <v>21049</v>
      </c>
      <c r="C10" s="1257">
        <v>16891</v>
      </c>
      <c r="D10" s="1258">
        <v>4158</v>
      </c>
      <c r="E10" s="1261">
        <f t="shared" si="1"/>
        <v>1204</v>
      </c>
      <c r="F10" s="1257">
        <v>908</v>
      </c>
      <c r="G10" s="1257">
        <v>296</v>
      </c>
      <c r="H10" s="1257">
        <f t="shared" si="2"/>
        <v>1204</v>
      </c>
      <c r="I10" s="1257">
        <v>96</v>
      </c>
      <c r="J10" s="1257">
        <v>122</v>
      </c>
      <c r="K10" s="1257">
        <v>146</v>
      </c>
      <c r="L10" s="1257">
        <v>387</v>
      </c>
      <c r="M10" s="1257" t="s">
        <v>980</v>
      </c>
      <c r="N10" s="1257">
        <v>201</v>
      </c>
      <c r="O10" s="1258">
        <v>252</v>
      </c>
      <c r="P10" s="1260"/>
    </row>
    <row r="11" spans="1:19" ht="24.75" customHeight="1">
      <c r="A11" s="1256" t="s">
        <v>799</v>
      </c>
      <c r="B11" s="1257">
        <f t="shared" si="0"/>
        <v>18913</v>
      </c>
      <c r="C11" s="1257">
        <v>15296</v>
      </c>
      <c r="D11" s="1258">
        <v>3617</v>
      </c>
      <c r="E11" s="1261">
        <f t="shared" si="1"/>
        <v>1071</v>
      </c>
      <c r="F11" s="1257">
        <v>824</v>
      </c>
      <c r="G11" s="1257">
        <v>247</v>
      </c>
      <c r="H11" s="1257">
        <f t="shared" si="2"/>
        <v>1071</v>
      </c>
      <c r="I11" s="1257">
        <v>72</v>
      </c>
      <c r="J11" s="1257">
        <v>75</v>
      </c>
      <c r="K11" s="1257">
        <v>116</v>
      </c>
      <c r="L11" s="1257">
        <v>383</v>
      </c>
      <c r="M11" s="1257">
        <v>4</v>
      </c>
      <c r="N11" s="1257">
        <v>214</v>
      </c>
      <c r="O11" s="1258">
        <v>207</v>
      </c>
      <c r="P11" s="1260"/>
    </row>
    <row r="12" spans="1:19" ht="24.75" customHeight="1">
      <c r="A12" s="1256" t="s">
        <v>800</v>
      </c>
      <c r="B12" s="1257">
        <f t="shared" si="0"/>
        <v>19787</v>
      </c>
      <c r="C12" s="1257">
        <v>16522</v>
      </c>
      <c r="D12" s="1258">
        <v>3265</v>
      </c>
      <c r="E12" s="1261">
        <f t="shared" si="1"/>
        <v>934</v>
      </c>
      <c r="F12" s="1257">
        <v>737</v>
      </c>
      <c r="G12" s="1257">
        <v>197</v>
      </c>
      <c r="H12" s="1257">
        <f t="shared" si="2"/>
        <v>934</v>
      </c>
      <c r="I12" s="1257">
        <v>53</v>
      </c>
      <c r="J12" s="1257">
        <v>108</v>
      </c>
      <c r="K12" s="1257">
        <v>102</v>
      </c>
      <c r="L12" s="1257">
        <v>301</v>
      </c>
      <c r="M12" s="1257">
        <v>3</v>
      </c>
      <c r="N12" s="1257">
        <v>161</v>
      </c>
      <c r="O12" s="1258">
        <v>206</v>
      </c>
      <c r="P12" s="1260"/>
    </row>
    <row r="13" spans="1:19" ht="24.75" customHeight="1">
      <c r="A13" s="1256" t="s">
        <v>801</v>
      </c>
      <c r="B13" s="1257">
        <f t="shared" si="0"/>
        <v>19038</v>
      </c>
      <c r="C13" s="1257">
        <v>15423</v>
      </c>
      <c r="D13" s="1258">
        <v>3615</v>
      </c>
      <c r="E13" s="1261">
        <f t="shared" si="1"/>
        <v>847</v>
      </c>
      <c r="F13" s="1257">
        <v>674</v>
      </c>
      <c r="G13" s="1257">
        <v>173</v>
      </c>
      <c r="H13" s="1257">
        <f t="shared" si="2"/>
        <v>847</v>
      </c>
      <c r="I13" s="1257">
        <v>55</v>
      </c>
      <c r="J13" s="1257">
        <v>93</v>
      </c>
      <c r="K13" s="1257">
        <v>83</v>
      </c>
      <c r="L13" s="1257">
        <v>282</v>
      </c>
      <c r="M13" s="1257" t="s">
        <v>980</v>
      </c>
      <c r="N13" s="1257">
        <v>197</v>
      </c>
      <c r="O13" s="1258">
        <v>137</v>
      </c>
      <c r="P13" s="1260"/>
    </row>
    <row r="14" spans="1:19" ht="24.75" customHeight="1">
      <c r="A14" s="1262" t="s">
        <v>802</v>
      </c>
      <c r="B14" s="1263">
        <f t="shared" si="0"/>
        <v>19171</v>
      </c>
      <c r="C14" s="1263">
        <v>14873</v>
      </c>
      <c r="D14" s="1264">
        <v>4298</v>
      </c>
      <c r="E14" s="1265">
        <f t="shared" si="1"/>
        <v>690</v>
      </c>
      <c r="F14" s="1263">
        <v>530</v>
      </c>
      <c r="G14" s="1263">
        <v>160</v>
      </c>
      <c r="H14" s="1263">
        <f t="shared" si="2"/>
        <v>690</v>
      </c>
      <c r="I14" s="1263">
        <v>61</v>
      </c>
      <c r="J14" s="1263">
        <v>79</v>
      </c>
      <c r="K14" s="1263">
        <v>74</v>
      </c>
      <c r="L14" s="1263">
        <v>210</v>
      </c>
      <c r="M14" s="1263" t="s">
        <v>980</v>
      </c>
      <c r="N14" s="1263">
        <v>146</v>
      </c>
      <c r="O14" s="1264">
        <v>120</v>
      </c>
      <c r="P14" s="1260"/>
    </row>
    <row r="15" spans="1:19">
      <c r="A15" s="3327" t="s">
        <v>1538</v>
      </c>
      <c r="B15" s="3319"/>
      <c r="C15" s="3319"/>
    </row>
    <row r="16" spans="1:19">
      <c r="A16" s="3319" t="s">
        <v>1539</v>
      </c>
      <c r="B16" s="3319"/>
      <c r="C16" s="3319"/>
      <c r="D16" s="3319"/>
      <c r="E16" s="3319"/>
      <c r="F16" s="3319"/>
      <c r="G16" s="3319"/>
      <c r="H16" s="3319"/>
      <c r="I16" s="1266"/>
      <c r="J16" s="1266"/>
      <c r="K16" s="1266"/>
      <c r="L16" s="1266"/>
      <c r="M16" s="1266"/>
      <c r="N16" s="1266"/>
      <c r="O16" s="1266"/>
      <c r="P16" s="1266"/>
      <c r="Q16" s="1266"/>
      <c r="R16" s="1266"/>
      <c r="S16" s="1266"/>
    </row>
    <row r="17" spans="6:26">
      <c r="I17" s="1266"/>
      <c r="J17" s="1266"/>
      <c r="K17" s="1266"/>
      <c r="L17" s="1266"/>
      <c r="M17" s="1266"/>
      <c r="N17" s="1266"/>
      <c r="O17" s="1266"/>
      <c r="P17" s="1266"/>
      <c r="Q17" s="1266"/>
      <c r="R17" s="1266"/>
      <c r="S17" s="1266"/>
      <c r="T17" s="1266"/>
      <c r="U17" s="1266"/>
      <c r="V17" s="1266"/>
      <c r="W17" s="1266"/>
      <c r="X17" s="1266"/>
      <c r="Y17" s="1266"/>
      <c r="Z17" s="1266"/>
    </row>
    <row r="18" spans="6:26">
      <c r="F18" s="1260"/>
      <c r="G18" s="1260"/>
      <c r="I18" s="1266"/>
      <c r="J18" s="1266"/>
      <c r="K18" s="1266"/>
      <c r="L18" s="1266"/>
      <c r="M18" s="1266"/>
      <c r="N18" s="1266"/>
      <c r="O18" s="1266"/>
      <c r="P18" s="1266"/>
      <c r="Q18" s="1266"/>
      <c r="R18" s="1266"/>
      <c r="S18" s="1266"/>
      <c r="T18" s="1266"/>
      <c r="U18" s="1266"/>
      <c r="V18" s="1266"/>
      <c r="W18" s="1266"/>
      <c r="X18" s="1266"/>
      <c r="Y18" s="1266"/>
      <c r="Z18" s="1266"/>
    </row>
    <row r="19" spans="6:26">
      <c r="F19" s="1260"/>
      <c r="G19" s="1260"/>
      <c r="I19" s="1266"/>
      <c r="J19" s="1266"/>
      <c r="K19" s="1266"/>
      <c r="L19" s="1266"/>
      <c r="M19" s="1266"/>
      <c r="N19" s="1266"/>
      <c r="O19" s="1266"/>
      <c r="P19" s="1266"/>
      <c r="Q19" s="1266"/>
      <c r="R19" s="1266"/>
      <c r="S19" s="1266"/>
      <c r="T19" s="1266"/>
      <c r="U19" s="1266"/>
      <c r="V19" s="1266"/>
      <c r="W19" s="1266"/>
      <c r="X19" s="1266"/>
      <c r="Y19" s="1266"/>
      <c r="Z19" s="1266"/>
    </row>
    <row r="20" spans="6:26">
      <c r="F20" s="1260"/>
      <c r="G20" s="1260"/>
      <c r="I20" s="1266"/>
      <c r="J20" s="1266"/>
      <c r="K20" s="1266"/>
      <c r="L20" s="1266"/>
      <c r="M20" s="1266"/>
      <c r="N20" s="1266"/>
      <c r="O20" s="1266"/>
      <c r="P20" s="1266"/>
      <c r="Q20" s="1266"/>
      <c r="R20" s="1266"/>
      <c r="S20" s="1266"/>
      <c r="T20" s="1266"/>
      <c r="U20" s="1266"/>
      <c r="V20" s="1266"/>
      <c r="W20" s="1266"/>
      <c r="X20" s="1266"/>
      <c r="Y20" s="1266"/>
      <c r="Z20" s="1266"/>
    </row>
    <row r="21" spans="6:26">
      <c r="F21" s="1260"/>
      <c r="G21" s="1260"/>
      <c r="I21" s="1266"/>
      <c r="J21" s="1266"/>
      <c r="K21" s="1266"/>
      <c r="L21" s="1266"/>
      <c r="M21" s="1266"/>
      <c r="N21" s="1266"/>
      <c r="O21" s="1266"/>
      <c r="P21" s="1266"/>
      <c r="Q21" s="1266"/>
      <c r="R21" s="1266"/>
      <c r="S21" s="1266"/>
    </row>
    <row r="22" spans="6:26">
      <c r="F22" s="1260"/>
      <c r="G22" s="1260"/>
    </row>
    <row r="23" spans="6:26">
      <c r="F23" s="1260"/>
      <c r="G23" s="1260"/>
    </row>
    <row r="24" spans="6:26">
      <c r="F24" s="1260"/>
      <c r="G24" s="1260"/>
    </row>
    <row r="25" spans="6:26">
      <c r="F25" s="1260"/>
      <c r="G25" s="1260"/>
    </row>
    <row r="26" spans="6:26">
      <c r="F26" s="1260"/>
      <c r="G26" s="1260"/>
    </row>
    <row r="27" spans="6:26">
      <c r="F27" s="1260"/>
      <c r="G27" s="1260"/>
    </row>
  </sheetData>
  <mergeCells count="7">
    <mergeCell ref="A16:H16"/>
    <mergeCell ref="A1:O1"/>
    <mergeCell ref="A3:A4"/>
    <mergeCell ref="B3:D3"/>
    <mergeCell ref="E3:G3"/>
    <mergeCell ref="H3:O3"/>
    <mergeCell ref="A15:C15"/>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72" orientation="landscape" r:id="rId1"/>
  <headerFooter differentOddEven="1" scaleWithDoc="0">
    <oddHeader>&amp;L&amp;"Times New Roman,標準"&amp;8 107&amp;"標楷體,標準"年犯罪狀況及其分析</oddHeader>
    <evenHeader>&amp;R&amp;"標楷體,標準"&amp;8第二篇　犯罪之處理</evenHead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M20"/>
  <sheetViews>
    <sheetView showGridLines="0" workbookViewId="0">
      <selection activeCell="B16" sqref="B16"/>
    </sheetView>
  </sheetViews>
  <sheetFormatPr defaultColWidth="10" defaultRowHeight="18.75"/>
  <cols>
    <col min="1" max="1" width="14.25" style="1292" customWidth="1"/>
    <col min="2" max="2" width="11.75" style="1293" customWidth="1"/>
    <col min="3" max="3" width="11.125" style="1293" customWidth="1"/>
    <col min="4" max="4" width="10.875" style="1293" customWidth="1"/>
    <col min="5" max="5" width="11.125" style="1293" customWidth="1"/>
    <col min="6" max="6" width="10.75" style="1293" customWidth="1"/>
    <col min="7" max="7" width="10.875" style="1293" customWidth="1"/>
    <col min="8" max="8" width="9.75" style="1293" customWidth="1"/>
    <col min="9" max="9" width="10.125" style="1293" customWidth="1"/>
    <col min="10" max="10" width="10.5" style="1293" customWidth="1"/>
    <col min="11" max="11" width="10.75" style="1293" customWidth="1"/>
    <col min="12" max="12" width="9.625" style="1293" customWidth="1"/>
    <col min="13" max="13" width="3.375" style="1268" customWidth="1"/>
    <col min="14" max="16384" width="10" style="1268"/>
  </cols>
  <sheetData>
    <row r="1" spans="1:13" ht="20.25">
      <c r="A1" s="3328" t="s">
        <v>1540</v>
      </c>
      <c r="B1" s="3328"/>
      <c r="C1" s="3328"/>
      <c r="D1" s="3328"/>
      <c r="E1" s="3328"/>
      <c r="F1" s="3328"/>
      <c r="G1" s="3328"/>
      <c r="H1" s="3328"/>
      <c r="I1" s="3328"/>
      <c r="J1" s="3328"/>
      <c r="K1" s="3328"/>
      <c r="L1" s="3328"/>
    </row>
    <row r="2" spans="1:13" s="1273" customFormat="1" ht="18" customHeight="1">
      <c r="A2" s="1269"/>
      <c r="B2" s="1270"/>
      <c r="C2" s="1270"/>
      <c r="D2" s="1270"/>
      <c r="E2" s="1270"/>
      <c r="F2" s="1270"/>
      <c r="G2" s="1270"/>
      <c r="H2" s="1271"/>
      <c r="I2" s="1271"/>
      <c r="J2" s="1270"/>
      <c r="K2" s="1270"/>
      <c r="L2" s="1272" t="s">
        <v>1541</v>
      </c>
    </row>
    <row r="3" spans="1:13" ht="36" customHeight="1">
      <c r="A3" s="3329"/>
      <c r="B3" s="3332" t="s">
        <v>1542</v>
      </c>
      <c r="C3" s="1274" t="s">
        <v>1543</v>
      </c>
      <c r="D3" s="1274"/>
      <c r="E3" s="1274"/>
      <c r="F3" s="1274"/>
      <c r="G3" s="1275"/>
      <c r="H3" s="3335" t="s">
        <v>1544</v>
      </c>
      <c r="I3" s="3338" t="s">
        <v>1545</v>
      </c>
      <c r="J3" s="3338" t="s">
        <v>1546</v>
      </c>
      <c r="K3" s="3338" t="s">
        <v>1547</v>
      </c>
      <c r="L3" s="3341" t="s">
        <v>1548</v>
      </c>
    </row>
    <row r="4" spans="1:13" ht="36" customHeight="1">
      <c r="A4" s="3330"/>
      <c r="B4" s="3333"/>
      <c r="C4" s="3338" t="s">
        <v>1549</v>
      </c>
      <c r="D4" s="3344" t="s">
        <v>1550</v>
      </c>
      <c r="E4" s="3344" t="s">
        <v>1551</v>
      </c>
      <c r="F4" s="3338" t="s">
        <v>1552</v>
      </c>
      <c r="G4" s="3338" t="s">
        <v>1553</v>
      </c>
      <c r="H4" s="3336"/>
      <c r="I4" s="3339"/>
      <c r="J4" s="3339"/>
      <c r="K4" s="3339"/>
      <c r="L4" s="3342"/>
    </row>
    <row r="5" spans="1:13" ht="47.25" customHeight="1">
      <c r="A5" s="3331"/>
      <c r="B5" s="3334"/>
      <c r="C5" s="3340"/>
      <c r="D5" s="3340"/>
      <c r="E5" s="3340"/>
      <c r="F5" s="3340"/>
      <c r="G5" s="3340"/>
      <c r="H5" s="3337"/>
      <c r="I5" s="3340"/>
      <c r="J5" s="3340"/>
      <c r="K5" s="3340"/>
      <c r="L5" s="3343"/>
    </row>
    <row r="6" spans="1:13" ht="32.25" customHeight="1">
      <c r="A6" s="1276" t="s">
        <v>1515</v>
      </c>
      <c r="B6" s="1277">
        <f t="shared" ref="B6:B15" si="0">SUM(C6:L6)</f>
        <v>203489</v>
      </c>
      <c r="C6" s="1278">
        <v>4</v>
      </c>
      <c r="D6" s="1278">
        <v>61</v>
      </c>
      <c r="E6" s="1278">
        <v>117622</v>
      </c>
      <c r="F6" s="1279">
        <v>39580</v>
      </c>
      <c r="G6" s="1278">
        <v>22748</v>
      </c>
      <c r="H6" s="1278">
        <v>66</v>
      </c>
      <c r="I6" s="1278">
        <v>8373</v>
      </c>
      <c r="J6" s="1278">
        <v>1136</v>
      </c>
      <c r="K6" s="1279">
        <v>13681</v>
      </c>
      <c r="L6" s="1279">
        <v>218</v>
      </c>
      <c r="M6" s="1280"/>
    </row>
    <row r="7" spans="1:13" ht="32.25" customHeight="1">
      <c r="A7" s="1276" t="s">
        <v>1554</v>
      </c>
      <c r="B7" s="1281">
        <f t="shared" si="0"/>
        <v>198336</v>
      </c>
      <c r="C7" s="1278">
        <v>5</v>
      </c>
      <c r="D7" s="1278">
        <v>45</v>
      </c>
      <c r="E7" s="1278">
        <v>117843</v>
      </c>
      <c r="F7" s="1279">
        <v>35483</v>
      </c>
      <c r="G7" s="1278">
        <v>21867</v>
      </c>
      <c r="H7" s="1278">
        <v>57</v>
      </c>
      <c r="I7" s="1278">
        <v>7127</v>
      </c>
      <c r="J7" s="1278">
        <v>943</v>
      </c>
      <c r="K7" s="1279">
        <v>14766</v>
      </c>
      <c r="L7" s="1279">
        <v>200</v>
      </c>
      <c r="M7" s="1280"/>
    </row>
    <row r="8" spans="1:13" ht="32.25" customHeight="1">
      <c r="A8" s="1276" t="s">
        <v>1555</v>
      </c>
      <c r="B8" s="1281">
        <f t="shared" si="0"/>
        <v>197202</v>
      </c>
      <c r="C8" s="1278">
        <v>1</v>
      </c>
      <c r="D8" s="1278">
        <v>54</v>
      </c>
      <c r="E8" s="1278">
        <v>117212</v>
      </c>
      <c r="F8" s="1279">
        <v>34773</v>
      </c>
      <c r="G8" s="1278">
        <v>21757</v>
      </c>
      <c r="H8" s="1278">
        <v>67</v>
      </c>
      <c r="I8" s="1278">
        <v>7366</v>
      </c>
      <c r="J8" s="1278">
        <v>767</v>
      </c>
      <c r="K8" s="1279">
        <v>15000</v>
      </c>
      <c r="L8" s="1279">
        <v>205</v>
      </c>
      <c r="M8" s="1280"/>
    </row>
    <row r="9" spans="1:13" ht="32.25" customHeight="1">
      <c r="A9" s="1276" t="s">
        <v>1556</v>
      </c>
      <c r="B9" s="1281">
        <f t="shared" si="0"/>
        <v>190469</v>
      </c>
      <c r="C9" s="1278">
        <v>11</v>
      </c>
      <c r="D9" s="1278">
        <v>48</v>
      </c>
      <c r="E9" s="1278">
        <v>122106</v>
      </c>
      <c r="F9" s="1279">
        <v>28862</v>
      </c>
      <c r="G9" s="1278">
        <v>17517</v>
      </c>
      <c r="H9" s="1278">
        <v>51</v>
      </c>
      <c r="I9" s="1278">
        <v>6481</v>
      </c>
      <c r="J9" s="1278">
        <v>700</v>
      </c>
      <c r="K9" s="1279">
        <v>14454</v>
      </c>
      <c r="L9" s="1279">
        <v>239</v>
      </c>
      <c r="M9" s="1280"/>
    </row>
    <row r="10" spans="1:13" ht="32.25" customHeight="1">
      <c r="A10" s="1276" t="s">
        <v>1557</v>
      </c>
      <c r="B10" s="1281">
        <f t="shared" si="0"/>
        <v>211166</v>
      </c>
      <c r="C10" s="1278">
        <v>5</v>
      </c>
      <c r="D10" s="1278">
        <v>31</v>
      </c>
      <c r="E10" s="1278">
        <v>156721</v>
      </c>
      <c r="F10" s="1279">
        <v>22446</v>
      </c>
      <c r="G10" s="1278">
        <v>9269</v>
      </c>
      <c r="H10" s="1278">
        <v>85</v>
      </c>
      <c r="I10" s="1278">
        <v>6357</v>
      </c>
      <c r="J10" s="1278">
        <v>703</v>
      </c>
      <c r="K10" s="1279">
        <v>15264</v>
      </c>
      <c r="L10" s="1279">
        <v>285</v>
      </c>
      <c r="M10" s="1280"/>
    </row>
    <row r="11" spans="1:13" ht="32.25" customHeight="1">
      <c r="A11" s="1276" t="s">
        <v>1558</v>
      </c>
      <c r="B11" s="1281">
        <f t="shared" si="0"/>
        <v>208576</v>
      </c>
      <c r="C11" s="1278">
        <v>6</v>
      </c>
      <c r="D11" s="1278">
        <v>39</v>
      </c>
      <c r="E11" s="1278">
        <v>154075</v>
      </c>
      <c r="F11" s="1279">
        <v>22483</v>
      </c>
      <c r="G11" s="1278">
        <v>8347</v>
      </c>
      <c r="H11" s="1278">
        <v>103</v>
      </c>
      <c r="I11" s="1278">
        <v>6590</v>
      </c>
      <c r="J11" s="1278">
        <v>712</v>
      </c>
      <c r="K11" s="1279">
        <v>15962</v>
      </c>
      <c r="L11" s="1279">
        <v>259</v>
      </c>
      <c r="M11" s="1280"/>
    </row>
    <row r="12" spans="1:13" ht="32.25" customHeight="1">
      <c r="A12" s="1276" t="s">
        <v>1559</v>
      </c>
      <c r="B12" s="1281">
        <f t="shared" si="0"/>
        <v>204062</v>
      </c>
      <c r="C12" s="1278">
        <v>1</v>
      </c>
      <c r="D12" s="1278">
        <v>24</v>
      </c>
      <c r="E12" s="1278">
        <v>150115</v>
      </c>
      <c r="F12" s="1279">
        <v>22742</v>
      </c>
      <c r="G12" s="1278">
        <v>8157</v>
      </c>
      <c r="H12" s="1278">
        <v>93</v>
      </c>
      <c r="I12" s="1278">
        <v>6143</v>
      </c>
      <c r="J12" s="1278">
        <v>650</v>
      </c>
      <c r="K12" s="1279">
        <v>15891</v>
      </c>
      <c r="L12" s="1279">
        <v>246</v>
      </c>
      <c r="M12" s="1280"/>
    </row>
    <row r="13" spans="1:13" ht="32.25" customHeight="1">
      <c r="A13" s="1276" t="s">
        <v>1560</v>
      </c>
      <c r="B13" s="1281">
        <f t="shared" si="0"/>
        <v>217372</v>
      </c>
      <c r="C13" s="1278" t="s">
        <v>980</v>
      </c>
      <c r="D13" s="1278">
        <v>22</v>
      </c>
      <c r="E13" s="1278">
        <v>157180</v>
      </c>
      <c r="F13" s="1279">
        <v>27174</v>
      </c>
      <c r="G13" s="1278">
        <v>8075</v>
      </c>
      <c r="H13" s="1278">
        <v>88</v>
      </c>
      <c r="I13" s="1278">
        <v>6525</v>
      </c>
      <c r="J13" s="1278">
        <v>710</v>
      </c>
      <c r="K13" s="1279">
        <v>17303</v>
      </c>
      <c r="L13" s="1279">
        <v>295</v>
      </c>
      <c r="M13" s="1280"/>
    </row>
    <row r="14" spans="1:13" ht="32.25" customHeight="1">
      <c r="A14" s="1276" t="s">
        <v>1561</v>
      </c>
      <c r="B14" s="1281">
        <f t="shared" si="0"/>
        <v>218162</v>
      </c>
      <c r="C14" s="1278">
        <v>1</v>
      </c>
      <c r="D14" s="1278">
        <v>22</v>
      </c>
      <c r="E14" s="1278">
        <v>155311</v>
      </c>
      <c r="F14" s="1279">
        <v>28888</v>
      </c>
      <c r="G14" s="1278">
        <v>8213</v>
      </c>
      <c r="H14" s="1278">
        <v>120</v>
      </c>
      <c r="I14" s="1278">
        <v>6645</v>
      </c>
      <c r="J14" s="1278">
        <v>706</v>
      </c>
      <c r="K14" s="1279">
        <v>17816</v>
      </c>
      <c r="L14" s="1279">
        <v>440</v>
      </c>
      <c r="M14" s="1280"/>
    </row>
    <row r="15" spans="1:13" ht="32.25" customHeight="1">
      <c r="A15" s="1276" t="s">
        <v>1562</v>
      </c>
      <c r="B15" s="1281">
        <f t="shared" si="0"/>
        <v>209103</v>
      </c>
      <c r="C15" s="1282" t="s">
        <v>1563</v>
      </c>
      <c r="D15" s="1282">
        <v>25</v>
      </c>
      <c r="E15" s="1282">
        <v>144862</v>
      </c>
      <c r="F15" s="1283">
        <v>29863</v>
      </c>
      <c r="G15" s="1282">
        <v>8264</v>
      </c>
      <c r="H15" s="1282">
        <v>145</v>
      </c>
      <c r="I15" s="1282">
        <v>6706</v>
      </c>
      <c r="J15" s="1282">
        <v>678</v>
      </c>
      <c r="K15" s="1283">
        <v>18267</v>
      </c>
      <c r="L15" s="1283">
        <v>293</v>
      </c>
      <c r="M15" s="1280"/>
    </row>
    <row r="16" spans="1:13" ht="27.75" hidden="1" customHeight="1">
      <c r="A16" s="1284"/>
      <c r="B16" s="1285"/>
      <c r="C16" s="1286"/>
      <c r="D16" s="1287"/>
      <c r="E16" s="1288"/>
      <c r="F16" s="1287"/>
      <c r="G16" s="1287"/>
      <c r="H16" s="1287"/>
      <c r="I16" s="1287"/>
      <c r="J16" s="1287"/>
      <c r="K16" s="1287"/>
      <c r="L16" s="1289"/>
    </row>
    <row r="17" spans="1:12" s="1291" customFormat="1" ht="14.25">
      <c r="A17" s="3346" t="s">
        <v>1564</v>
      </c>
      <c r="B17" s="3346"/>
      <c r="C17" s="1290"/>
      <c r="D17" s="1290"/>
      <c r="E17" s="1290"/>
      <c r="F17" s="1290"/>
      <c r="G17" s="1290"/>
      <c r="H17" s="1290"/>
      <c r="I17" s="1290"/>
      <c r="J17" s="1290"/>
      <c r="K17" s="1290"/>
      <c r="L17" s="1290"/>
    </row>
    <row r="18" spans="1:12" s="1291" customFormat="1" ht="12.75">
      <c r="A18" s="3345" t="s">
        <v>1565</v>
      </c>
      <c r="B18" s="3345"/>
      <c r="C18" s="3345"/>
      <c r="D18" s="3345"/>
      <c r="E18" s="3345"/>
      <c r="F18" s="3345"/>
      <c r="G18" s="3345"/>
      <c r="H18" s="3345"/>
      <c r="I18" s="3345"/>
      <c r="J18" s="3345"/>
      <c r="K18" s="3345"/>
      <c r="L18" s="3345"/>
    </row>
    <row r="19" spans="1:12" s="1291" customFormat="1" ht="12.75">
      <c r="A19" s="3345" t="s">
        <v>1566</v>
      </c>
      <c r="B19" s="3345"/>
      <c r="C19" s="3345"/>
      <c r="D19" s="3345"/>
      <c r="E19" s="3345"/>
      <c r="F19" s="3345"/>
      <c r="G19" s="3345"/>
      <c r="H19" s="3345"/>
      <c r="I19" s="3345"/>
      <c r="J19" s="3345"/>
      <c r="K19" s="3345"/>
      <c r="L19" s="3345"/>
    </row>
    <row r="20" spans="1:12" s="1291" customFormat="1" ht="15.75" customHeight="1">
      <c r="A20" s="3345" t="s">
        <v>1567</v>
      </c>
      <c r="B20" s="3345"/>
      <c r="C20" s="3345"/>
      <c r="D20" s="3345"/>
      <c r="E20" s="3345"/>
      <c r="F20" s="3345"/>
      <c r="G20" s="3345"/>
      <c r="H20" s="3345"/>
      <c r="I20" s="3345"/>
      <c r="J20" s="3345"/>
      <c r="K20" s="3345"/>
      <c r="L20" s="3345"/>
    </row>
  </sheetData>
  <mergeCells count="17">
    <mergeCell ref="A20:L20"/>
    <mergeCell ref="E4:E5"/>
    <mergeCell ref="F4:F5"/>
    <mergeCell ref="G4:G5"/>
    <mergeCell ref="A17:B17"/>
    <mergeCell ref="A18:L18"/>
    <mergeCell ref="A19:L19"/>
    <mergeCell ref="A1:L1"/>
    <mergeCell ref="A3:A5"/>
    <mergeCell ref="B3:B5"/>
    <mergeCell ref="H3:H5"/>
    <mergeCell ref="I3:I5"/>
    <mergeCell ref="J3:J5"/>
    <mergeCell ref="K3:K5"/>
    <mergeCell ref="L3:L5"/>
    <mergeCell ref="C4:C5"/>
    <mergeCell ref="D4:D5"/>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1"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I17"/>
  <sheetViews>
    <sheetView showGridLines="0" workbookViewId="0">
      <selection activeCell="B16" sqref="B16"/>
    </sheetView>
  </sheetViews>
  <sheetFormatPr defaultColWidth="9" defaultRowHeight="15.75"/>
  <cols>
    <col min="1" max="1" width="12.75" style="1299" customWidth="1"/>
    <col min="2" max="8" width="12.625" style="1299" customWidth="1"/>
    <col min="9" max="16384" width="9" style="1299"/>
  </cols>
  <sheetData>
    <row r="1" spans="1:9" s="1294" customFormat="1" ht="20.25">
      <c r="A1" s="3347" t="s">
        <v>1568</v>
      </c>
      <c r="B1" s="3347"/>
      <c r="C1" s="3347"/>
      <c r="D1" s="3347"/>
      <c r="E1" s="3347"/>
      <c r="F1" s="3347"/>
      <c r="G1" s="3347"/>
      <c r="H1" s="3347"/>
    </row>
    <row r="2" spans="1:9" s="1298" customFormat="1">
      <c r="A2" s="1295"/>
      <c r="B2" s="1295"/>
      <c r="C2" s="1295"/>
      <c r="D2" s="1295"/>
      <c r="E2" s="1295"/>
      <c r="F2" s="1295"/>
      <c r="G2" s="1295"/>
      <c r="H2" s="1296" t="s">
        <v>1522</v>
      </c>
      <c r="I2" s="1297"/>
    </row>
    <row r="3" spans="1:9" ht="34.9" customHeight="1">
      <c r="A3" s="3348"/>
      <c r="B3" s="3351" t="s">
        <v>1569</v>
      </c>
      <c r="C3" s="3354" t="s">
        <v>1570</v>
      </c>
      <c r="D3" s="3357" t="s">
        <v>1571</v>
      </c>
      <c r="E3" s="3357" t="s">
        <v>1572</v>
      </c>
      <c r="F3" s="3360" t="s">
        <v>1573</v>
      </c>
      <c r="G3" s="3357" t="s">
        <v>1574</v>
      </c>
      <c r="H3" s="3363" t="s">
        <v>1575</v>
      </c>
    </row>
    <row r="4" spans="1:9" ht="34.9" customHeight="1">
      <c r="A4" s="3349"/>
      <c r="B4" s="3352"/>
      <c r="C4" s="3355"/>
      <c r="D4" s="3358"/>
      <c r="E4" s="3358"/>
      <c r="F4" s="3361"/>
      <c r="G4" s="3358"/>
      <c r="H4" s="3364"/>
    </row>
    <row r="5" spans="1:9" ht="71.25" customHeight="1">
      <c r="A5" s="3350"/>
      <c r="B5" s="3353"/>
      <c r="C5" s="3356"/>
      <c r="D5" s="3359"/>
      <c r="E5" s="3359"/>
      <c r="F5" s="3362"/>
      <c r="G5" s="3359"/>
      <c r="H5" s="3365"/>
    </row>
    <row r="6" spans="1:9" ht="24.75" customHeight="1">
      <c r="A6" s="1300" t="s">
        <v>1515</v>
      </c>
      <c r="B6" s="1301">
        <f t="shared" ref="B6:B12" si="0">SUM(C6:H6)</f>
        <v>4</v>
      </c>
      <c r="C6" s="1302" t="s">
        <v>1</v>
      </c>
      <c r="D6" s="1302">
        <v>2</v>
      </c>
      <c r="E6" s="1302" t="s">
        <v>1</v>
      </c>
      <c r="F6" s="1302">
        <v>2</v>
      </c>
      <c r="G6" s="1302" t="s">
        <v>1</v>
      </c>
      <c r="H6" s="1303" t="s">
        <v>1</v>
      </c>
    </row>
    <row r="7" spans="1:9" ht="24.75" customHeight="1">
      <c r="A7" s="1300" t="s">
        <v>1576</v>
      </c>
      <c r="B7" s="1301">
        <f t="shared" si="0"/>
        <v>5</v>
      </c>
      <c r="C7" s="1302" t="s">
        <v>1</v>
      </c>
      <c r="D7" s="1302">
        <v>1</v>
      </c>
      <c r="E7" s="1302">
        <v>4</v>
      </c>
      <c r="F7" s="1302" t="s">
        <v>1</v>
      </c>
      <c r="G7" s="1302" t="s">
        <v>1</v>
      </c>
      <c r="H7" s="1303" t="s">
        <v>1</v>
      </c>
    </row>
    <row r="8" spans="1:9" ht="24.75" customHeight="1">
      <c r="A8" s="1300" t="s">
        <v>1577</v>
      </c>
      <c r="B8" s="1301">
        <f t="shared" si="0"/>
        <v>6</v>
      </c>
      <c r="C8" s="1302">
        <v>2</v>
      </c>
      <c r="D8" s="1302">
        <v>4</v>
      </c>
      <c r="E8" s="1302" t="s">
        <v>1</v>
      </c>
      <c r="F8" s="1302" t="s">
        <v>1</v>
      </c>
      <c r="G8" s="1302" t="s">
        <v>1</v>
      </c>
      <c r="H8" s="1303" t="s">
        <v>1</v>
      </c>
    </row>
    <row r="9" spans="1:9" ht="24.75" customHeight="1">
      <c r="A9" s="1300" t="s">
        <v>1578</v>
      </c>
      <c r="B9" s="1301">
        <f t="shared" si="0"/>
        <v>6</v>
      </c>
      <c r="C9" s="1302" t="s">
        <v>1</v>
      </c>
      <c r="D9" s="1302">
        <v>4</v>
      </c>
      <c r="E9" s="1302">
        <v>2</v>
      </c>
      <c r="F9" s="1302" t="s">
        <v>1</v>
      </c>
      <c r="G9" s="1302" t="s">
        <v>1</v>
      </c>
      <c r="H9" s="1303" t="s">
        <v>1</v>
      </c>
    </row>
    <row r="10" spans="1:9" ht="24.75" customHeight="1">
      <c r="A10" s="1300" t="s">
        <v>1579</v>
      </c>
      <c r="B10" s="1301">
        <f t="shared" si="0"/>
        <v>5</v>
      </c>
      <c r="C10" s="1302">
        <v>1</v>
      </c>
      <c r="D10" s="1302">
        <v>1</v>
      </c>
      <c r="E10" s="1302">
        <v>3</v>
      </c>
      <c r="F10" s="1302" t="s">
        <v>1</v>
      </c>
      <c r="G10" s="1302" t="s">
        <v>1</v>
      </c>
      <c r="H10" s="1303" t="s">
        <v>1</v>
      </c>
    </row>
    <row r="11" spans="1:9" ht="24.75" customHeight="1">
      <c r="A11" s="1300" t="s">
        <v>1580</v>
      </c>
      <c r="B11" s="1301">
        <f t="shared" si="0"/>
        <v>6</v>
      </c>
      <c r="C11" s="1302">
        <v>1</v>
      </c>
      <c r="D11" s="1302">
        <v>4</v>
      </c>
      <c r="E11" s="1302">
        <v>1</v>
      </c>
      <c r="F11" s="1302" t="s">
        <v>1</v>
      </c>
      <c r="G11" s="1302" t="s">
        <v>1</v>
      </c>
      <c r="H11" s="1303" t="s">
        <v>1</v>
      </c>
    </row>
    <row r="12" spans="1:9" ht="24.75" customHeight="1">
      <c r="A12" s="1300" t="s">
        <v>1581</v>
      </c>
      <c r="B12" s="1301">
        <f t="shared" si="0"/>
        <v>1</v>
      </c>
      <c r="C12" s="1302" t="s">
        <v>1</v>
      </c>
      <c r="D12" s="1302">
        <v>1</v>
      </c>
      <c r="E12" s="1302" t="s">
        <v>1</v>
      </c>
      <c r="F12" s="1302" t="s">
        <v>1</v>
      </c>
      <c r="G12" s="1302" t="s">
        <v>1</v>
      </c>
      <c r="H12" s="1303" t="s">
        <v>1</v>
      </c>
    </row>
    <row r="13" spans="1:9" ht="24.75" customHeight="1">
      <c r="A13" s="1300" t="s">
        <v>1582</v>
      </c>
      <c r="B13" s="1301" t="s">
        <v>1583</v>
      </c>
      <c r="C13" s="1302" t="s">
        <v>1</v>
      </c>
      <c r="D13" s="1302" t="s">
        <v>1</v>
      </c>
      <c r="E13" s="1302" t="s">
        <v>1</v>
      </c>
      <c r="F13" s="1302" t="s">
        <v>1</v>
      </c>
      <c r="G13" s="1302" t="s">
        <v>1</v>
      </c>
      <c r="H13" s="1303" t="s">
        <v>1</v>
      </c>
    </row>
    <row r="14" spans="1:9" ht="24.75" customHeight="1">
      <c r="A14" s="1300" t="s">
        <v>1584</v>
      </c>
      <c r="B14" s="1301">
        <f>SUM(C14:H14)</f>
        <v>1</v>
      </c>
      <c r="C14" s="1302" t="s">
        <v>1</v>
      </c>
      <c r="D14" s="1302">
        <v>1</v>
      </c>
      <c r="E14" s="1302" t="s">
        <v>1</v>
      </c>
      <c r="F14" s="1302" t="s">
        <v>1</v>
      </c>
      <c r="G14" s="1302" t="s">
        <v>1</v>
      </c>
      <c r="H14" s="1303" t="s">
        <v>1</v>
      </c>
    </row>
    <row r="15" spans="1:9" ht="24.75" customHeight="1">
      <c r="A15" s="1304" t="s">
        <v>1585</v>
      </c>
      <c r="B15" s="1305" t="s">
        <v>1586</v>
      </c>
      <c r="C15" s="1306" t="s">
        <v>1</v>
      </c>
      <c r="D15" s="1306" t="s">
        <v>1</v>
      </c>
      <c r="E15" s="1306" t="s">
        <v>1</v>
      </c>
      <c r="F15" s="1306" t="s">
        <v>1</v>
      </c>
      <c r="G15" s="1306" t="s">
        <v>1</v>
      </c>
      <c r="H15" s="1307" t="s">
        <v>1</v>
      </c>
    </row>
    <row r="16" spans="1:9" ht="15" customHeight="1">
      <c r="A16" s="1308" t="s">
        <v>846</v>
      </c>
    </row>
    <row r="17" spans="1:1">
      <c r="A17" s="1308" t="s">
        <v>1587</v>
      </c>
    </row>
  </sheetData>
  <mergeCells count="9">
    <mergeCell ref="A1:H1"/>
    <mergeCell ref="A3:A5"/>
    <mergeCell ref="B3:B5"/>
    <mergeCell ref="C3:C5"/>
    <mergeCell ref="D3:D5"/>
    <mergeCell ref="E3:E5"/>
    <mergeCell ref="F3:F5"/>
    <mergeCell ref="G3:G5"/>
    <mergeCell ref="H3:H5"/>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70"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P37"/>
  <sheetViews>
    <sheetView showGridLines="0" zoomScale="60" zoomScaleNormal="60" workbookViewId="0">
      <pane xSplit="1" topLeftCell="B1" activePane="topRight" state="frozen"/>
      <selection activeCell="T16" sqref="T16"/>
      <selection pane="topRight" activeCell="A24" sqref="A24"/>
    </sheetView>
  </sheetViews>
  <sheetFormatPr defaultColWidth="9" defaultRowHeight="15"/>
  <cols>
    <col min="1" max="1" width="24.375" style="6" customWidth="1"/>
    <col min="2" max="16" width="17.625" style="6" customWidth="1"/>
    <col min="17" max="16384" width="9" style="6"/>
  </cols>
  <sheetData>
    <row r="1" spans="1:16" s="1" customFormat="1" ht="35.1" customHeight="1">
      <c r="A1" s="2856" t="s">
        <v>234</v>
      </c>
      <c r="B1" s="2856"/>
      <c r="C1" s="2856"/>
      <c r="D1" s="2856"/>
      <c r="E1" s="2856"/>
      <c r="F1" s="2856"/>
      <c r="G1" s="2856"/>
      <c r="H1" s="2856"/>
      <c r="I1" s="2856"/>
      <c r="J1" s="2856"/>
      <c r="K1" s="2856"/>
      <c r="L1" s="2856"/>
      <c r="M1" s="2856"/>
      <c r="N1" s="2856"/>
      <c r="O1" s="2856"/>
      <c r="P1" s="2856"/>
    </row>
    <row r="2" spans="1:16" s="1" customFormat="1" ht="19.5">
      <c r="A2" s="218"/>
      <c r="B2" s="308"/>
      <c r="C2" s="308"/>
      <c r="D2" s="308"/>
      <c r="E2" s="308"/>
      <c r="F2" s="308"/>
      <c r="G2" s="308"/>
      <c r="H2" s="219"/>
      <c r="I2" s="219"/>
      <c r="J2" s="219"/>
      <c r="K2" s="219"/>
      <c r="L2" s="219"/>
      <c r="N2" s="219"/>
      <c r="O2" s="2857" t="s">
        <v>235</v>
      </c>
      <c r="P2" s="2857"/>
    </row>
    <row r="3" spans="1:16" s="1" customFormat="1" ht="30" customHeight="1">
      <c r="A3" s="2862"/>
      <c r="B3" s="2858" t="s">
        <v>236</v>
      </c>
      <c r="C3" s="2859"/>
      <c r="D3" s="2861"/>
      <c r="E3" s="2858" t="s">
        <v>237</v>
      </c>
      <c r="F3" s="2859"/>
      <c r="G3" s="2861"/>
      <c r="H3" s="2858" t="s">
        <v>238</v>
      </c>
      <c r="I3" s="2859"/>
      <c r="J3" s="2861"/>
      <c r="K3" s="2858" t="s">
        <v>239</v>
      </c>
      <c r="L3" s="2859"/>
      <c r="M3" s="2861"/>
      <c r="N3" s="2858" t="s">
        <v>240</v>
      </c>
      <c r="O3" s="2859"/>
      <c r="P3" s="2859"/>
    </row>
    <row r="4" spans="1:16" s="1" customFormat="1" ht="30" customHeight="1">
      <c r="A4" s="2863"/>
      <c r="B4" s="221" t="s">
        <v>241</v>
      </c>
      <c r="C4" s="221" t="s">
        <v>242</v>
      </c>
      <c r="D4" s="306" t="s">
        <v>243</v>
      </c>
      <c r="E4" s="221" t="s">
        <v>241</v>
      </c>
      <c r="F4" s="221" t="s">
        <v>242</v>
      </c>
      <c r="G4" s="306" t="s">
        <v>243</v>
      </c>
      <c r="H4" s="221" t="s">
        <v>241</v>
      </c>
      <c r="I4" s="221" t="s">
        <v>242</v>
      </c>
      <c r="J4" s="222" t="s">
        <v>243</v>
      </c>
      <c r="K4" s="221" t="s">
        <v>241</v>
      </c>
      <c r="L4" s="221" t="s">
        <v>242</v>
      </c>
      <c r="M4" s="306" t="s">
        <v>243</v>
      </c>
      <c r="N4" s="221" t="s">
        <v>241</v>
      </c>
      <c r="O4" s="221" t="s">
        <v>242</v>
      </c>
      <c r="P4" s="306" t="s">
        <v>243</v>
      </c>
    </row>
    <row r="5" spans="1:16" s="1" customFormat="1" ht="30" customHeight="1">
      <c r="A5" s="330" t="s">
        <v>244</v>
      </c>
      <c r="B5" s="224">
        <v>184250</v>
      </c>
      <c r="C5" s="224">
        <v>152038</v>
      </c>
      <c r="D5" s="224">
        <v>32212</v>
      </c>
      <c r="E5" s="224">
        <v>182163</v>
      </c>
      <c r="F5" s="224">
        <v>149728</v>
      </c>
      <c r="G5" s="224">
        <v>32435</v>
      </c>
      <c r="H5" s="224">
        <v>184232</v>
      </c>
      <c r="I5" s="224">
        <v>150732</v>
      </c>
      <c r="J5" s="224">
        <v>33500</v>
      </c>
      <c r="K5" s="224">
        <v>181236</v>
      </c>
      <c r="L5" s="224">
        <v>148982</v>
      </c>
      <c r="M5" s="224">
        <v>32254</v>
      </c>
      <c r="N5" s="223">
        <v>186578</v>
      </c>
      <c r="O5" s="223">
        <v>154058</v>
      </c>
      <c r="P5" s="224">
        <v>32520</v>
      </c>
    </row>
    <row r="6" spans="1:16" s="1" customFormat="1" ht="30" customHeight="1">
      <c r="A6" s="330" t="s">
        <v>245</v>
      </c>
      <c r="B6" s="229">
        <v>57884</v>
      </c>
      <c r="C6" s="229">
        <v>52941</v>
      </c>
      <c r="D6" s="230">
        <v>4943</v>
      </c>
      <c r="E6" s="229">
        <v>58710</v>
      </c>
      <c r="F6" s="229">
        <v>53255</v>
      </c>
      <c r="G6" s="229">
        <v>5455</v>
      </c>
      <c r="H6" s="229">
        <v>59010</v>
      </c>
      <c r="I6" s="229">
        <v>53466</v>
      </c>
      <c r="J6" s="230">
        <v>5544</v>
      </c>
      <c r="K6" s="229">
        <v>67986</v>
      </c>
      <c r="L6" s="229">
        <v>61794</v>
      </c>
      <c r="M6" s="230">
        <v>6192</v>
      </c>
      <c r="N6" s="231">
        <v>73720</v>
      </c>
      <c r="O6" s="232">
        <v>67294</v>
      </c>
      <c r="P6" s="232">
        <v>6426</v>
      </c>
    </row>
    <row r="7" spans="1:16" s="1" customFormat="1" ht="30" customHeight="1">
      <c r="A7" s="330" t="s">
        <v>246</v>
      </c>
      <c r="B7" s="223">
        <v>37554</v>
      </c>
      <c r="C7" s="223">
        <v>31485</v>
      </c>
      <c r="D7" s="224">
        <v>6069</v>
      </c>
      <c r="E7" s="223">
        <v>36278</v>
      </c>
      <c r="F7" s="223">
        <v>30100</v>
      </c>
      <c r="G7" s="223">
        <v>6178</v>
      </c>
      <c r="H7" s="223">
        <v>37059</v>
      </c>
      <c r="I7" s="223">
        <v>30281</v>
      </c>
      <c r="J7" s="224">
        <v>6778</v>
      </c>
      <c r="K7" s="223">
        <v>33468</v>
      </c>
      <c r="L7" s="223">
        <v>26941</v>
      </c>
      <c r="M7" s="224">
        <v>6527</v>
      </c>
      <c r="N7" s="225">
        <v>34574</v>
      </c>
      <c r="O7" s="226">
        <v>27968</v>
      </c>
      <c r="P7" s="226">
        <v>6606</v>
      </c>
    </row>
    <row r="8" spans="1:16" s="1" customFormat="1" ht="30" customHeight="1">
      <c r="A8" s="330" t="s">
        <v>247</v>
      </c>
      <c r="B8" s="223">
        <v>22559</v>
      </c>
      <c r="C8" s="223">
        <v>16776</v>
      </c>
      <c r="D8" s="224">
        <v>5783</v>
      </c>
      <c r="E8" s="223">
        <v>17062</v>
      </c>
      <c r="F8" s="223">
        <v>12198</v>
      </c>
      <c r="G8" s="223">
        <v>4864</v>
      </c>
      <c r="H8" s="223">
        <v>17561</v>
      </c>
      <c r="I8" s="223">
        <v>12101</v>
      </c>
      <c r="J8" s="224">
        <v>5460</v>
      </c>
      <c r="K8" s="223">
        <v>14548</v>
      </c>
      <c r="L8" s="223">
        <v>10298</v>
      </c>
      <c r="M8" s="224">
        <v>4250</v>
      </c>
      <c r="N8" s="225">
        <v>15518</v>
      </c>
      <c r="O8" s="226">
        <v>10918</v>
      </c>
      <c r="P8" s="226">
        <v>4600</v>
      </c>
    </row>
    <row r="9" spans="1:16" s="1" customFormat="1" ht="30" customHeight="1">
      <c r="A9" s="330" t="s">
        <v>248</v>
      </c>
      <c r="B9" s="223">
        <v>14560</v>
      </c>
      <c r="C9" s="223">
        <v>11982</v>
      </c>
      <c r="D9" s="224">
        <v>2578</v>
      </c>
      <c r="E9" s="223">
        <v>16447</v>
      </c>
      <c r="F9" s="223">
        <v>13455</v>
      </c>
      <c r="G9" s="223">
        <v>2992</v>
      </c>
      <c r="H9" s="223">
        <v>17011</v>
      </c>
      <c r="I9" s="223">
        <v>14141</v>
      </c>
      <c r="J9" s="224">
        <v>2870</v>
      </c>
      <c r="K9" s="223">
        <v>15525</v>
      </c>
      <c r="L9" s="223">
        <v>12770</v>
      </c>
      <c r="M9" s="224">
        <v>2755</v>
      </c>
      <c r="N9" s="225">
        <v>13982</v>
      </c>
      <c r="O9" s="226">
        <v>11523</v>
      </c>
      <c r="P9" s="226">
        <v>2459</v>
      </c>
    </row>
    <row r="10" spans="1:16" s="1" customFormat="1" ht="30" customHeight="1">
      <c r="A10" s="330" t="s">
        <v>249</v>
      </c>
      <c r="B10" s="223">
        <v>13749</v>
      </c>
      <c r="C10" s="223">
        <v>9411</v>
      </c>
      <c r="D10" s="224">
        <v>4338</v>
      </c>
      <c r="E10" s="223">
        <v>14393</v>
      </c>
      <c r="F10" s="223">
        <v>9756</v>
      </c>
      <c r="G10" s="223">
        <v>4637</v>
      </c>
      <c r="H10" s="223">
        <v>13733</v>
      </c>
      <c r="I10" s="223">
        <v>9347</v>
      </c>
      <c r="J10" s="224">
        <v>4386</v>
      </c>
      <c r="K10" s="223">
        <v>12036</v>
      </c>
      <c r="L10" s="223">
        <v>8147</v>
      </c>
      <c r="M10" s="224">
        <v>3889</v>
      </c>
      <c r="N10" s="225">
        <v>11635</v>
      </c>
      <c r="O10" s="226">
        <v>7826</v>
      </c>
      <c r="P10" s="226">
        <v>3809</v>
      </c>
    </row>
    <row r="11" spans="1:16" s="1" customFormat="1" ht="30" customHeight="1">
      <c r="A11" s="330" t="s">
        <v>250</v>
      </c>
      <c r="B11" s="229">
        <v>5112</v>
      </c>
      <c r="C11" s="229">
        <v>4185</v>
      </c>
      <c r="D11" s="230">
        <v>927</v>
      </c>
      <c r="E11" s="229">
        <v>6075</v>
      </c>
      <c r="F11" s="229">
        <v>5075</v>
      </c>
      <c r="G11" s="229">
        <v>1000</v>
      </c>
      <c r="H11" s="229">
        <v>6984</v>
      </c>
      <c r="I11" s="229">
        <v>5716</v>
      </c>
      <c r="J11" s="230">
        <v>1268</v>
      </c>
      <c r="K11" s="229">
        <v>6520</v>
      </c>
      <c r="L11" s="229">
        <v>5207</v>
      </c>
      <c r="M11" s="230">
        <v>1313</v>
      </c>
      <c r="N11" s="229">
        <v>6033</v>
      </c>
      <c r="O11" s="230">
        <v>4892</v>
      </c>
      <c r="P11" s="230">
        <v>1141</v>
      </c>
    </row>
    <row r="12" spans="1:16" s="1" customFormat="1" ht="30" customHeight="1">
      <c r="A12" s="330" t="s">
        <v>251</v>
      </c>
      <c r="B12" s="229">
        <v>3092</v>
      </c>
      <c r="C12" s="229">
        <v>1876</v>
      </c>
      <c r="D12" s="230">
        <v>1216</v>
      </c>
      <c r="E12" s="229">
        <v>3728</v>
      </c>
      <c r="F12" s="229">
        <v>2357</v>
      </c>
      <c r="G12" s="229">
        <v>1371</v>
      </c>
      <c r="H12" s="229">
        <v>3529</v>
      </c>
      <c r="I12" s="229">
        <v>2246</v>
      </c>
      <c r="J12" s="230">
        <v>1283</v>
      </c>
      <c r="K12" s="229">
        <v>3930</v>
      </c>
      <c r="L12" s="229">
        <v>2447</v>
      </c>
      <c r="M12" s="230">
        <v>1483</v>
      </c>
      <c r="N12" s="229">
        <v>4006</v>
      </c>
      <c r="O12" s="230">
        <v>2584</v>
      </c>
      <c r="P12" s="230">
        <v>1422</v>
      </c>
    </row>
    <row r="13" spans="1:16" s="1" customFormat="1" ht="30" customHeight="1">
      <c r="A13" s="330" t="s">
        <v>252</v>
      </c>
      <c r="B13" s="223">
        <v>3123</v>
      </c>
      <c r="C13" s="223">
        <v>2098</v>
      </c>
      <c r="D13" s="224">
        <v>1025</v>
      </c>
      <c r="E13" s="223">
        <v>3383</v>
      </c>
      <c r="F13" s="223">
        <v>2216</v>
      </c>
      <c r="G13" s="223">
        <v>1167</v>
      </c>
      <c r="H13" s="223">
        <v>3645</v>
      </c>
      <c r="I13" s="223">
        <v>2481</v>
      </c>
      <c r="J13" s="224">
        <v>1164</v>
      </c>
      <c r="K13" s="223">
        <v>3808</v>
      </c>
      <c r="L13" s="223">
        <v>2614</v>
      </c>
      <c r="M13" s="224">
        <v>1194</v>
      </c>
      <c r="N13" s="225">
        <v>3299</v>
      </c>
      <c r="O13" s="226">
        <v>2229</v>
      </c>
      <c r="P13" s="226">
        <v>1070</v>
      </c>
    </row>
    <row r="14" spans="1:16" s="1" customFormat="1" ht="30" customHeight="1">
      <c r="A14" s="330" t="s">
        <v>253</v>
      </c>
      <c r="B14" s="229">
        <v>2443</v>
      </c>
      <c r="C14" s="229">
        <v>2039</v>
      </c>
      <c r="D14" s="230">
        <v>404</v>
      </c>
      <c r="E14" s="229">
        <v>2945</v>
      </c>
      <c r="F14" s="229">
        <v>2463</v>
      </c>
      <c r="G14" s="229">
        <v>482</v>
      </c>
      <c r="H14" s="229">
        <v>2992</v>
      </c>
      <c r="I14" s="229">
        <v>2466</v>
      </c>
      <c r="J14" s="230">
        <v>526</v>
      </c>
      <c r="K14" s="229">
        <v>3084</v>
      </c>
      <c r="L14" s="229">
        <v>2547</v>
      </c>
      <c r="M14" s="230">
        <v>537</v>
      </c>
      <c r="N14" s="229">
        <v>2887</v>
      </c>
      <c r="O14" s="230">
        <v>2362</v>
      </c>
      <c r="P14" s="230">
        <v>525</v>
      </c>
    </row>
    <row r="15" spans="1:16" s="1" customFormat="1" ht="30" customHeight="1">
      <c r="A15" s="330" t="s">
        <v>254</v>
      </c>
      <c r="B15" s="223">
        <v>1535</v>
      </c>
      <c r="C15" s="223">
        <v>1496</v>
      </c>
      <c r="D15" s="224">
        <v>39</v>
      </c>
      <c r="E15" s="223">
        <v>2048</v>
      </c>
      <c r="F15" s="223">
        <v>2018</v>
      </c>
      <c r="G15" s="223">
        <v>30</v>
      </c>
      <c r="H15" s="223">
        <v>2676</v>
      </c>
      <c r="I15" s="223">
        <v>2616</v>
      </c>
      <c r="J15" s="224">
        <v>60</v>
      </c>
      <c r="K15" s="223">
        <v>2529</v>
      </c>
      <c r="L15" s="223">
        <v>2482</v>
      </c>
      <c r="M15" s="224">
        <v>47</v>
      </c>
      <c r="N15" s="225">
        <v>2572</v>
      </c>
      <c r="O15" s="226">
        <v>2513</v>
      </c>
      <c r="P15" s="226">
        <v>59</v>
      </c>
    </row>
    <row r="16" spans="1:16" s="1" customFormat="1" ht="30" customHeight="1">
      <c r="A16" s="330" t="s">
        <v>255</v>
      </c>
      <c r="B16" s="229">
        <v>3264</v>
      </c>
      <c r="C16" s="229">
        <v>2202</v>
      </c>
      <c r="D16" s="230">
        <v>1062</v>
      </c>
      <c r="E16" s="229">
        <v>2600</v>
      </c>
      <c r="F16" s="229">
        <v>1762</v>
      </c>
      <c r="G16" s="229">
        <v>838</v>
      </c>
      <c r="H16" s="229">
        <v>2519</v>
      </c>
      <c r="I16" s="229">
        <v>1708</v>
      </c>
      <c r="J16" s="230">
        <v>811</v>
      </c>
      <c r="K16" s="229">
        <v>2404</v>
      </c>
      <c r="L16" s="229">
        <v>1599</v>
      </c>
      <c r="M16" s="230">
        <v>805</v>
      </c>
      <c r="N16" s="229">
        <v>2450</v>
      </c>
      <c r="O16" s="230">
        <v>1623</v>
      </c>
      <c r="P16" s="230">
        <v>827</v>
      </c>
    </row>
    <row r="17" spans="1:16" s="1" customFormat="1" ht="30" customHeight="1">
      <c r="A17" s="330" t="s">
        <v>256</v>
      </c>
      <c r="B17" s="229">
        <v>3132</v>
      </c>
      <c r="C17" s="229">
        <v>2043</v>
      </c>
      <c r="D17" s="230">
        <v>1089</v>
      </c>
      <c r="E17" s="229">
        <v>2922</v>
      </c>
      <c r="F17" s="229">
        <v>1908</v>
      </c>
      <c r="G17" s="229">
        <v>1014</v>
      </c>
      <c r="H17" s="229">
        <v>2630</v>
      </c>
      <c r="I17" s="229">
        <v>1714</v>
      </c>
      <c r="J17" s="230">
        <v>916</v>
      </c>
      <c r="K17" s="229">
        <v>2621</v>
      </c>
      <c r="L17" s="229">
        <v>1659</v>
      </c>
      <c r="M17" s="230">
        <v>962</v>
      </c>
      <c r="N17" s="229">
        <v>2226</v>
      </c>
      <c r="O17" s="230">
        <v>1470</v>
      </c>
      <c r="P17" s="230">
        <v>756</v>
      </c>
    </row>
    <row r="18" spans="1:16" s="1" customFormat="1" ht="30" customHeight="1">
      <c r="A18" s="330" t="s">
        <v>257</v>
      </c>
      <c r="B18" s="229">
        <v>814</v>
      </c>
      <c r="C18" s="229">
        <v>739</v>
      </c>
      <c r="D18" s="230">
        <v>75</v>
      </c>
      <c r="E18" s="229">
        <v>1073</v>
      </c>
      <c r="F18" s="229">
        <v>965</v>
      </c>
      <c r="G18" s="229">
        <v>108</v>
      </c>
      <c r="H18" s="229">
        <v>1271</v>
      </c>
      <c r="I18" s="229">
        <v>1138</v>
      </c>
      <c r="J18" s="230">
        <v>133</v>
      </c>
      <c r="K18" s="229">
        <v>1155</v>
      </c>
      <c r="L18" s="229">
        <v>1041</v>
      </c>
      <c r="M18" s="230">
        <v>114</v>
      </c>
      <c r="N18" s="229">
        <v>1090</v>
      </c>
      <c r="O18" s="230">
        <v>982</v>
      </c>
      <c r="P18" s="230">
        <v>108</v>
      </c>
    </row>
    <row r="19" spans="1:16" s="1" customFormat="1" ht="30" customHeight="1">
      <c r="A19" s="330" t="s">
        <v>258</v>
      </c>
      <c r="B19" s="223">
        <v>1571</v>
      </c>
      <c r="C19" s="223">
        <v>1359</v>
      </c>
      <c r="D19" s="224">
        <v>212</v>
      </c>
      <c r="E19" s="223">
        <v>1473</v>
      </c>
      <c r="F19" s="223">
        <v>1276</v>
      </c>
      <c r="G19" s="223">
        <v>197</v>
      </c>
      <c r="H19" s="223">
        <v>1252</v>
      </c>
      <c r="I19" s="223">
        <v>1083</v>
      </c>
      <c r="J19" s="224">
        <v>169</v>
      </c>
      <c r="K19" s="223">
        <v>1104</v>
      </c>
      <c r="L19" s="223">
        <v>954</v>
      </c>
      <c r="M19" s="224">
        <v>150</v>
      </c>
      <c r="N19" s="225">
        <v>1035</v>
      </c>
      <c r="O19" s="226">
        <v>917</v>
      </c>
      <c r="P19" s="226">
        <v>118</v>
      </c>
    </row>
    <row r="20" spans="1:16" s="1" customFormat="1" ht="30" customHeight="1">
      <c r="A20" s="330" t="s">
        <v>259</v>
      </c>
      <c r="B20" s="223">
        <v>420</v>
      </c>
      <c r="C20" s="223">
        <v>295</v>
      </c>
      <c r="D20" s="224">
        <v>125</v>
      </c>
      <c r="E20" s="223">
        <v>435</v>
      </c>
      <c r="F20" s="223">
        <v>299</v>
      </c>
      <c r="G20" s="223">
        <v>136</v>
      </c>
      <c r="H20" s="223">
        <v>479</v>
      </c>
      <c r="I20" s="223">
        <v>322</v>
      </c>
      <c r="J20" s="224">
        <v>157</v>
      </c>
      <c r="K20" s="223">
        <v>698</v>
      </c>
      <c r="L20" s="223">
        <v>476</v>
      </c>
      <c r="M20" s="224">
        <v>222</v>
      </c>
      <c r="N20" s="225">
        <v>612</v>
      </c>
      <c r="O20" s="226">
        <v>413</v>
      </c>
      <c r="P20" s="226">
        <v>199</v>
      </c>
    </row>
    <row r="21" spans="1:16" s="1" customFormat="1" ht="30" customHeight="1">
      <c r="A21" s="330" t="s">
        <v>260</v>
      </c>
      <c r="B21" s="229">
        <v>1009</v>
      </c>
      <c r="C21" s="229">
        <v>747</v>
      </c>
      <c r="D21" s="230">
        <v>262</v>
      </c>
      <c r="E21" s="229">
        <v>1071</v>
      </c>
      <c r="F21" s="229">
        <v>793</v>
      </c>
      <c r="G21" s="229">
        <v>278</v>
      </c>
      <c r="H21" s="229">
        <v>1045</v>
      </c>
      <c r="I21" s="229">
        <v>789</v>
      </c>
      <c r="J21" s="230">
        <v>256</v>
      </c>
      <c r="K21" s="229">
        <v>1006</v>
      </c>
      <c r="L21" s="229">
        <v>753</v>
      </c>
      <c r="M21" s="230">
        <v>253</v>
      </c>
      <c r="N21" s="229">
        <v>1125</v>
      </c>
      <c r="O21" s="230">
        <v>836</v>
      </c>
      <c r="P21" s="230">
        <v>289</v>
      </c>
    </row>
    <row r="22" spans="1:16" s="3" customFormat="1" ht="30" customHeight="1">
      <c r="A22" s="330" t="s">
        <v>261</v>
      </c>
      <c r="B22" s="229">
        <v>699</v>
      </c>
      <c r="C22" s="229">
        <v>409</v>
      </c>
      <c r="D22" s="230">
        <v>290</v>
      </c>
      <c r="E22" s="229">
        <v>805</v>
      </c>
      <c r="F22" s="229">
        <v>461</v>
      </c>
      <c r="G22" s="229">
        <v>344</v>
      </c>
      <c r="H22" s="229">
        <v>872</v>
      </c>
      <c r="I22" s="229">
        <v>509</v>
      </c>
      <c r="J22" s="230">
        <v>363</v>
      </c>
      <c r="K22" s="229">
        <v>791</v>
      </c>
      <c r="L22" s="229">
        <v>453</v>
      </c>
      <c r="M22" s="230">
        <v>338</v>
      </c>
      <c r="N22" s="229">
        <v>798</v>
      </c>
      <c r="O22" s="230">
        <v>468</v>
      </c>
      <c r="P22" s="230">
        <v>330</v>
      </c>
    </row>
    <row r="23" spans="1:16" s="1" customFormat="1" ht="30" customHeight="1">
      <c r="A23" s="330" t="s">
        <v>262</v>
      </c>
      <c r="B23" s="223">
        <v>1420</v>
      </c>
      <c r="C23" s="223">
        <v>1339</v>
      </c>
      <c r="D23" s="224">
        <v>81</v>
      </c>
      <c r="E23" s="223">
        <v>1412</v>
      </c>
      <c r="F23" s="223">
        <v>1329</v>
      </c>
      <c r="G23" s="223">
        <v>83</v>
      </c>
      <c r="H23" s="223">
        <v>1444</v>
      </c>
      <c r="I23" s="223">
        <v>1354</v>
      </c>
      <c r="J23" s="224">
        <v>90</v>
      </c>
      <c r="K23" s="223">
        <v>831</v>
      </c>
      <c r="L23" s="223">
        <v>767</v>
      </c>
      <c r="M23" s="224">
        <v>64</v>
      </c>
      <c r="N23" s="225">
        <v>911</v>
      </c>
      <c r="O23" s="226">
        <v>856</v>
      </c>
      <c r="P23" s="226">
        <v>55</v>
      </c>
    </row>
    <row r="24" spans="1:16" ht="30" customHeight="1">
      <c r="A24" s="330" t="s">
        <v>263</v>
      </c>
      <c r="B24" s="229">
        <v>41</v>
      </c>
      <c r="C24" s="229">
        <v>35</v>
      </c>
      <c r="D24" s="229">
        <v>6</v>
      </c>
      <c r="E24" s="229">
        <v>32</v>
      </c>
      <c r="F24" s="229">
        <v>31</v>
      </c>
      <c r="G24" s="229">
        <v>1</v>
      </c>
      <c r="H24" s="229">
        <v>70</v>
      </c>
      <c r="I24" s="229">
        <v>59</v>
      </c>
      <c r="J24" s="229">
        <v>11</v>
      </c>
      <c r="K24" s="229">
        <v>30</v>
      </c>
      <c r="L24" s="229">
        <v>22</v>
      </c>
      <c r="M24" s="230">
        <v>8</v>
      </c>
      <c r="N24" s="229">
        <v>146</v>
      </c>
      <c r="O24" s="229">
        <v>136</v>
      </c>
      <c r="P24" s="230">
        <v>10</v>
      </c>
    </row>
    <row r="25" spans="1:16" ht="30" customHeight="1">
      <c r="A25" s="330" t="s">
        <v>264</v>
      </c>
      <c r="B25" s="223">
        <v>2600</v>
      </c>
      <c r="C25" s="223">
        <v>2298</v>
      </c>
      <c r="D25" s="223">
        <v>302</v>
      </c>
      <c r="E25" s="223">
        <v>2621</v>
      </c>
      <c r="F25" s="223">
        <v>2369</v>
      </c>
      <c r="G25" s="223">
        <v>252</v>
      </c>
      <c r="H25" s="223">
        <v>2429</v>
      </c>
      <c r="I25" s="223">
        <v>2139</v>
      </c>
      <c r="J25" s="223">
        <v>290</v>
      </c>
      <c r="K25" s="223">
        <v>2136</v>
      </c>
      <c r="L25" s="223">
        <v>1849</v>
      </c>
      <c r="M25" s="224">
        <v>287</v>
      </c>
      <c r="N25" s="225">
        <v>1893</v>
      </c>
      <c r="O25" s="225">
        <v>1606</v>
      </c>
      <c r="P25" s="226">
        <v>287</v>
      </c>
    </row>
    <row r="26" spans="1:16" ht="30" customHeight="1">
      <c r="A26" s="330" t="s">
        <v>265</v>
      </c>
      <c r="B26" s="229">
        <v>216</v>
      </c>
      <c r="C26" s="229">
        <v>177</v>
      </c>
      <c r="D26" s="229">
        <v>39</v>
      </c>
      <c r="E26" s="229">
        <v>323</v>
      </c>
      <c r="F26" s="229">
        <v>250</v>
      </c>
      <c r="G26" s="229">
        <v>73</v>
      </c>
      <c r="H26" s="229">
        <v>315</v>
      </c>
      <c r="I26" s="229">
        <v>252</v>
      </c>
      <c r="J26" s="229">
        <v>63</v>
      </c>
      <c r="K26" s="229">
        <v>288</v>
      </c>
      <c r="L26" s="229">
        <v>218</v>
      </c>
      <c r="M26" s="230">
        <v>70</v>
      </c>
      <c r="N26" s="229">
        <v>376</v>
      </c>
      <c r="O26" s="229">
        <v>295</v>
      </c>
      <c r="P26" s="230">
        <v>81</v>
      </c>
    </row>
    <row r="27" spans="1:16" ht="30" customHeight="1">
      <c r="A27" s="330" t="s">
        <v>266</v>
      </c>
      <c r="B27" s="229">
        <v>534</v>
      </c>
      <c r="C27" s="229">
        <v>325</v>
      </c>
      <c r="D27" s="229">
        <v>209</v>
      </c>
      <c r="E27" s="229">
        <v>465</v>
      </c>
      <c r="F27" s="229">
        <v>293</v>
      </c>
      <c r="G27" s="229">
        <v>172</v>
      </c>
      <c r="H27" s="229">
        <v>454</v>
      </c>
      <c r="I27" s="229">
        <v>268</v>
      </c>
      <c r="J27" s="229">
        <v>186</v>
      </c>
      <c r="K27" s="229">
        <v>509</v>
      </c>
      <c r="L27" s="229">
        <v>318</v>
      </c>
      <c r="M27" s="230">
        <v>191</v>
      </c>
      <c r="N27" s="229">
        <v>385</v>
      </c>
      <c r="O27" s="229">
        <v>250</v>
      </c>
      <c r="P27" s="230">
        <v>135</v>
      </c>
    </row>
    <row r="28" spans="1:16" ht="30" customHeight="1">
      <c r="A28" s="330" t="s">
        <v>267</v>
      </c>
      <c r="B28" s="223">
        <v>585</v>
      </c>
      <c r="C28" s="223">
        <v>455</v>
      </c>
      <c r="D28" s="223">
        <v>130</v>
      </c>
      <c r="E28" s="223">
        <v>479</v>
      </c>
      <c r="F28" s="223">
        <v>376</v>
      </c>
      <c r="G28" s="223">
        <v>103</v>
      </c>
      <c r="H28" s="223">
        <v>498</v>
      </c>
      <c r="I28" s="223">
        <v>381</v>
      </c>
      <c r="J28" s="223">
        <v>117</v>
      </c>
      <c r="K28" s="223">
        <v>379</v>
      </c>
      <c r="L28" s="223">
        <v>291</v>
      </c>
      <c r="M28" s="224">
        <v>88</v>
      </c>
      <c r="N28" s="225">
        <v>456</v>
      </c>
      <c r="O28" s="225">
        <v>327</v>
      </c>
      <c r="P28" s="226">
        <v>129</v>
      </c>
    </row>
    <row r="29" spans="1:16" ht="30" customHeight="1">
      <c r="A29" s="330" t="s">
        <v>268</v>
      </c>
      <c r="B29" s="223">
        <v>1214</v>
      </c>
      <c r="C29" s="223">
        <v>1098</v>
      </c>
      <c r="D29" s="223">
        <v>116</v>
      </c>
      <c r="E29" s="223">
        <v>970</v>
      </c>
      <c r="F29" s="223">
        <v>895</v>
      </c>
      <c r="G29" s="223">
        <v>75</v>
      </c>
      <c r="H29" s="223">
        <v>856</v>
      </c>
      <c r="I29" s="223">
        <v>776</v>
      </c>
      <c r="J29" s="223">
        <v>80</v>
      </c>
      <c r="K29" s="223">
        <v>686</v>
      </c>
      <c r="L29" s="223">
        <v>647</v>
      </c>
      <c r="M29" s="224">
        <v>39</v>
      </c>
      <c r="N29" s="225">
        <v>552</v>
      </c>
      <c r="O29" s="225">
        <v>500</v>
      </c>
      <c r="P29" s="226">
        <v>52</v>
      </c>
    </row>
    <row r="30" spans="1:16" ht="30" customHeight="1">
      <c r="A30" s="330" t="s">
        <v>269</v>
      </c>
      <c r="B30" s="223">
        <v>1547</v>
      </c>
      <c r="C30" s="223">
        <v>1511</v>
      </c>
      <c r="D30" s="223">
        <v>36</v>
      </c>
      <c r="E30" s="223">
        <v>1390</v>
      </c>
      <c r="F30" s="223">
        <v>1369</v>
      </c>
      <c r="G30" s="223">
        <v>21</v>
      </c>
      <c r="H30" s="223">
        <v>1274</v>
      </c>
      <c r="I30" s="223">
        <v>1240</v>
      </c>
      <c r="J30" s="223">
        <v>34</v>
      </c>
      <c r="K30" s="223">
        <v>857</v>
      </c>
      <c r="L30" s="223">
        <v>837</v>
      </c>
      <c r="M30" s="224">
        <v>20</v>
      </c>
      <c r="N30" s="225">
        <v>813</v>
      </c>
      <c r="O30" s="225">
        <v>802</v>
      </c>
      <c r="P30" s="226">
        <v>11</v>
      </c>
    </row>
    <row r="31" spans="1:16" ht="30" customHeight="1">
      <c r="A31" s="330" t="s">
        <v>270</v>
      </c>
      <c r="B31" s="223">
        <v>697</v>
      </c>
      <c r="C31" s="223">
        <v>642</v>
      </c>
      <c r="D31" s="223">
        <v>55</v>
      </c>
      <c r="E31" s="223">
        <v>569</v>
      </c>
      <c r="F31" s="223">
        <v>525</v>
      </c>
      <c r="G31" s="223">
        <v>44</v>
      </c>
      <c r="H31" s="223">
        <v>490</v>
      </c>
      <c r="I31" s="223">
        <v>464</v>
      </c>
      <c r="J31" s="223">
        <v>26</v>
      </c>
      <c r="K31" s="223">
        <v>418</v>
      </c>
      <c r="L31" s="223">
        <v>388</v>
      </c>
      <c r="M31" s="224">
        <v>30</v>
      </c>
      <c r="N31" s="225">
        <v>332</v>
      </c>
      <c r="O31" s="225">
        <v>301</v>
      </c>
      <c r="P31" s="226">
        <v>31</v>
      </c>
    </row>
    <row r="32" spans="1:16" ht="30" customHeight="1">
      <c r="A32" s="330" t="s">
        <v>271</v>
      </c>
      <c r="B32" s="223">
        <v>375</v>
      </c>
      <c r="C32" s="223">
        <v>368</v>
      </c>
      <c r="D32" s="223">
        <v>7</v>
      </c>
      <c r="E32" s="223">
        <v>456</v>
      </c>
      <c r="F32" s="223">
        <v>442</v>
      </c>
      <c r="G32" s="223">
        <v>14</v>
      </c>
      <c r="H32" s="223">
        <v>349</v>
      </c>
      <c r="I32" s="223">
        <v>339</v>
      </c>
      <c r="J32" s="223">
        <v>10</v>
      </c>
      <c r="K32" s="223">
        <v>165</v>
      </c>
      <c r="L32" s="223">
        <v>163</v>
      </c>
      <c r="M32" s="224">
        <v>2</v>
      </c>
      <c r="N32" s="225">
        <v>144</v>
      </c>
      <c r="O32" s="225">
        <v>141</v>
      </c>
      <c r="P32" s="226">
        <v>3</v>
      </c>
    </row>
    <row r="33" spans="1:16" ht="30" customHeight="1">
      <c r="A33" s="330" t="s">
        <v>272</v>
      </c>
      <c r="B33" s="223">
        <v>1101</v>
      </c>
      <c r="C33" s="223">
        <v>839</v>
      </c>
      <c r="D33" s="223">
        <v>262</v>
      </c>
      <c r="E33" s="223">
        <v>1203</v>
      </c>
      <c r="F33" s="223">
        <v>947</v>
      </c>
      <c r="G33" s="223">
        <v>256</v>
      </c>
      <c r="H33" s="223">
        <v>1023</v>
      </c>
      <c r="I33" s="223">
        <v>794</v>
      </c>
      <c r="J33" s="223">
        <v>229</v>
      </c>
      <c r="K33" s="223">
        <v>1082</v>
      </c>
      <c r="L33" s="223">
        <v>843</v>
      </c>
      <c r="M33" s="224">
        <v>239</v>
      </c>
      <c r="N33" s="225">
        <v>1143</v>
      </c>
      <c r="O33" s="225">
        <v>897</v>
      </c>
      <c r="P33" s="226">
        <v>246</v>
      </c>
    </row>
    <row r="34" spans="1:16" ht="30" customHeight="1">
      <c r="A34" s="330" t="s">
        <v>273</v>
      </c>
      <c r="B34" s="229">
        <v>150</v>
      </c>
      <c r="C34" s="229">
        <v>91</v>
      </c>
      <c r="D34" s="229">
        <v>59</v>
      </c>
      <c r="E34" s="229">
        <v>113</v>
      </c>
      <c r="F34" s="229">
        <v>58</v>
      </c>
      <c r="G34" s="229">
        <v>55</v>
      </c>
      <c r="H34" s="229">
        <v>141</v>
      </c>
      <c r="I34" s="229">
        <v>70</v>
      </c>
      <c r="J34" s="229">
        <v>71</v>
      </c>
      <c r="K34" s="229">
        <v>165</v>
      </c>
      <c r="L34" s="229">
        <v>101</v>
      </c>
      <c r="M34" s="230">
        <v>64</v>
      </c>
      <c r="N34" s="229">
        <v>126</v>
      </c>
      <c r="O34" s="229">
        <v>68</v>
      </c>
      <c r="P34" s="230">
        <v>58</v>
      </c>
    </row>
    <row r="35" spans="1:16" ht="30" customHeight="1">
      <c r="A35" s="330" t="s">
        <v>274</v>
      </c>
      <c r="B35" s="223">
        <v>32</v>
      </c>
      <c r="C35" s="223">
        <v>31</v>
      </c>
      <c r="D35" s="223">
        <v>1</v>
      </c>
      <c r="E35" s="223">
        <v>60</v>
      </c>
      <c r="F35" s="223">
        <v>52</v>
      </c>
      <c r="G35" s="223">
        <v>8</v>
      </c>
      <c r="H35" s="223">
        <v>68</v>
      </c>
      <c r="I35" s="223">
        <v>62</v>
      </c>
      <c r="J35" s="223">
        <v>6</v>
      </c>
      <c r="K35" s="223">
        <v>61</v>
      </c>
      <c r="L35" s="223">
        <v>52</v>
      </c>
      <c r="M35" s="224">
        <v>9</v>
      </c>
      <c r="N35" s="225">
        <v>57</v>
      </c>
      <c r="O35" s="225">
        <v>49</v>
      </c>
      <c r="P35" s="226">
        <v>8</v>
      </c>
    </row>
    <row r="36" spans="1:16" ht="30" customHeight="1">
      <c r="A36" s="391" t="s">
        <v>390</v>
      </c>
      <c r="B36" s="392">
        <v>1218</v>
      </c>
      <c r="C36" s="392">
        <v>746</v>
      </c>
      <c r="D36" s="392">
        <v>472</v>
      </c>
      <c r="E36" s="392">
        <v>622</v>
      </c>
      <c r="F36" s="392">
        <v>435</v>
      </c>
      <c r="G36" s="392">
        <v>187</v>
      </c>
      <c r="H36" s="392">
        <v>553</v>
      </c>
      <c r="I36" s="392">
        <v>410</v>
      </c>
      <c r="J36" s="392">
        <v>143</v>
      </c>
      <c r="K36" s="392">
        <v>416</v>
      </c>
      <c r="L36" s="392">
        <v>304</v>
      </c>
      <c r="M36" s="392">
        <v>112</v>
      </c>
      <c r="N36" s="392">
        <v>1682</v>
      </c>
      <c r="O36" s="392">
        <v>1012</v>
      </c>
      <c r="P36" s="393">
        <v>670</v>
      </c>
    </row>
    <row r="37" spans="1:16" ht="19.5">
      <c r="A37" s="2860" t="s">
        <v>389</v>
      </c>
      <c r="B37" s="2860"/>
      <c r="C37" s="2860"/>
      <c r="D37" s="2860"/>
      <c r="E37" s="2860"/>
      <c r="F37" s="2860"/>
      <c r="G37" s="2860"/>
      <c r="H37" s="2860"/>
      <c r="I37" s="2860"/>
      <c r="J37" s="2860"/>
      <c r="K37" s="2860"/>
      <c r="L37" s="2860"/>
      <c r="M37" s="2860"/>
    </row>
  </sheetData>
  <mergeCells count="9">
    <mergeCell ref="A1:P1"/>
    <mergeCell ref="O2:P2"/>
    <mergeCell ref="N3:P3"/>
    <mergeCell ref="A37:M37"/>
    <mergeCell ref="E3:G3"/>
    <mergeCell ref="H3:J3"/>
    <mergeCell ref="B3:D3"/>
    <mergeCell ref="A3:A4"/>
    <mergeCell ref="K3:M3"/>
  </mergeCells>
  <phoneticPr fontId="6" type="noConversion"/>
  <printOptions horizontalCentered="1" verticalCentered="1"/>
  <pageMargins left="0.70866141732283472" right="0.70866141732283472" top="0.74803149606299213" bottom="0.74803149606299213" header="0.31496062992125984" footer="0.31496062992125984"/>
  <pageSetup paperSize="11" scale="30" orientation="landscape" r:id="rId1"/>
  <headerFooter differentOddEven="1" scaleWithDoc="0">
    <oddHeader>&amp;L&amp;"Times New Roman,標準"&amp;8 107&amp;"標楷體,標準"年犯罪狀況及其分析</oddHeader>
    <evenHeader>&amp;R&amp;"標楷體,標準"&amp;8第一篇　&amp;"Times New Roman,標準"107&amp;"標楷體,標準"年犯罪狀況及近&amp;"Times New Roman,標準"10&amp;"標楷體,標準"年犯罪趨勢分析</even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M38"/>
  <sheetViews>
    <sheetView showGridLines="0" workbookViewId="0">
      <selection activeCell="B16" sqref="B16"/>
    </sheetView>
  </sheetViews>
  <sheetFormatPr defaultColWidth="9" defaultRowHeight="15.75"/>
  <cols>
    <col min="1" max="1" width="9.25" style="961" customWidth="1"/>
    <col min="2" max="2" width="6.5" style="1096" customWidth="1"/>
    <col min="3" max="6" width="20.625" style="650" customWidth="1"/>
    <col min="7" max="16384" width="9" style="650"/>
  </cols>
  <sheetData>
    <row r="1" spans="1:13" ht="30.6" customHeight="1">
      <c r="A1" s="2964" t="s">
        <v>1588</v>
      </c>
      <c r="B1" s="2964"/>
      <c r="C1" s="2964"/>
      <c r="D1" s="2964"/>
      <c r="E1" s="2964"/>
      <c r="F1" s="2964"/>
      <c r="G1" s="1309"/>
      <c r="H1" s="1309"/>
      <c r="I1" s="1309"/>
      <c r="J1" s="1309"/>
      <c r="K1" s="1309"/>
      <c r="L1" s="1309"/>
      <c r="M1" s="1309"/>
    </row>
    <row r="2" spans="1:13" ht="25.5" customHeight="1">
      <c r="A2" s="2965"/>
      <c r="B2" s="2965"/>
      <c r="C2" s="691" t="s">
        <v>1589</v>
      </c>
      <c r="D2" s="1310" t="s">
        <v>1590</v>
      </c>
      <c r="E2" s="1310" t="s">
        <v>1591</v>
      </c>
      <c r="F2" s="690" t="s">
        <v>1592</v>
      </c>
    </row>
    <row r="3" spans="1:13" ht="19.5" customHeight="1">
      <c r="A3" s="3305" t="s">
        <v>1058</v>
      </c>
      <c r="B3" s="1081" t="s">
        <v>1593</v>
      </c>
      <c r="C3" s="1311">
        <f t="shared" ref="C3:C22" si="0">SUM(D3:F3)</f>
        <v>123385</v>
      </c>
      <c r="D3" s="1312">
        <v>39</v>
      </c>
      <c r="E3" s="1312">
        <v>90189</v>
      </c>
      <c r="F3" s="1313">
        <v>33157</v>
      </c>
      <c r="G3" s="1314"/>
    </row>
    <row r="4" spans="1:13" ht="19.5" customHeight="1">
      <c r="A4" s="3305"/>
      <c r="B4" s="1081" t="s">
        <v>0</v>
      </c>
      <c r="C4" s="1315">
        <f t="shared" si="0"/>
        <v>100</v>
      </c>
      <c r="D4" s="1316">
        <f>D3/$C3*100</f>
        <v>3.1608380273128824E-2</v>
      </c>
      <c r="E4" s="1316">
        <f>E3/$C3*100</f>
        <v>73.095595088543988</v>
      </c>
      <c r="F4" s="1317">
        <f>F3/$C3*100</f>
        <v>26.872796531182885</v>
      </c>
    </row>
    <row r="5" spans="1:13" ht="19.5" customHeight="1">
      <c r="A5" s="3305" t="s">
        <v>356</v>
      </c>
      <c r="B5" s="1081" t="s">
        <v>1593</v>
      </c>
      <c r="C5" s="1311">
        <f t="shared" si="0"/>
        <v>120600</v>
      </c>
      <c r="D5" s="1312">
        <v>29</v>
      </c>
      <c r="E5" s="1312">
        <v>90511</v>
      </c>
      <c r="F5" s="1318">
        <v>30060</v>
      </c>
      <c r="G5" s="1314"/>
    </row>
    <row r="6" spans="1:13" ht="19.5" customHeight="1">
      <c r="A6" s="3305"/>
      <c r="B6" s="1081" t="s">
        <v>0</v>
      </c>
      <c r="C6" s="1315">
        <f t="shared" si="0"/>
        <v>100</v>
      </c>
      <c r="D6" s="1316">
        <f>D5/$C5*100</f>
        <v>2.404643449419569E-2</v>
      </c>
      <c r="E6" s="1316">
        <f>E5/$C5*100</f>
        <v>75.050580431177451</v>
      </c>
      <c r="F6" s="1317">
        <f>F5/$C5*100</f>
        <v>24.925373134328357</v>
      </c>
    </row>
    <row r="7" spans="1:13" ht="19.5" customHeight="1">
      <c r="A7" s="3305" t="s">
        <v>357</v>
      </c>
      <c r="B7" s="1081" t="s">
        <v>1593</v>
      </c>
      <c r="C7" s="1311">
        <f t="shared" si="0"/>
        <v>118551</v>
      </c>
      <c r="D7" s="1312">
        <v>26</v>
      </c>
      <c r="E7" s="1312">
        <v>89807</v>
      </c>
      <c r="F7" s="1318">
        <v>28718</v>
      </c>
      <c r="G7" s="1314"/>
    </row>
    <row r="8" spans="1:13" ht="19.5" customHeight="1">
      <c r="A8" s="3305"/>
      <c r="B8" s="1081" t="s">
        <v>0</v>
      </c>
      <c r="C8" s="1315">
        <f t="shared" si="0"/>
        <v>100</v>
      </c>
      <c r="D8" s="1316">
        <f>D7/$C7*100</f>
        <v>2.1931489401185986E-2</v>
      </c>
      <c r="E8" s="1316">
        <f>E7/$C7*100</f>
        <v>75.753894948165765</v>
      </c>
      <c r="F8" s="1317">
        <f>F7/$C7*100</f>
        <v>24.224173562433045</v>
      </c>
    </row>
    <row r="9" spans="1:13" ht="19.5" customHeight="1">
      <c r="A9" s="3305" t="s">
        <v>358</v>
      </c>
      <c r="B9" s="1081" t="s">
        <v>1594</v>
      </c>
      <c r="C9" s="1311">
        <f t="shared" si="0"/>
        <v>118383</v>
      </c>
      <c r="D9" s="1312">
        <v>41</v>
      </c>
      <c r="E9" s="1312">
        <v>94455</v>
      </c>
      <c r="F9" s="1318">
        <v>23887</v>
      </c>
      <c r="G9" s="1314"/>
    </row>
    <row r="10" spans="1:13" ht="19.5" customHeight="1">
      <c r="A10" s="3305"/>
      <c r="B10" s="1081" t="s">
        <v>0</v>
      </c>
      <c r="C10" s="1315">
        <f t="shared" si="0"/>
        <v>100</v>
      </c>
      <c r="D10" s="1316">
        <f>D9/$C9*100</f>
        <v>3.4633351072366814E-2</v>
      </c>
      <c r="E10" s="1316">
        <f>E9/$C9*100</f>
        <v>79.787638427814798</v>
      </c>
      <c r="F10" s="1317">
        <f>F9/$C9*100</f>
        <v>20.177728221112829</v>
      </c>
    </row>
    <row r="11" spans="1:13" ht="19.5" customHeight="1">
      <c r="A11" s="3305" t="s">
        <v>359</v>
      </c>
      <c r="B11" s="1081" t="s">
        <v>1593</v>
      </c>
      <c r="C11" s="1311">
        <f t="shared" si="0"/>
        <v>145108</v>
      </c>
      <c r="D11" s="1312">
        <v>23</v>
      </c>
      <c r="E11" s="1312">
        <v>128182</v>
      </c>
      <c r="F11" s="1318">
        <v>16903</v>
      </c>
      <c r="G11" s="1314"/>
    </row>
    <row r="12" spans="1:13" ht="19.5" customHeight="1">
      <c r="A12" s="3305"/>
      <c r="B12" s="1081" t="s">
        <v>0</v>
      </c>
      <c r="C12" s="1315">
        <f t="shared" si="0"/>
        <v>100</v>
      </c>
      <c r="D12" s="1316">
        <f>D11/$C11*100</f>
        <v>1.5850263252198363E-2</v>
      </c>
      <c r="E12" s="1316">
        <f>E11/$C11*100</f>
        <v>88.335584530143066</v>
      </c>
      <c r="F12" s="1317">
        <f>F11/$C11*100</f>
        <v>11.648565206604736</v>
      </c>
    </row>
    <row r="13" spans="1:13" ht="19.5" customHeight="1">
      <c r="A13" s="3305" t="s">
        <v>360</v>
      </c>
      <c r="B13" s="1081" t="s">
        <v>1518</v>
      </c>
      <c r="C13" s="1311">
        <f t="shared" si="0"/>
        <v>142301</v>
      </c>
      <c r="D13" s="1312">
        <v>24</v>
      </c>
      <c r="E13" s="1312">
        <v>125668</v>
      </c>
      <c r="F13" s="1318">
        <v>16609</v>
      </c>
      <c r="G13" s="1314"/>
    </row>
    <row r="14" spans="1:13" ht="19.5" customHeight="1">
      <c r="A14" s="3305"/>
      <c r="B14" s="1081" t="s">
        <v>0</v>
      </c>
      <c r="C14" s="1315">
        <f t="shared" si="0"/>
        <v>100</v>
      </c>
      <c r="D14" s="1316">
        <f>D13/$C13*100</f>
        <v>1.6865658006619769E-2</v>
      </c>
      <c r="E14" s="1316">
        <f>E13/$C13*100</f>
        <v>88.311396265662225</v>
      </c>
      <c r="F14" s="1317">
        <f>F13/$C13*100</f>
        <v>11.671738076331158</v>
      </c>
    </row>
    <row r="15" spans="1:13" ht="19.5" customHeight="1">
      <c r="A15" s="3305" t="s">
        <v>361</v>
      </c>
      <c r="B15" s="1081" t="s">
        <v>1593</v>
      </c>
      <c r="C15" s="1311">
        <f t="shared" si="0"/>
        <v>142476</v>
      </c>
      <c r="D15" s="1312">
        <v>13</v>
      </c>
      <c r="E15" s="1312">
        <v>125387</v>
      </c>
      <c r="F15" s="1318">
        <v>17076</v>
      </c>
      <c r="G15" s="1314"/>
    </row>
    <row r="16" spans="1:13" ht="19.5" customHeight="1">
      <c r="A16" s="3305"/>
      <c r="B16" s="1081" t="s">
        <v>0</v>
      </c>
      <c r="C16" s="1315">
        <f t="shared" si="0"/>
        <v>100</v>
      </c>
      <c r="D16" s="1316">
        <f>D15/$C15*100</f>
        <v>9.1243437491226598E-3</v>
      </c>
      <c r="E16" s="1316">
        <f>E15/$C15*100</f>
        <v>88.005699205480227</v>
      </c>
      <c r="F16" s="1317">
        <f>F15/$C15*100</f>
        <v>11.985176450770656</v>
      </c>
    </row>
    <row r="17" spans="1:8" ht="19.5" customHeight="1">
      <c r="A17" s="3305" t="s">
        <v>362</v>
      </c>
      <c r="B17" s="1081" t="s">
        <v>1593</v>
      </c>
      <c r="C17" s="1311">
        <f t="shared" si="0"/>
        <v>149509</v>
      </c>
      <c r="D17" s="1312">
        <v>12</v>
      </c>
      <c r="E17" s="1312">
        <v>129603</v>
      </c>
      <c r="F17" s="1318">
        <v>19894</v>
      </c>
      <c r="G17" s="1314"/>
    </row>
    <row r="18" spans="1:8" ht="19.5" customHeight="1">
      <c r="A18" s="3305"/>
      <c r="B18" s="1081" t="s">
        <v>0</v>
      </c>
      <c r="C18" s="1315">
        <f t="shared" si="0"/>
        <v>100</v>
      </c>
      <c r="D18" s="1316">
        <f>D17/$C17*100</f>
        <v>8.0262726658595802E-3</v>
      </c>
      <c r="E18" s="1316">
        <f>E17/$C17*100</f>
        <v>86.685751359449938</v>
      </c>
      <c r="F18" s="1317">
        <f>F17/$C17*100</f>
        <v>13.306222367884207</v>
      </c>
    </row>
    <row r="19" spans="1:8" ht="19.5" customHeight="1">
      <c r="A19" s="3305" t="s">
        <v>363</v>
      </c>
      <c r="B19" s="1081" t="s">
        <v>1593</v>
      </c>
      <c r="C19" s="1311">
        <f t="shared" si="0"/>
        <v>148943</v>
      </c>
      <c r="D19" s="1312">
        <v>13</v>
      </c>
      <c r="E19" s="1312">
        <v>127349</v>
      </c>
      <c r="F19" s="1318">
        <v>21581</v>
      </c>
      <c r="G19" s="1314"/>
    </row>
    <row r="20" spans="1:8" ht="19.5" customHeight="1">
      <c r="A20" s="3305"/>
      <c r="B20" s="1081" t="s">
        <v>0</v>
      </c>
      <c r="C20" s="1315">
        <f t="shared" si="0"/>
        <v>100</v>
      </c>
      <c r="D20" s="1316">
        <f>D19/$C19*100</f>
        <v>8.7281711795787649E-3</v>
      </c>
      <c r="E20" s="1316">
        <f>E19/$C19*100</f>
        <v>85.501836272936629</v>
      </c>
      <c r="F20" s="1317">
        <f>F19/$C19*100</f>
        <v>14.489435555883794</v>
      </c>
    </row>
    <row r="21" spans="1:8" ht="19.5" customHeight="1">
      <c r="A21" s="3367" t="s">
        <v>765</v>
      </c>
      <c r="B21" s="1319" t="s">
        <v>1595</v>
      </c>
      <c r="C21" s="1311">
        <f t="shared" si="0"/>
        <v>140518</v>
      </c>
      <c r="D21" s="1312">
        <v>16</v>
      </c>
      <c r="E21" s="1312">
        <v>118533</v>
      </c>
      <c r="F21" s="1318">
        <v>21969</v>
      </c>
      <c r="H21" s="1314"/>
    </row>
    <row r="22" spans="1:8" ht="19.5" customHeight="1">
      <c r="A22" s="3307"/>
      <c r="B22" s="1320" t="s">
        <v>0</v>
      </c>
      <c r="C22" s="1321">
        <f t="shared" si="0"/>
        <v>100</v>
      </c>
      <c r="D22" s="1322">
        <f>D21/$C21*100</f>
        <v>1.1386441594671145E-2</v>
      </c>
      <c r="E22" s="1322">
        <f>E21/$C21*100</f>
        <v>84.354317596322176</v>
      </c>
      <c r="F22" s="1323">
        <f>F21/$C21*100</f>
        <v>15.634295962083151</v>
      </c>
    </row>
    <row r="23" spans="1:8" ht="15.75" customHeight="1">
      <c r="A23" s="3366" t="s">
        <v>1596</v>
      </c>
      <c r="B23" s="3366"/>
      <c r="C23" s="3366"/>
    </row>
    <row r="24" spans="1:8" ht="15.75" customHeight="1"/>
    <row r="25" spans="1:8" ht="15.75" customHeight="1"/>
    <row r="26" spans="1:8" ht="15.75" customHeight="1"/>
    <row r="27" spans="1:8" ht="15.75" customHeight="1"/>
    <row r="28" spans="1:8" ht="15.75" customHeight="1"/>
    <row r="29" spans="1:8" ht="15.75" customHeight="1"/>
    <row r="30" spans="1:8" ht="15.75" customHeight="1"/>
    <row r="31" spans="1:8" ht="15.75" customHeight="1"/>
    <row r="32" spans="1:8" ht="15.75" customHeight="1"/>
    <row r="33" ht="15.75" customHeight="1"/>
    <row r="34" ht="15.75" customHeight="1"/>
    <row r="35" ht="15.75" customHeight="1"/>
    <row r="36" ht="15.75" customHeight="1"/>
    <row r="37" ht="15.75" customHeight="1"/>
    <row r="38" ht="15.75" customHeight="1"/>
  </sheetData>
  <mergeCells count="13">
    <mergeCell ref="A23:C23"/>
    <mergeCell ref="A11:A12"/>
    <mergeCell ref="A13:A14"/>
    <mergeCell ref="A15:A16"/>
    <mergeCell ref="A17:A18"/>
    <mergeCell ref="A19:A20"/>
    <mergeCell ref="A21:A22"/>
    <mergeCell ref="A9:A10"/>
    <mergeCell ref="A1:F1"/>
    <mergeCell ref="A2:B2"/>
    <mergeCell ref="A3:A4"/>
    <mergeCell ref="A5:A6"/>
    <mergeCell ref="A7:A8"/>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9" orientation="landscape" r:id="rId1"/>
  <headerFooter differentOddEven="1" scaleWithDoc="0">
    <oddHeader>&amp;L&amp;"Times New Roman,標準"&amp;8 107&amp;"標楷體,標準"年犯罪狀況及其分析</oddHeader>
    <evenHeader>&amp;R&amp;"標楷體,標準"&amp;8第二篇　犯罪之處理</evenHead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K17"/>
  <sheetViews>
    <sheetView showGridLines="0" workbookViewId="0">
      <selection activeCell="B16" sqref="B16"/>
    </sheetView>
  </sheetViews>
  <sheetFormatPr defaultColWidth="9" defaultRowHeight="15.75"/>
  <cols>
    <col min="1" max="1" width="20.125" style="1202" customWidth="1"/>
    <col min="2" max="2" width="10.375" style="1202" customWidth="1"/>
    <col min="3" max="3" width="11.125" style="1202" customWidth="1"/>
    <col min="4" max="4" width="10.25" style="1202" customWidth="1"/>
    <col min="5" max="5" width="10.75" style="1202" customWidth="1"/>
    <col min="6" max="6" width="11.5" style="1202" bestFit="1" customWidth="1"/>
    <col min="7" max="7" width="12.75" style="1202" bestFit="1" customWidth="1"/>
    <col min="8" max="8" width="11.5" style="1202" bestFit="1" customWidth="1"/>
    <col min="9" max="9" width="12.75" style="1202" bestFit="1" customWidth="1"/>
    <col min="10" max="10" width="11.5" style="1202" bestFit="1" customWidth="1"/>
    <col min="11" max="11" width="12.75" style="1202" customWidth="1"/>
    <col min="12" max="16384" width="9" style="1202"/>
  </cols>
  <sheetData>
    <row r="1" spans="1:11" ht="30.6" customHeight="1">
      <c r="A1" s="2964" t="s">
        <v>1597</v>
      </c>
      <c r="B1" s="2964"/>
      <c r="C1" s="2964"/>
      <c r="D1" s="2964"/>
      <c r="E1" s="2964"/>
      <c r="F1" s="2964"/>
      <c r="G1" s="2964"/>
      <c r="H1" s="2964"/>
      <c r="I1" s="2964"/>
      <c r="J1" s="2964"/>
      <c r="K1" s="2964"/>
    </row>
    <row r="2" spans="1:11" ht="31.9" customHeight="1">
      <c r="A2" s="2962" t="s">
        <v>1598</v>
      </c>
      <c r="B2" s="2966" t="s">
        <v>1599</v>
      </c>
      <c r="C2" s="2965"/>
      <c r="D2" s="2966" t="s">
        <v>1064</v>
      </c>
      <c r="E2" s="2965"/>
      <c r="F2" s="2966" t="s">
        <v>1065</v>
      </c>
      <c r="G2" s="2965"/>
      <c r="H2" s="2966" t="s">
        <v>1066</v>
      </c>
      <c r="I2" s="2965"/>
      <c r="J2" s="2966" t="s">
        <v>1067</v>
      </c>
      <c r="K2" s="2965"/>
    </row>
    <row r="3" spans="1:11" ht="31.9" customHeight="1">
      <c r="A3" s="3306"/>
      <c r="B3" s="1310" t="s">
        <v>1600</v>
      </c>
      <c r="C3" s="1310" t="s">
        <v>1035</v>
      </c>
      <c r="D3" s="1310" t="s">
        <v>1600</v>
      </c>
      <c r="E3" s="1310" t="s">
        <v>1035</v>
      </c>
      <c r="F3" s="1310" t="s">
        <v>1601</v>
      </c>
      <c r="G3" s="1310" t="s">
        <v>1233</v>
      </c>
      <c r="H3" s="1310" t="s">
        <v>1602</v>
      </c>
      <c r="I3" s="1310" t="s">
        <v>934</v>
      </c>
      <c r="J3" s="1310" t="s">
        <v>1602</v>
      </c>
      <c r="K3" s="653" t="s">
        <v>934</v>
      </c>
    </row>
    <row r="4" spans="1:11" ht="27.6" customHeight="1">
      <c r="A4" s="1324" t="s">
        <v>1603</v>
      </c>
      <c r="B4" s="1325">
        <f t="shared" ref="B4:K4" si="0">SUM(B5:B15)</f>
        <v>125668</v>
      </c>
      <c r="C4" s="1326">
        <f t="shared" si="0"/>
        <v>100</v>
      </c>
      <c r="D4" s="1325">
        <f t="shared" si="0"/>
        <v>125387</v>
      </c>
      <c r="E4" s="1326">
        <f t="shared" si="0"/>
        <v>100</v>
      </c>
      <c r="F4" s="1325">
        <f t="shared" si="0"/>
        <v>129603</v>
      </c>
      <c r="G4" s="1326">
        <f t="shared" si="0"/>
        <v>99.999999999999986</v>
      </c>
      <c r="H4" s="1325">
        <f t="shared" si="0"/>
        <v>127349</v>
      </c>
      <c r="I4" s="1326">
        <f t="shared" si="0"/>
        <v>100.00000000000001</v>
      </c>
      <c r="J4" s="1325">
        <f t="shared" si="0"/>
        <v>118533</v>
      </c>
      <c r="K4" s="1327">
        <f t="shared" si="0"/>
        <v>100</v>
      </c>
    </row>
    <row r="5" spans="1:11" ht="27.6" customHeight="1">
      <c r="A5" s="1328" t="s">
        <v>1604</v>
      </c>
      <c r="B5" s="696">
        <v>56242</v>
      </c>
      <c r="C5" s="1329">
        <f t="shared" ref="C5:C15" si="1">B5/B$4*100</f>
        <v>44.754432313715505</v>
      </c>
      <c r="D5" s="696">
        <v>53908</v>
      </c>
      <c r="E5" s="1329">
        <f t="shared" ref="E5:E15" si="2">D5/D$4*100</f>
        <v>42.993292765597708</v>
      </c>
      <c r="F5" s="696">
        <v>53529</v>
      </c>
      <c r="G5" s="1329">
        <f t="shared" ref="G5:G15" si="3">F5/F$4*100</f>
        <v>41.302284669336359</v>
      </c>
      <c r="H5" s="696">
        <v>51425</v>
      </c>
      <c r="I5" s="1329">
        <f t="shared" ref="I5:I15" si="4">H5/H$4*100</f>
        <v>40.381157292165625</v>
      </c>
      <c r="J5" s="696">
        <v>47729</v>
      </c>
      <c r="K5" s="1330">
        <f t="shared" ref="K5:K15" si="5">J5/J$4*100</f>
        <v>40.2664236963546</v>
      </c>
    </row>
    <row r="6" spans="1:11" ht="27.6" customHeight="1">
      <c r="A6" s="1328" t="s">
        <v>1605</v>
      </c>
      <c r="B6" s="696">
        <v>11379</v>
      </c>
      <c r="C6" s="1329">
        <f t="shared" si="1"/>
        <v>9.0548110895375107</v>
      </c>
      <c r="D6" s="696">
        <v>9967</v>
      </c>
      <c r="E6" s="1329">
        <f t="shared" si="2"/>
        <v>7.9489899271854334</v>
      </c>
      <c r="F6" s="696">
        <v>9567</v>
      </c>
      <c r="G6" s="1329">
        <f t="shared" si="3"/>
        <v>7.3817735700562492</v>
      </c>
      <c r="H6" s="696">
        <v>9055</v>
      </c>
      <c r="I6" s="1329">
        <f t="shared" si="4"/>
        <v>7.1103817069627553</v>
      </c>
      <c r="J6" s="696">
        <v>7789</v>
      </c>
      <c r="K6" s="1330">
        <f t="shared" si="5"/>
        <v>6.5711658356744529</v>
      </c>
    </row>
    <row r="7" spans="1:11" ht="27.6" customHeight="1">
      <c r="A7" s="1328" t="s">
        <v>1606</v>
      </c>
      <c r="B7" s="696">
        <v>34632</v>
      </c>
      <c r="C7" s="1329">
        <f t="shared" si="1"/>
        <v>27.558328293599004</v>
      </c>
      <c r="D7" s="696">
        <v>37984</v>
      </c>
      <c r="E7" s="1329">
        <f t="shared" si="2"/>
        <v>30.293411597693542</v>
      </c>
      <c r="F7" s="696">
        <v>41120</v>
      </c>
      <c r="G7" s="1329">
        <f t="shared" si="3"/>
        <v>31.727660625139848</v>
      </c>
      <c r="H7" s="696">
        <v>40726</v>
      </c>
      <c r="I7" s="1329">
        <f t="shared" si="4"/>
        <v>31.979834941774183</v>
      </c>
      <c r="J7" s="696">
        <v>38114</v>
      </c>
      <c r="K7" s="1330">
        <f t="shared" si="5"/>
        <v>32.154758590434732</v>
      </c>
    </row>
    <row r="8" spans="1:11" ht="27.6" customHeight="1">
      <c r="A8" s="1328" t="s">
        <v>1607</v>
      </c>
      <c r="B8" s="696">
        <v>14346</v>
      </c>
      <c r="C8" s="1329">
        <f t="shared" si="1"/>
        <v>11.415793996880669</v>
      </c>
      <c r="D8" s="696">
        <v>14680</v>
      </c>
      <c r="E8" s="1329">
        <f t="shared" si="2"/>
        <v>11.707752797339436</v>
      </c>
      <c r="F8" s="696">
        <v>15318</v>
      </c>
      <c r="G8" s="1329">
        <f t="shared" si="3"/>
        <v>11.819170852526561</v>
      </c>
      <c r="H8" s="696">
        <v>14729</v>
      </c>
      <c r="I8" s="1329">
        <f t="shared" si="4"/>
        <v>11.56585446293257</v>
      </c>
      <c r="J8" s="696">
        <v>13443</v>
      </c>
      <c r="K8" s="1330">
        <f t="shared" si="5"/>
        <v>11.341145503783757</v>
      </c>
    </row>
    <row r="9" spans="1:11" ht="27.6" customHeight="1">
      <c r="A9" s="1328" t="s">
        <v>1608</v>
      </c>
      <c r="B9" s="696">
        <v>3912</v>
      </c>
      <c r="C9" s="1329">
        <f t="shared" si="1"/>
        <v>3.1129643186809686</v>
      </c>
      <c r="D9" s="696">
        <v>4264</v>
      </c>
      <c r="E9" s="1329">
        <f t="shared" si="2"/>
        <v>3.4006715209710734</v>
      </c>
      <c r="F9" s="696">
        <v>4977</v>
      </c>
      <c r="G9" s="1329">
        <f t="shared" si="3"/>
        <v>3.8401888845165622</v>
      </c>
      <c r="H9" s="696">
        <v>5764</v>
      </c>
      <c r="I9" s="1329">
        <f t="shared" si="4"/>
        <v>4.5261446890042318</v>
      </c>
      <c r="J9" s="696">
        <v>5846</v>
      </c>
      <c r="K9" s="1330">
        <f t="shared" si="5"/>
        <v>4.9319598761526331</v>
      </c>
    </row>
    <row r="10" spans="1:11" ht="27.6" customHeight="1">
      <c r="A10" s="1328" t="s">
        <v>1609</v>
      </c>
      <c r="B10" s="696">
        <v>993</v>
      </c>
      <c r="C10" s="1329">
        <f t="shared" si="1"/>
        <v>0.79017729254862012</v>
      </c>
      <c r="D10" s="696">
        <v>857</v>
      </c>
      <c r="E10" s="1329">
        <f t="shared" si="2"/>
        <v>0.68348393374113747</v>
      </c>
      <c r="F10" s="696">
        <v>921</v>
      </c>
      <c r="G10" s="1329">
        <f t="shared" si="3"/>
        <v>0.71063169834031625</v>
      </c>
      <c r="H10" s="696">
        <v>1084</v>
      </c>
      <c r="I10" s="1329">
        <f t="shared" si="4"/>
        <v>0.85120417121453651</v>
      </c>
      <c r="J10" s="696">
        <v>1110</v>
      </c>
      <c r="K10" s="1330">
        <f t="shared" si="5"/>
        <v>0.93644807775049999</v>
      </c>
    </row>
    <row r="11" spans="1:11" ht="27.6" customHeight="1">
      <c r="A11" s="1328" t="s">
        <v>1610</v>
      </c>
      <c r="B11" s="696">
        <v>2216</v>
      </c>
      <c r="C11" s="1329">
        <f t="shared" si="1"/>
        <v>1.7633765158990355</v>
      </c>
      <c r="D11" s="696">
        <v>2009</v>
      </c>
      <c r="E11" s="1329">
        <f t="shared" si="2"/>
        <v>1.6022394666113711</v>
      </c>
      <c r="F11" s="696">
        <v>2395</v>
      </c>
      <c r="G11" s="1329">
        <f t="shared" si="3"/>
        <v>1.8479510505158059</v>
      </c>
      <c r="H11" s="696">
        <v>2681</v>
      </c>
      <c r="I11" s="1329">
        <f t="shared" si="4"/>
        <v>2.1052383607252509</v>
      </c>
      <c r="J11" s="696">
        <v>2618</v>
      </c>
      <c r="K11" s="1330">
        <f t="shared" si="5"/>
        <v>2.208667628424152</v>
      </c>
    </row>
    <row r="12" spans="1:11" ht="27.6" customHeight="1">
      <c r="A12" s="1328" t="s">
        <v>1611</v>
      </c>
      <c r="B12" s="696">
        <v>477</v>
      </c>
      <c r="C12" s="1329">
        <f t="shared" si="1"/>
        <v>0.37957156953241872</v>
      </c>
      <c r="D12" s="696">
        <v>454</v>
      </c>
      <c r="E12" s="1329">
        <f t="shared" si="2"/>
        <v>0.36207900340545668</v>
      </c>
      <c r="F12" s="696">
        <v>448</v>
      </c>
      <c r="G12" s="1329">
        <f t="shared" si="3"/>
        <v>0.34567101070191275</v>
      </c>
      <c r="H12" s="696">
        <v>423</v>
      </c>
      <c r="I12" s="1329">
        <f t="shared" si="4"/>
        <v>0.33215808526176099</v>
      </c>
      <c r="J12" s="696">
        <v>420</v>
      </c>
      <c r="K12" s="1330">
        <f t="shared" si="5"/>
        <v>0.35433170509478373</v>
      </c>
    </row>
    <row r="13" spans="1:11" ht="27.6" customHeight="1">
      <c r="A13" s="1328" t="s">
        <v>1612</v>
      </c>
      <c r="B13" s="696">
        <v>1112</v>
      </c>
      <c r="C13" s="1329">
        <f t="shared" si="1"/>
        <v>0.8848712480504185</v>
      </c>
      <c r="D13" s="696">
        <v>983</v>
      </c>
      <c r="E13" s="1329">
        <f t="shared" si="2"/>
        <v>0.7839728201488193</v>
      </c>
      <c r="F13" s="696">
        <v>1090</v>
      </c>
      <c r="G13" s="1329">
        <f t="shared" si="3"/>
        <v>0.84102991443099318</v>
      </c>
      <c r="H13" s="696">
        <v>1170</v>
      </c>
      <c r="I13" s="1329">
        <f t="shared" si="4"/>
        <v>0.91873512944742397</v>
      </c>
      <c r="J13" s="696">
        <v>1204</v>
      </c>
      <c r="K13" s="1330">
        <f t="shared" si="5"/>
        <v>1.0157508879383801</v>
      </c>
    </row>
    <row r="14" spans="1:11" ht="27.6" customHeight="1">
      <c r="A14" s="1328" t="s">
        <v>1613</v>
      </c>
      <c r="B14" s="696">
        <v>160</v>
      </c>
      <c r="C14" s="1329">
        <f t="shared" si="1"/>
        <v>0.12731960403603146</v>
      </c>
      <c r="D14" s="696">
        <v>113</v>
      </c>
      <c r="E14" s="1329">
        <f t="shared" si="2"/>
        <v>9.0120985429111469E-2</v>
      </c>
      <c r="F14" s="696">
        <v>87</v>
      </c>
      <c r="G14" s="1329">
        <f t="shared" si="3"/>
        <v>6.7128075738987519E-2</v>
      </c>
      <c r="H14" s="696">
        <v>110</v>
      </c>
      <c r="I14" s="1329">
        <f t="shared" si="4"/>
        <v>8.6376807042065504E-2</v>
      </c>
      <c r="J14" s="696">
        <v>103</v>
      </c>
      <c r="K14" s="1330">
        <f t="shared" si="5"/>
        <v>8.6895632439911247E-2</v>
      </c>
    </row>
    <row r="15" spans="1:11" ht="27.6" customHeight="1">
      <c r="A15" s="1331" t="s">
        <v>1614</v>
      </c>
      <c r="B15" s="1332">
        <v>199</v>
      </c>
      <c r="C15" s="1333">
        <f t="shared" si="1"/>
        <v>0.15835375751981412</v>
      </c>
      <c r="D15" s="701">
        <v>168</v>
      </c>
      <c r="E15" s="1333">
        <f t="shared" si="2"/>
        <v>0.13398518187690908</v>
      </c>
      <c r="F15" s="701">
        <v>151</v>
      </c>
      <c r="G15" s="1333">
        <f t="shared" si="3"/>
        <v>0.11650964869640364</v>
      </c>
      <c r="H15" s="701">
        <v>182</v>
      </c>
      <c r="I15" s="1333">
        <f t="shared" si="4"/>
        <v>0.1429143534695993</v>
      </c>
      <c r="J15" s="701">
        <v>157</v>
      </c>
      <c r="K15" s="1334">
        <f t="shared" si="5"/>
        <v>0.13245256595209773</v>
      </c>
    </row>
    <row r="16" spans="1:11">
      <c r="A16" s="1219" t="s">
        <v>1108</v>
      </c>
    </row>
    <row r="17" spans="1:1">
      <c r="A17" s="1219" t="s">
        <v>1615</v>
      </c>
    </row>
  </sheetData>
  <mergeCells count="7">
    <mergeCell ref="A1:K1"/>
    <mergeCell ref="A2:A3"/>
    <mergeCell ref="B2:C2"/>
    <mergeCell ref="D2:E2"/>
    <mergeCell ref="F2:G2"/>
    <mergeCell ref="H2:I2"/>
    <mergeCell ref="J2:K2"/>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70"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H27"/>
  <sheetViews>
    <sheetView showGridLines="0" workbookViewId="0">
      <selection activeCell="B16" sqref="B16"/>
    </sheetView>
  </sheetViews>
  <sheetFormatPr defaultColWidth="9" defaultRowHeight="15.75"/>
  <cols>
    <col min="1" max="1" width="31.75" style="1202" customWidth="1"/>
    <col min="2" max="3" width="19.5" style="1202" customWidth="1"/>
    <col min="4" max="6" width="18.625" style="1202" customWidth="1"/>
    <col min="7" max="16384" width="9" style="1202"/>
  </cols>
  <sheetData>
    <row r="1" spans="1:8" ht="20.25">
      <c r="A1" s="2964" t="s">
        <v>1616</v>
      </c>
      <c r="B1" s="2964"/>
      <c r="C1" s="2964"/>
      <c r="D1" s="2964"/>
      <c r="E1" s="2964"/>
      <c r="F1" s="2964"/>
    </row>
    <row r="2" spans="1:8" ht="15.6" customHeight="1">
      <c r="A2" s="1335"/>
      <c r="B2" s="1335"/>
      <c r="C2" s="1335"/>
      <c r="D2" s="1335"/>
      <c r="E2" s="1335"/>
      <c r="F2" s="932" t="s">
        <v>1617</v>
      </c>
      <c r="G2" s="1336"/>
    </row>
    <row r="3" spans="1:8" ht="30" customHeight="1">
      <c r="A3" s="2981"/>
      <c r="B3" s="3368" t="s">
        <v>1618</v>
      </c>
      <c r="C3" s="689"/>
      <c r="D3" s="3369" t="s">
        <v>1619</v>
      </c>
      <c r="E3" s="3371" t="s">
        <v>1620</v>
      </c>
      <c r="F3" s="3372" t="s">
        <v>1621</v>
      </c>
    </row>
    <row r="4" spans="1:8" ht="30" customHeight="1">
      <c r="A4" s="2983"/>
      <c r="B4" s="2983"/>
      <c r="C4" s="1310" t="s">
        <v>1622</v>
      </c>
      <c r="D4" s="3370"/>
      <c r="E4" s="3370"/>
      <c r="F4" s="3373"/>
    </row>
    <row r="5" spans="1:8" ht="20.45" customHeight="1">
      <c r="A5" s="660" t="s">
        <v>1623</v>
      </c>
      <c r="B5" s="1337">
        <f t="shared" ref="B5:B26" si="0">SUM(D5:F5)</f>
        <v>21969</v>
      </c>
      <c r="C5" s="1338">
        <f>SUM(C6:C26)</f>
        <v>100</v>
      </c>
      <c r="D5" s="1337">
        <f>SUM(D6:D26)</f>
        <v>6161</v>
      </c>
      <c r="E5" s="1337">
        <f>SUM(E6:E26)</f>
        <v>14558</v>
      </c>
      <c r="F5" s="1339">
        <f>SUM(F6:F26)</f>
        <v>1250</v>
      </c>
    </row>
    <row r="6" spans="1:8" ht="20.45" customHeight="1">
      <c r="A6" s="660" t="s">
        <v>1624</v>
      </c>
      <c r="B6" s="1337">
        <f t="shared" si="0"/>
        <v>5878</v>
      </c>
      <c r="C6" s="1338">
        <f t="shared" ref="C6:C26" si="1">B6/B$5*100</f>
        <v>26.755883290090583</v>
      </c>
      <c r="D6" s="1337">
        <v>3048</v>
      </c>
      <c r="E6" s="1337">
        <v>2550</v>
      </c>
      <c r="F6" s="1339">
        <v>280</v>
      </c>
      <c r="H6" s="1236"/>
    </row>
    <row r="7" spans="1:8" ht="20.45" customHeight="1">
      <c r="A7" s="660" t="s">
        <v>1625</v>
      </c>
      <c r="B7" s="1337">
        <f t="shared" si="0"/>
        <v>5607</v>
      </c>
      <c r="C7" s="1338">
        <f t="shared" si="1"/>
        <v>25.52232691519869</v>
      </c>
      <c r="D7" s="1337">
        <v>757</v>
      </c>
      <c r="E7" s="1337">
        <v>4500</v>
      </c>
      <c r="F7" s="1339">
        <v>350</v>
      </c>
    </row>
    <row r="8" spans="1:8" ht="20.45" customHeight="1">
      <c r="A8" s="698" t="s">
        <v>1626</v>
      </c>
      <c r="B8" s="1337">
        <f t="shared" si="0"/>
        <v>1932</v>
      </c>
      <c r="C8" s="1338">
        <f t="shared" si="1"/>
        <v>8.7942100232145304</v>
      </c>
      <c r="D8" s="1337">
        <v>497</v>
      </c>
      <c r="E8" s="1337">
        <v>1261</v>
      </c>
      <c r="F8" s="1339">
        <v>174</v>
      </c>
    </row>
    <row r="9" spans="1:8" ht="20.45" customHeight="1">
      <c r="A9" s="660" t="s">
        <v>1084</v>
      </c>
      <c r="B9" s="1337">
        <f t="shared" si="0"/>
        <v>1891</v>
      </c>
      <c r="C9" s="1338">
        <f t="shared" si="1"/>
        <v>8.6075834129910316</v>
      </c>
      <c r="D9" s="1337">
        <v>348</v>
      </c>
      <c r="E9" s="1337">
        <v>1446</v>
      </c>
      <c r="F9" s="1339">
        <v>97</v>
      </c>
      <c r="H9" s="1236"/>
    </row>
    <row r="10" spans="1:8" ht="20.45" customHeight="1">
      <c r="A10" s="660" t="s">
        <v>1627</v>
      </c>
      <c r="B10" s="1337">
        <f t="shared" si="0"/>
        <v>1054</v>
      </c>
      <c r="C10" s="1338">
        <f t="shared" si="1"/>
        <v>4.7976694433064768</v>
      </c>
      <c r="D10" s="1337">
        <v>220</v>
      </c>
      <c r="E10" s="1337">
        <v>772</v>
      </c>
      <c r="F10" s="1339">
        <v>62</v>
      </c>
    </row>
    <row r="11" spans="1:8" ht="20.45" customHeight="1">
      <c r="A11" s="660" t="s">
        <v>1081</v>
      </c>
      <c r="B11" s="1337">
        <f t="shared" si="0"/>
        <v>992</v>
      </c>
      <c r="C11" s="1338">
        <f t="shared" si="1"/>
        <v>4.5154535937002134</v>
      </c>
      <c r="D11" s="1337">
        <v>324</v>
      </c>
      <c r="E11" s="1337">
        <v>641</v>
      </c>
      <c r="F11" s="1339">
        <v>27</v>
      </c>
    </row>
    <row r="12" spans="1:8" ht="20.45" customHeight="1">
      <c r="A12" s="660" t="s">
        <v>982</v>
      </c>
      <c r="B12" s="1337">
        <f t="shared" si="0"/>
        <v>986</v>
      </c>
      <c r="C12" s="1338">
        <f t="shared" si="1"/>
        <v>4.4881423824479949</v>
      </c>
      <c r="D12" s="1337">
        <v>294</v>
      </c>
      <c r="E12" s="1337">
        <v>617</v>
      </c>
      <c r="F12" s="1339">
        <v>75</v>
      </c>
    </row>
    <row r="13" spans="1:8" ht="20.45" customHeight="1">
      <c r="A13" s="660" t="s">
        <v>1085</v>
      </c>
      <c r="B13" s="1337">
        <f t="shared" si="0"/>
        <v>932</v>
      </c>
      <c r="C13" s="1338">
        <f t="shared" si="1"/>
        <v>4.2423414811780233</v>
      </c>
      <c r="D13" s="1337">
        <v>252</v>
      </c>
      <c r="E13" s="1337">
        <v>634</v>
      </c>
      <c r="F13" s="1339">
        <v>46</v>
      </c>
    </row>
    <row r="14" spans="1:8" ht="20.45" customHeight="1">
      <c r="A14" s="660" t="s">
        <v>434</v>
      </c>
      <c r="B14" s="1337">
        <f t="shared" si="0"/>
        <v>725</v>
      </c>
      <c r="C14" s="1338">
        <f t="shared" si="1"/>
        <v>3.3001046929764666</v>
      </c>
      <c r="D14" s="1337">
        <v>141</v>
      </c>
      <c r="E14" s="1337">
        <v>547</v>
      </c>
      <c r="F14" s="1339">
        <v>37</v>
      </c>
    </row>
    <row r="15" spans="1:8" ht="20.45" customHeight="1">
      <c r="A15" s="660" t="s">
        <v>1083</v>
      </c>
      <c r="B15" s="1337">
        <f t="shared" si="0"/>
        <v>661</v>
      </c>
      <c r="C15" s="1338">
        <f t="shared" si="1"/>
        <v>3.0087851062861306</v>
      </c>
      <c r="D15" s="1337">
        <v>54</v>
      </c>
      <c r="E15" s="1337">
        <v>565</v>
      </c>
      <c r="F15" s="1339">
        <v>42</v>
      </c>
    </row>
    <row r="16" spans="1:8" s="1340" customFormat="1" ht="20.45" customHeight="1">
      <c r="A16" s="660" t="s">
        <v>1628</v>
      </c>
      <c r="B16" s="1337">
        <f t="shared" si="0"/>
        <v>188</v>
      </c>
      <c r="C16" s="1338">
        <f t="shared" si="1"/>
        <v>0.85575128590286309</v>
      </c>
      <c r="D16" s="1337">
        <v>3</v>
      </c>
      <c r="E16" s="1337">
        <v>174</v>
      </c>
      <c r="F16" s="1339">
        <v>11</v>
      </c>
    </row>
    <row r="17" spans="1:8" ht="20.45" customHeight="1">
      <c r="A17" s="660" t="s">
        <v>1629</v>
      </c>
      <c r="B17" s="1337">
        <f t="shared" si="0"/>
        <v>172</v>
      </c>
      <c r="C17" s="1338">
        <f t="shared" si="1"/>
        <v>0.7829213892302791</v>
      </c>
      <c r="D17" s="1337">
        <v>0</v>
      </c>
      <c r="E17" s="1337">
        <v>171</v>
      </c>
      <c r="F17" s="1339">
        <v>1</v>
      </c>
      <c r="H17" s="1236"/>
    </row>
    <row r="18" spans="1:8" ht="20.45" customHeight="1">
      <c r="A18" s="660" t="s">
        <v>968</v>
      </c>
      <c r="B18" s="1337">
        <f t="shared" si="0"/>
        <v>166</v>
      </c>
      <c r="C18" s="1338">
        <f t="shared" si="1"/>
        <v>0.75561017797806007</v>
      </c>
      <c r="D18" s="1337">
        <v>72</v>
      </c>
      <c r="E18" s="1337">
        <v>82</v>
      </c>
      <c r="F18" s="1339">
        <v>12</v>
      </c>
    </row>
    <row r="19" spans="1:8" ht="20.45" customHeight="1">
      <c r="A19" s="660" t="s">
        <v>964</v>
      </c>
      <c r="B19" s="1337">
        <f t="shared" si="0"/>
        <v>130</v>
      </c>
      <c r="C19" s="1338">
        <f t="shared" si="1"/>
        <v>0.5917429104647457</v>
      </c>
      <c r="D19" s="1337">
        <v>69</v>
      </c>
      <c r="E19" s="1337">
        <v>56</v>
      </c>
      <c r="F19" s="1339">
        <v>5</v>
      </c>
    </row>
    <row r="20" spans="1:8" ht="20.45" customHeight="1">
      <c r="A20" s="698" t="s">
        <v>867</v>
      </c>
      <c r="B20" s="1337">
        <f t="shared" si="0"/>
        <v>123</v>
      </c>
      <c r="C20" s="1338">
        <f t="shared" si="1"/>
        <v>0.55987983067049019</v>
      </c>
      <c r="D20" s="1337">
        <v>7</v>
      </c>
      <c r="E20" s="1337">
        <v>113</v>
      </c>
      <c r="F20" s="1339">
        <v>3</v>
      </c>
    </row>
    <row r="21" spans="1:8" ht="20.45" customHeight="1">
      <c r="A21" s="660" t="s">
        <v>853</v>
      </c>
      <c r="B21" s="1337">
        <f t="shared" si="0"/>
        <v>114</v>
      </c>
      <c r="C21" s="1338">
        <f t="shared" si="1"/>
        <v>0.5189130137921617</v>
      </c>
      <c r="D21" s="1337">
        <v>23</v>
      </c>
      <c r="E21" s="1337">
        <v>80</v>
      </c>
      <c r="F21" s="1339">
        <v>11</v>
      </c>
      <c r="H21" s="1236"/>
    </row>
    <row r="22" spans="1:8" ht="20.45" customHeight="1">
      <c r="A22" s="660" t="s">
        <v>862</v>
      </c>
      <c r="B22" s="1337">
        <f t="shared" si="0"/>
        <v>110</v>
      </c>
      <c r="C22" s="1338">
        <f t="shared" si="1"/>
        <v>0.50070553962401565</v>
      </c>
      <c r="D22" s="1337">
        <v>22</v>
      </c>
      <c r="E22" s="1337">
        <v>86</v>
      </c>
      <c r="F22" s="1339">
        <v>2</v>
      </c>
    </row>
    <row r="23" spans="1:8" ht="20.45" customHeight="1">
      <c r="A23" s="660" t="s">
        <v>1630</v>
      </c>
      <c r="B23" s="1337">
        <f t="shared" si="0"/>
        <v>86</v>
      </c>
      <c r="C23" s="1338">
        <f t="shared" si="1"/>
        <v>0.39146069461513955</v>
      </c>
      <c r="D23" s="1337">
        <v>16</v>
      </c>
      <c r="E23" s="1337">
        <v>65</v>
      </c>
      <c r="F23" s="1339">
        <v>5</v>
      </c>
    </row>
    <row r="24" spans="1:8" ht="20.45" customHeight="1">
      <c r="A24" s="660" t="s">
        <v>872</v>
      </c>
      <c r="B24" s="1337">
        <f t="shared" si="0"/>
        <v>78</v>
      </c>
      <c r="C24" s="1338">
        <f t="shared" si="1"/>
        <v>0.35504574627884744</v>
      </c>
      <c r="D24" s="1337">
        <v>1</v>
      </c>
      <c r="E24" s="1337">
        <v>74</v>
      </c>
      <c r="F24" s="1339">
        <v>3</v>
      </c>
    </row>
    <row r="25" spans="1:8" ht="20.45" customHeight="1">
      <c r="A25" s="660" t="s">
        <v>1631</v>
      </c>
      <c r="B25" s="1337">
        <f t="shared" si="0"/>
        <v>75</v>
      </c>
      <c r="C25" s="1338">
        <f t="shared" si="1"/>
        <v>0.34139014065273793</v>
      </c>
      <c r="D25" s="1337">
        <v>12</v>
      </c>
      <c r="E25" s="1337">
        <v>60</v>
      </c>
      <c r="F25" s="1339">
        <v>3</v>
      </c>
    </row>
    <row r="26" spans="1:8" ht="20.45" customHeight="1">
      <c r="A26" s="661" t="s">
        <v>1632</v>
      </c>
      <c r="B26" s="1341">
        <f t="shared" si="0"/>
        <v>69</v>
      </c>
      <c r="C26" s="1342">
        <f t="shared" si="1"/>
        <v>0.3140789294005189</v>
      </c>
      <c r="D26" s="1341">
        <v>1</v>
      </c>
      <c r="E26" s="1341">
        <v>64</v>
      </c>
      <c r="F26" s="1343">
        <v>4</v>
      </c>
    </row>
    <row r="27" spans="1:8">
      <c r="A27" s="1219" t="s">
        <v>784</v>
      </c>
    </row>
  </sheetData>
  <mergeCells count="6">
    <mergeCell ref="A1:F1"/>
    <mergeCell ref="A3:A4"/>
    <mergeCell ref="B3:B4"/>
    <mergeCell ref="D3:D4"/>
    <mergeCell ref="E3:E4"/>
    <mergeCell ref="F3:F4"/>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70"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G9"/>
  <sheetViews>
    <sheetView showGridLines="0" workbookViewId="0">
      <selection activeCell="B16" sqref="B16"/>
    </sheetView>
  </sheetViews>
  <sheetFormatPr defaultColWidth="9" defaultRowHeight="15.75"/>
  <cols>
    <col min="1" max="1" width="25.75" style="1202" customWidth="1"/>
    <col min="2" max="6" width="16.625" style="1202" customWidth="1"/>
    <col min="7" max="16384" width="9" style="1202"/>
  </cols>
  <sheetData>
    <row r="1" spans="1:7" s="1344" customFormat="1" ht="30.6" customHeight="1">
      <c r="A1" s="2964" t="s">
        <v>1633</v>
      </c>
      <c r="B1" s="2964"/>
      <c r="C1" s="2964"/>
      <c r="D1" s="2964"/>
      <c r="E1" s="2964"/>
      <c r="F1" s="2964"/>
    </row>
    <row r="2" spans="1:7">
      <c r="D2" s="932"/>
      <c r="E2" s="932"/>
      <c r="F2" s="932" t="s">
        <v>1634</v>
      </c>
    </row>
    <row r="3" spans="1:7" ht="49.9" customHeight="1">
      <c r="A3" s="690"/>
      <c r="B3" s="690" t="s">
        <v>1270</v>
      </c>
      <c r="C3" s="653" t="s">
        <v>1064</v>
      </c>
      <c r="D3" s="653" t="s">
        <v>1065</v>
      </c>
      <c r="E3" s="653" t="s">
        <v>1066</v>
      </c>
      <c r="F3" s="653" t="s">
        <v>1067</v>
      </c>
    </row>
    <row r="4" spans="1:7" ht="49.9" customHeight="1">
      <c r="A4" s="660" t="s">
        <v>1635</v>
      </c>
      <c r="B4" s="1345" t="s">
        <v>1636</v>
      </c>
      <c r="C4" s="1345" t="s">
        <v>1637</v>
      </c>
      <c r="D4" s="1345" t="s">
        <v>1638</v>
      </c>
      <c r="E4" s="1345" t="s">
        <v>1639</v>
      </c>
      <c r="F4" s="1345" t="s">
        <v>1640</v>
      </c>
    </row>
    <row r="5" spans="1:7" ht="49.9" customHeight="1">
      <c r="A5" s="660" t="s">
        <v>1641</v>
      </c>
      <c r="B5" s="1345" t="s">
        <v>1642</v>
      </c>
      <c r="C5" s="1345" t="s">
        <v>1643</v>
      </c>
      <c r="D5" s="1345" t="s">
        <v>1644</v>
      </c>
      <c r="E5" s="1345" t="s">
        <v>1645</v>
      </c>
      <c r="F5" s="1345" t="s">
        <v>1646</v>
      </c>
    </row>
    <row r="6" spans="1:7" ht="49.9" customHeight="1">
      <c r="A6" s="660" t="s">
        <v>1647</v>
      </c>
      <c r="B6" s="1345" t="s">
        <v>1648</v>
      </c>
      <c r="C6" s="1345" t="s">
        <v>1649</v>
      </c>
      <c r="D6" s="1345" t="s">
        <v>1650</v>
      </c>
      <c r="E6" s="1345" t="s">
        <v>1651</v>
      </c>
      <c r="F6" s="1345" t="s">
        <v>1652</v>
      </c>
    </row>
    <row r="7" spans="1:7" ht="49.9" customHeight="1">
      <c r="A7" s="661" t="s">
        <v>1653</v>
      </c>
      <c r="B7" s="1346" t="s">
        <v>1654</v>
      </c>
      <c r="C7" s="1346" t="s">
        <v>1655</v>
      </c>
      <c r="D7" s="1346" t="s">
        <v>1656</v>
      </c>
      <c r="E7" s="1346" t="s">
        <v>1657</v>
      </c>
      <c r="F7" s="1346" t="s">
        <v>1658</v>
      </c>
    </row>
    <row r="8" spans="1:7" s="1219" customFormat="1" ht="14.25">
      <c r="A8" s="1219" t="s">
        <v>1659</v>
      </c>
      <c r="B8" s="665"/>
      <c r="C8" s="665"/>
      <c r="D8" s="665"/>
      <c r="E8" s="665"/>
      <c r="F8" s="665"/>
      <c r="G8" s="665"/>
    </row>
    <row r="9" spans="1:7">
      <c r="A9" s="1219" t="s">
        <v>1660</v>
      </c>
      <c r="B9" s="650"/>
      <c r="C9" s="650"/>
      <c r="D9" s="650"/>
      <c r="E9" s="650"/>
      <c r="F9" s="650"/>
      <c r="G9" s="650"/>
    </row>
  </sheetData>
  <mergeCells count="1">
    <mergeCell ref="A1:F1"/>
  </mergeCells>
  <phoneticPr fontId="61" type="noConversion"/>
  <printOptions horizontalCentered="1" verticalCentered="1"/>
  <pageMargins left="0.39370078740157483" right="0.39370078740157483" top="0.74803149606299213" bottom="0.74803149606299213" header="0.31496062992125984" footer="0.31496062992125984"/>
  <pageSetup paperSize="11"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I25"/>
  <sheetViews>
    <sheetView showGridLines="0" workbookViewId="0">
      <selection activeCell="B16" sqref="B16"/>
    </sheetView>
  </sheetViews>
  <sheetFormatPr defaultColWidth="9" defaultRowHeight="15.75"/>
  <cols>
    <col min="1" max="1" width="6" style="650" customWidth="1"/>
    <col min="2" max="2" width="5" style="961" customWidth="1"/>
    <col min="3" max="9" width="13.625" style="650" customWidth="1"/>
    <col min="10" max="16384" width="9" style="650"/>
  </cols>
  <sheetData>
    <row r="1" spans="1:9" s="1344" customFormat="1" ht="29.25" customHeight="1">
      <c r="A1" s="2964" t="s">
        <v>1661</v>
      </c>
      <c r="B1" s="2964"/>
      <c r="C1" s="2964"/>
      <c r="D1" s="2964"/>
      <c r="E1" s="2964"/>
      <c r="F1" s="2964"/>
      <c r="G1" s="2964"/>
      <c r="H1" s="2964"/>
      <c r="I1" s="2964"/>
    </row>
    <row r="2" spans="1:9" ht="27.95" customHeight="1">
      <c r="A2" s="2965"/>
      <c r="B2" s="2965"/>
      <c r="C2" s="691" t="s">
        <v>1662</v>
      </c>
      <c r="D2" s="1347" t="s">
        <v>1663</v>
      </c>
      <c r="E2" s="1348" t="s">
        <v>1664</v>
      </c>
      <c r="F2" s="1347" t="s">
        <v>1665</v>
      </c>
      <c r="G2" s="1347" t="s">
        <v>1666</v>
      </c>
      <c r="H2" s="1347" t="s">
        <v>1667</v>
      </c>
      <c r="I2" s="1349" t="s">
        <v>1668</v>
      </c>
    </row>
    <row r="3" spans="1:9" ht="18" customHeight="1">
      <c r="A3" s="3374" t="s">
        <v>1669</v>
      </c>
      <c r="B3" s="1350" t="s">
        <v>1516</v>
      </c>
      <c r="C3" s="1351">
        <f t="shared" ref="C3:C22" si="0">SUM(D3:I3)</f>
        <v>5890</v>
      </c>
      <c r="D3" s="1351">
        <v>5161</v>
      </c>
      <c r="E3" s="1351">
        <v>189</v>
      </c>
      <c r="F3" s="1351">
        <v>156</v>
      </c>
      <c r="G3" s="1351">
        <v>216</v>
      </c>
      <c r="H3" s="1351">
        <v>42</v>
      </c>
      <c r="I3" s="1352">
        <v>126</v>
      </c>
    </row>
    <row r="4" spans="1:9" ht="18" customHeight="1">
      <c r="A4" s="3374"/>
      <c r="B4" s="1350" t="s">
        <v>0</v>
      </c>
      <c r="C4" s="1353">
        <f t="shared" si="0"/>
        <v>99.999999999999986</v>
      </c>
      <c r="D4" s="1354">
        <f t="shared" ref="D4:I4" si="1">D3/$C3*100</f>
        <v>87.623089983022069</v>
      </c>
      <c r="E4" s="1354">
        <f t="shared" si="1"/>
        <v>3.208828522920204</v>
      </c>
      <c r="F4" s="1354">
        <f t="shared" si="1"/>
        <v>2.6485568760611207</v>
      </c>
      <c r="G4" s="1354">
        <f t="shared" si="1"/>
        <v>3.66723259762309</v>
      </c>
      <c r="H4" s="1354">
        <f t="shared" si="1"/>
        <v>0.71307300509337856</v>
      </c>
      <c r="I4" s="1355">
        <f t="shared" si="1"/>
        <v>2.1392190152801356</v>
      </c>
    </row>
    <row r="5" spans="1:9" ht="18" customHeight="1">
      <c r="A5" s="3374" t="s">
        <v>1107</v>
      </c>
      <c r="B5" s="1350" t="s">
        <v>1670</v>
      </c>
      <c r="C5" s="1351">
        <f t="shared" si="0"/>
        <v>5547</v>
      </c>
      <c r="D5" s="1351">
        <v>4757</v>
      </c>
      <c r="E5" s="1351">
        <v>263</v>
      </c>
      <c r="F5" s="1351">
        <v>176</v>
      </c>
      <c r="G5" s="1351">
        <v>226</v>
      </c>
      <c r="H5" s="1351">
        <v>44</v>
      </c>
      <c r="I5" s="1356">
        <v>81</v>
      </c>
    </row>
    <row r="6" spans="1:9" ht="18" customHeight="1">
      <c r="A6" s="3374"/>
      <c r="B6" s="1350" t="s">
        <v>0</v>
      </c>
      <c r="C6" s="1353">
        <f t="shared" si="0"/>
        <v>100.00000000000001</v>
      </c>
      <c r="D6" s="1354">
        <f t="shared" ref="D6:I6" si="2">D5/$C5*100</f>
        <v>85.758067423832713</v>
      </c>
      <c r="E6" s="1354">
        <f t="shared" si="2"/>
        <v>4.7413016044708849</v>
      </c>
      <c r="F6" s="1354">
        <f t="shared" si="2"/>
        <v>3.1728862448170183</v>
      </c>
      <c r="G6" s="1354">
        <f t="shared" si="2"/>
        <v>4.0742743825491257</v>
      </c>
      <c r="H6" s="1354">
        <f t="shared" si="2"/>
        <v>0.79322156120425458</v>
      </c>
      <c r="I6" s="1355">
        <f t="shared" si="2"/>
        <v>1.4602487831260142</v>
      </c>
    </row>
    <row r="7" spans="1:9" ht="18" customHeight="1">
      <c r="A7" s="3374" t="s">
        <v>1060</v>
      </c>
      <c r="B7" s="1350" t="s">
        <v>1671</v>
      </c>
      <c r="C7" s="1351">
        <f t="shared" si="0"/>
        <v>5414</v>
      </c>
      <c r="D7" s="1351">
        <v>4644</v>
      </c>
      <c r="E7" s="1351">
        <v>255</v>
      </c>
      <c r="F7" s="1351">
        <v>186</v>
      </c>
      <c r="G7" s="1351">
        <v>205</v>
      </c>
      <c r="H7" s="1351">
        <v>64</v>
      </c>
      <c r="I7" s="1356">
        <v>60</v>
      </c>
    </row>
    <row r="8" spans="1:9" ht="18" customHeight="1">
      <c r="A8" s="3374"/>
      <c r="B8" s="1350" t="s">
        <v>0</v>
      </c>
      <c r="C8" s="1353">
        <f t="shared" si="0"/>
        <v>100.00000000000001</v>
      </c>
      <c r="D8" s="1354">
        <f t="shared" ref="D8:I8" si="3">D7/$C7*100</f>
        <v>85.777613594384931</v>
      </c>
      <c r="E8" s="1354">
        <f t="shared" si="3"/>
        <v>4.7100110823790171</v>
      </c>
      <c r="F8" s="1354">
        <f t="shared" si="3"/>
        <v>3.4355374953823423</v>
      </c>
      <c r="G8" s="1354">
        <f t="shared" si="3"/>
        <v>3.7864794975988181</v>
      </c>
      <c r="H8" s="1354">
        <f t="shared" si="3"/>
        <v>1.1821204285186553</v>
      </c>
      <c r="I8" s="1355">
        <f t="shared" si="3"/>
        <v>1.1082379017362394</v>
      </c>
    </row>
    <row r="9" spans="1:9" ht="18" customHeight="1">
      <c r="A9" s="3374" t="s">
        <v>1061</v>
      </c>
      <c r="B9" s="1350" t="s">
        <v>1672</v>
      </c>
      <c r="C9" s="1351">
        <f t="shared" si="0"/>
        <v>5395</v>
      </c>
      <c r="D9" s="1351">
        <v>4719</v>
      </c>
      <c r="E9" s="1351">
        <v>188</v>
      </c>
      <c r="F9" s="1351">
        <v>196</v>
      </c>
      <c r="G9" s="1351">
        <v>168</v>
      </c>
      <c r="H9" s="1351">
        <v>66</v>
      </c>
      <c r="I9" s="1356">
        <v>58</v>
      </c>
    </row>
    <row r="10" spans="1:9" ht="18" customHeight="1">
      <c r="A10" s="3374"/>
      <c r="B10" s="1350" t="s">
        <v>0</v>
      </c>
      <c r="C10" s="1353">
        <f t="shared" si="0"/>
        <v>100</v>
      </c>
      <c r="D10" s="1354">
        <f t="shared" ref="D10:I10" si="4">D9/$C9*100</f>
        <v>87.46987951807229</v>
      </c>
      <c r="E10" s="1354">
        <f t="shared" si="4"/>
        <v>3.4847080630213161</v>
      </c>
      <c r="F10" s="1354">
        <f t="shared" si="4"/>
        <v>3.6329935125115851</v>
      </c>
      <c r="G10" s="1354">
        <f t="shared" si="4"/>
        <v>3.1139944392956442</v>
      </c>
      <c r="H10" s="1354">
        <f t="shared" si="4"/>
        <v>1.2233549582947174</v>
      </c>
      <c r="I10" s="1355">
        <f t="shared" si="4"/>
        <v>1.0750695088044486</v>
      </c>
    </row>
    <row r="11" spans="1:9" ht="18" customHeight="1">
      <c r="A11" s="3374" t="s">
        <v>1062</v>
      </c>
      <c r="B11" s="1350" t="s">
        <v>1672</v>
      </c>
      <c r="C11" s="1351">
        <f t="shared" si="0"/>
        <v>5829</v>
      </c>
      <c r="D11" s="1351">
        <v>5191</v>
      </c>
      <c r="E11" s="1351">
        <v>234</v>
      </c>
      <c r="F11" s="1351">
        <v>205</v>
      </c>
      <c r="G11" s="1351">
        <v>120</v>
      </c>
      <c r="H11" s="1351">
        <v>51</v>
      </c>
      <c r="I11" s="1356">
        <v>28</v>
      </c>
    </row>
    <row r="12" spans="1:9" ht="18" customHeight="1">
      <c r="A12" s="3374"/>
      <c r="B12" s="1350" t="s">
        <v>0</v>
      </c>
      <c r="C12" s="1353">
        <f t="shared" si="0"/>
        <v>100</v>
      </c>
      <c r="D12" s="1354">
        <f t="shared" ref="D12:I12" si="5">D11/$C11*100</f>
        <v>89.054726368159209</v>
      </c>
      <c r="E12" s="1354">
        <f t="shared" si="5"/>
        <v>4.014410705095214</v>
      </c>
      <c r="F12" s="1354">
        <f t="shared" si="5"/>
        <v>3.5168982672842688</v>
      </c>
      <c r="G12" s="1354">
        <f t="shared" si="5"/>
        <v>2.058672156459084</v>
      </c>
      <c r="H12" s="1354">
        <f t="shared" si="5"/>
        <v>0.87493566649511056</v>
      </c>
      <c r="I12" s="1355">
        <f t="shared" si="5"/>
        <v>0.48035683650711958</v>
      </c>
    </row>
    <row r="13" spans="1:9" ht="18" customHeight="1">
      <c r="A13" s="3374" t="s">
        <v>1063</v>
      </c>
      <c r="B13" s="1350" t="s">
        <v>1518</v>
      </c>
      <c r="C13" s="1351">
        <f t="shared" si="0"/>
        <v>6405</v>
      </c>
      <c r="D13" s="1351">
        <v>5843</v>
      </c>
      <c r="E13" s="1351">
        <v>219</v>
      </c>
      <c r="F13" s="1351">
        <v>198</v>
      </c>
      <c r="G13" s="1351">
        <v>81</v>
      </c>
      <c r="H13" s="1351">
        <v>54</v>
      </c>
      <c r="I13" s="1356">
        <v>10</v>
      </c>
    </row>
    <row r="14" spans="1:9" ht="18" customHeight="1">
      <c r="A14" s="3374"/>
      <c r="B14" s="1350" t="s">
        <v>0</v>
      </c>
      <c r="C14" s="1353">
        <f t="shared" si="0"/>
        <v>99.999999999999986</v>
      </c>
      <c r="D14" s="1354">
        <f t="shared" ref="D14:I14" si="6">D13/$C13*100</f>
        <v>91.225604996096791</v>
      </c>
      <c r="E14" s="1354">
        <f t="shared" si="6"/>
        <v>3.4192037470725993</v>
      </c>
      <c r="F14" s="1354">
        <f t="shared" si="6"/>
        <v>3.0913348946135835</v>
      </c>
      <c r="G14" s="1354">
        <f t="shared" si="6"/>
        <v>1.2646370023419204</v>
      </c>
      <c r="H14" s="1354">
        <f t="shared" si="6"/>
        <v>0.84309133489461363</v>
      </c>
      <c r="I14" s="1355">
        <f t="shared" si="6"/>
        <v>0.156128024980484</v>
      </c>
    </row>
    <row r="15" spans="1:9" ht="18" customHeight="1">
      <c r="A15" s="3374" t="s">
        <v>1064</v>
      </c>
      <c r="B15" s="1350" t="s">
        <v>1672</v>
      </c>
      <c r="C15" s="1351">
        <f t="shared" si="0"/>
        <v>5872</v>
      </c>
      <c r="D15" s="1351">
        <v>5321</v>
      </c>
      <c r="E15" s="1351">
        <v>244</v>
      </c>
      <c r="F15" s="1351">
        <v>213</v>
      </c>
      <c r="G15" s="1351">
        <v>54</v>
      </c>
      <c r="H15" s="1351">
        <v>24</v>
      </c>
      <c r="I15" s="1356">
        <v>16</v>
      </c>
    </row>
    <row r="16" spans="1:9" ht="18" customHeight="1">
      <c r="A16" s="3374"/>
      <c r="B16" s="1350" t="s">
        <v>0</v>
      </c>
      <c r="C16" s="1353">
        <f t="shared" si="0"/>
        <v>100</v>
      </c>
      <c r="D16" s="1354">
        <f t="shared" ref="D16:I16" si="7">D15/$C15*100</f>
        <v>90.616485013623986</v>
      </c>
      <c r="E16" s="1354">
        <f t="shared" si="7"/>
        <v>4.1553133514986378</v>
      </c>
      <c r="F16" s="1354">
        <f t="shared" si="7"/>
        <v>3.6273841961852864</v>
      </c>
      <c r="G16" s="1354">
        <f t="shared" si="7"/>
        <v>0.91961852861035431</v>
      </c>
      <c r="H16" s="1354">
        <f t="shared" si="7"/>
        <v>0.40871934604904631</v>
      </c>
      <c r="I16" s="1355">
        <f t="shared" si="7"/>
        <v>0.27247956403269752</v>
      </c>
    </row>
    <row r="17" spans="1:9" ht="18" customHeight="1">
      <c r="A17" s="3374" t="s">
        <v>1065</v>
      </c>
      <c r="B17" s="1350" t="s">
        <v>1516</v>
      </c>
      <c r="C17" s="1351">
        <f t="shared" si="0"/>
        <v>5964</v>
      </c>
      <c r="D17" s="1351">
        <v>5332</v>
      </c>
      <c r="E17" s="1351">
        <v>315</v>
      </c>
      <c r="F17" s="1351">
        <v>217</v>
      </c>
      <c r="G17" s="1351">
        <v>46</v>
      </c>
      <c r="H17" s="1351">
        <v>37</v>
      </c>
      <c r="I17" s="1356">
        <v>17</v>
      </c>
    </row>
    <row r="18" spans="1:9" ht="18" customHeight="1">
      <c r="A18" s="3374"/>
      <c r="B18" s="1350" t="s">
        <v>0</v>
      </c>
      <c r="C18" s="1353">
        <f t="shared" si="0"/>
        <v>99.999999999999986</v>
      </c>
      <c r="D18" s="1354">
        <f t="shared" ref="D18:I18" si="8">D17/$C17*100</f>
        <v>89.403085177733061</v>
      </c>
      <c r="E18" s="1354">
        <f t="shared" si="8"/>
        <v>5.28169014084507</v>
      </c>
      <c r="F18" s="1354">
        <f t="shared" si="8"/>
        <v>3.6384976525821595</v>
      </c>
      <c r="G18" s="1354">
        <f t="shared" si="8"/>
        <v>0.77129443326626423</v>
      </c>
      <c r="H18" s="1354">
        <f t="shared" si="8"/>
        <v>0.6203890006706908</v>
      </c>
      <c r="I18" s="1355">
        <f t="shared" si="8"/>
        <v>0.28504359490274983</v>
      </c>
    </row>
    <row r="19" spans="1:9" ht="18" customHeight="1">
      <c r="A19" s="3374" t="s">
        <v>1066</v>
      </c>
      <c r="B19" s="1350" t="s">
        <v>1516</v>
      </c>
      <c r="C19" s="1351">
        <f t="shared" si="0"/>
        <v>5808</v>
      </c>
      <c r="D19" s="1351">
        <v>5161</v>
      </c>
      <c r="E19" s="1351">
        <v>302</v>
      </c>
      <c r="F19" s="1351">
        <v>188</v>
      </c>
      <c r="G19" s="1351">
        <v>86</v>
      </c>
      <c r="H19" s="1351">
        <v>57</v>
      </c>
      <c r="I19" s="1356">
        <v>14</v>
      </c>
    </row>
    <row r="20" spans="1:9" ht="18" customHeight="1">
      <c r="A20" s="3374"/>
      <c r="B20" s="1350" t="s">
        <v>0</v>
      </c>
      <c r="C20" s="1353">
        <f t="shared" si="0"/>
        <v>100</v>
      </c>
      <c r="D20" s="1354">
        <f t="shared" ref="D20:I20" si="9">D19/$C19*100</f>
        <v>88.860192837465561</v>
      </c>
      <c r="E20" s="1354">
        <f t="shared" si="9"/>
        <v>5.1997245179063363</v>
      </c>
      <c r="F20" s="1354">
        <f t="shared" si="9"/>
        <v>3.2369146005509641</v>
      </c>
      <c r="G20" s="1354">
        <f t="shared" si="9"/>
        <v>1.4807162534435263</v>
      </c>
      <c r="H20" s="1354">
        <f t="shared" si="9"/>
        <v>0.98140495867768596</v>
      </c>
      <c r="I20" s="1355">
        <f t="shared" si="9"/>
        <v>0.24104683195592286</v>
      </c>
    </row>
    <row r="21" spans="1:9" ht="18" customHeight="1">
      <c r="A21" s="3374" t="s">
        <v>1067</v>
      </c>
      <c r="B21" s="1350" t="s">
        <v>1516</v>
      </c>
      <c r="C21" s="1351">
        <f t="shared" si="0"/>
        <v>6261</v>
      </c>
      <c r="D21" s="1351">
        <v>5582</v>
      </c>
      <c r="E21" s="1351">
        <v>353</v>
      </c>
      <c r="F21" s="1351">
        <v>195</v>
      </c>
      <c r="G21" s="1351">
        <v>89</v>
      </c>
      <c r="H21" s="1351">
        <v>39</v>
      </c>
      <c r="I21" s="1356">
        <v>3</v>
      </c>
    </row>
    <row r="22" spans="1:9" ht="18" customHeight="1">
      <c r="A22" s="3377"/>
      <c r="B22" s="1357" t="s">
        <v>0</v>
      </c>
      <c r="C22" s="1358">
        <f t="shared" si="0"/>
        <v>100</v>
      </c>
      <c r="D22" s="1359">
        <f t="shared" ref="D22:I22" si="10">D21/$C21*100</f>
        <v>89.155087046797632</v>
      </c>
      <c r="E22" s="1359">
        <f t="shared" si="10"/>
        <v>5.6380769845072667</v>
      </c>
      <c r="F22" s="1359">
        <f t="shared" si="10"/>
        <v>3.1145184475323431</v>
      </c>
      <c r="G22" s="1359">
        <f t="shared" si="10"/>
        <v>1.4214981632327104</v>
      </c>
      <c r="H22" s="1359">
        <f t="shared" si="10"/>
        <v>0.62290368950646857</v>
      </c>
      <c r="I22" s="1360">
        <f t="shared" si="10"/>
        <v>4.791566842357451E-2</v>
      </c>
    </row>
    <row r="23" spans="1:9" s="665" customFormat="1" ht="14.25">
      <c r="A23" s="1092" t="s">
        <v>1673</v>
      </c>
      <c r="B23" s="1093"/>
    </row>
    <row r="24" spans="1:9" s="665" customFormat="1" ht="12.75">
      <c r="A24" s="3375" t="s">
        <v>1674</v>
      </c>
      <c r="B24" s="3376"/>
      <c r="C24" s="3376"/>
      <c r="D24" s="3376"/>
      <c r="E24" s="3376"/>
      <c r="F24" s="3376"/>
    </row>
    <row r="25" spans="1:9">
      <c r="A25" s="1095"/>
      <c r="B25" s="1081"/>
    </row>
  </sheetData>
  <mergeCells count="13">
    <mergeCell ref="A24:F24"/>
    <mergeCell ref="A11:A12"/>
    <mergeCell ref="A13:A14"/>
    <mergeCell ref="A15:A16"/>
    <mergeCell ref="A17:A18"/>
    <mergeCell ref="A19:A20"/>
    <mergeCell ref="A21:A22"/>
    <mergeCell ref="A9:A10"/>
    <mergeCell ref="A1:I1"/>
    <mergeCell ref="A2:B2"/>
    <mergeCell ref="A3:A4"/>
    <mergeCell ref="A5:A6"/>
    <mergeCell ref="A7:A8"/>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74" orientation="landscape" r:id="rId1"/>
  <headerFooter differentOddEven="1" scaleWithDoc="0">
    <oddHeader>&amp;L&amp;"Times New Roman,標準"&amp;8 107&amp;"標楷體,標準"年犯罪狀況及其分析</oddHeader>
    <evenHeader>&amp;R&amp;"標楷體,標準"&amp;8第二篇　犯罪之處理</evenHead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V36"/>
  <sheetViews>
    <sheetView showGridLines="0" zoomScale="110" zoomScaleNormal="110" workbookViewId="0">
      <selection activeCell="N14" sqref="N14"/>
    </sheetView>
  </sheetViews>
  <sheetFormatPr defaultColWidth="13" defaultRowHeight="15.75"/>
  <cols>
    <col min="1" max="1" width="22.25" style="650" bestFit="1" customWidth="1"/>
    <col min="2" max="9" width="11.625" style="650" customWidth="1"/>
    <col min="10" max="79" width="13" style="650" customWidth="1"/>
    <col min="80" max="16384" width="13" style="650"/>
  </cols>
  <sheetData>
    <row r="1" spans="1:22" s="648" customFormat="1" ht="20.25">
      <c r="A1" s="3167" t="s">
        <v>1675</v>
      </c>
      <c r="B1" s="3167"/>
      <c r="C1" s="3167"/>
      <c r="D1" s="3167"/>
      <c r="E1" s="3167"/>
      <c r="F1" s="3167"/>
      <c r="G1" s="3167"/>
      <c r="H1" s="3167"/>
      <c r="I1" s="3167"/>
      <c r="J1" s="3167"/>
      <c r="K1" s="3167"/>
      <c r="L1" s="3167"/>
      <c r="M1" s="3167"/>
      <c r="N1" s="1361"/>
      <c r="O1" s="1361"/>
      <c r="P1" s="1361"/>
      <c r="Q1" s="1361"/>
      <c r="R1" s="1361"/>
      <c r="S1" s="1361"/>
      <c r="T1" s="1361"/>
      <c r="U1" s="1361"/>
      <c r="V1" s="1361"/>
    </row>
    <row r="2" spans="1:22" s="648" customFormat="1" ht="17.25" customHeight="1">
      <c r="A2" s="1362"/>
      <c r="B2" s="1362"/>
      <c r="C2" s="1362"/>
      <c r="D2" s="1362"/>
      <c r="E2" s="1362"/>
      <c r="F2" s="1362"/>
      <c r="G2" s="1362"/>
      <c r="H2" s="1362"/>
      <c r="I2" s="1362"/>
      <c r="J2" s="1362"/>
      <c r="K2" s="1362"/>
      <c r="L2" s="3379" t="s">
        <v>1676</v>
      </c>
      <c r="M2" s="3379"/>
      <c r="N2" s="1361"/>
      <c r="O2" s="1361"/>
      <c r="P2" s="1361"/>
      <c r="Q2" s="1361"/>
      <c r="R2" s="1361"/>
      <c r="S2" s="1361"/>
      <c r="T2" s="1361"/>
      <c r="U2" s="1361"/>
      <c r="V2" s="1361"/>
    </row>
    <row r="3" spans="1:22" ht="16.5">
      <c r="A3" s="1363"/>
      <c r="B3" s="3378" t="s">
        <v>4155</v>
      </c>
      <c r="C3" s="3378" t="s">
        <v>1107</v>
      </c>
      <c r="D3" s="3378" t="s">
        <v>1060</v>
      </c>
      <c r="E3" s="3378" t="s">
        <v>1061</v>
      </c>
      <c r="F3" s="3378" t="s">
        <v>1062</v>
      </c>
      <c r="G3" s="3378" t="s">
        <v>1063</v>
      </c>
      <c r="H3" s="3378" t="s">
        <v>1064</v>
      </c>
      <c r="I3" s="3378" t="s">
        <v>1065</v>
      </c>
      <c r="J3" s="3378" t="s">
        <v>1066</v>
      </c>
      <c r="K3" s="3378" t="s">
        <v>1067</v>
      </c>
      <c r="L3" s="3378"/>
      <c r="M3" s="3378"/>
    </row>
    <row r="4" spans="1:22" ht="16.5">
      <c r="A4" s="1364"/>
      <c r="B4" s="3120"/>
      <c r="C4" s="3120"/>
      <c r="D4" s="3120"/>
      <c r="E4" s="3120"/>
      <c r="F4" s="3120"/>
      <c r="G4" s="3120"/>
      <c r="H4" s="3120"/>
      <c r="I4" s="3120"/>
      <c r="J4" s="3120"/>
      <c r="K4" s="1365" t="s">
        <v>1678</v>
      </c>
      <c r="L4" s="1366" t="s">
        <v>1679</v>
      </c>
      <c r="M4" s="1366" t="s">
        <v>4156</v>
      </c>
    </row>
    <row r="5" spans="1:22" s="999" customFormat="1" ht="20.100000000000001" customHeight="1">
      <c r="A5" s="989" t="s">
        <v>374</v>
      </c>
      <c r="B5" s="1367">
        <v>100519.3471</v>
      </c>
      <c r="C5" s="1367">
        <v>33298.040500000003</v>
      </c>
      <c r="D5" s="1367">
        <v>145094.40160000001</v>
      </c>
      <c r="E5" s="1367">
        <v>86204.092699999994</v>
      </c>
      <c r="F5" s="1367">
        <v>248287.9755</v>
      </c>
      <c r="G5" s="1367">
        <v>48464.499900000003</v>
      </c>
      <c r="H5" s="1367">
        <v>175493.49479999999</v>
      </c>
      <c r="I5" s="1367">
        <v>868355.60060000001</v>
      </c>
      <c r="J5" s="1367">
        <v>1121150.5009000001</v>
      </c>
      <c r="K5" s="1367">
        <v>1652238.297</v>
      </c>
      <c r="L5" s="1367">
        <v>1435449.6677000001</v>
      </c>
      <c r="M5" s="1368">
        <v>216788.6293</v>
      </c>
    </row>
    <row r="6" spans="1:22" s="999" customFormat="1" ht="20.100000000000001" customHeight="1">
      <c r="A6" s="989" t="s">
        <v>1683</v>
      </c>
      <c r="B6" s="1370">
        <v>4140.2484999999997</v>
      </c>
      <c r="C6" s="1370">
        <v>1552.7048</v>
      </c>
      <c r="D6" s="1370">
        <v>2681.0513000000001</v>
      </c>
      <c r="E6" s="1370">
        <v>2078.7242000000001</v>
      </c>
      <c r="F6" s="1370">
        <v>1362.8393000000001</v>
      </c>
      <c r="G6" s="1370">
        <v>3290.3818999999999</v>
      </c>
      <c r="H6" s="1370">
        <v>1595.7430999999999</v>
      </c>
      <c r="I6" s="1370">
        <v>64824.917600000001</v>
      </c>
      <c r="J6" s="1370">
        <v>339341.86859999999</v>
      </c>
      <c r="K6" s="1370">
        <v>434493.09509999998</v>
      </c>
      <c r="L6" s="1370">
        <v>409433.74729999999</v>
      </c>
      <c r="M6" s="1368">
        <v>25059.3478</v>
      </c>
    </row>
    <row r="7" spans="1:22" s="999" customFormat="1" ht="20.100000000000001" customHeight="1">
      <c r="A7" s="989" t="s">
        <v>4157</v>
      </c>
      <c r="B7" s="1370">
        <v>2146.3771999999999</v>
      </c>
      <c r="C7" s="1370">
        <v>2244.4890999999998</v>
      </c>
      <c r="D7" s="1370">
        <v>86609.216400000005</v>
      </c>
      <c r="E7" s="1370">
        <v>3433.4333999999999</v>
      </c>
      <c r="F7" s="1370">
        <v>50728.887699999999</v>
      </c>
      <c r="G7" s="1370">
        <v>7745.2936</v>
      </c>
      <c r="H7" s="1370">
        <v>14143.4899</v>
      </c>
      <c r="I7" s="1370">
        <v>175013.6943</v>
      </c>
      <c r="J7" s="1370">
        <v>27897.673500000001</v>
      </c>
      <c r="K7" s="1370">
        <v>413590.90720000002</v>
      </c>
      <c r="L7" s="1370">
        <v>254452.0386</v>
      </c>
      <c r="M7" s="1368">
        <v>159138.86859999999</v>
      </c>
    </row>
    <row r="8" spans="1:22" s="999" customFormat="1" ht="20.100000000000001" customHeight="1">
      <c r="A8" s="989" t="s">
        <v>854</v>
      </c>
      <c r="B8" s="1370">
        <v>696.21699999999998</v>
      </c>
      <c r="C8" s="1370">
        <v>203.22640000000001</v>
      </c>
      <c r="D8" s="1370">
        <v>3321.8993</v>
      </c>
      <c r="E8" s="1370">
        <v>791.82830000000001</v>
      </c>
      <c r="F8" s="1370">
        <v>867.96870000000001</v>
      </c>
      <c r="G8" s="1370">
        <v>249.73859999999999</v>
      </c>
      <c r="H8" s="1370">
        <v>85562.128299999997</v>
      </c>
      <c r="I8" s="1370">
        <v>224436.19899999999</v>
      </c>
      <c r="J8" s="1370">
        <v>309647.77649999998</v>
      </c>
      <c r="K8" s="1370">
        <v>266670.9621</v>
      </c>
      <c r="L8" s="1370">
        <v>261002.55600000001</v>
      </c>
      <c r="M8" s="1368">
        <v>5668.4061000000002</v>
      </c>
    </row>
    <row r="9" spans="1:22" s="999" customFormat="1" ht="20.100000000000001" customHeight="1">
      <c r="A9" s="989" t="s">
        <v>867</v>
      </c>
      <c r="B9" s="1370">
        <v>187.7</v>
      </c>
      <c r="C9" s="1370">
        <v>333.41430000000003</v>
      </c>
      <c r="D9" s="1370">
        <v>394.99</v>
      </c>
      <c r="E9" s="1370">
        <v>459.89100000000002</v>
      </c>
      <c r="F9" s="1370">
        <v>266.0523</v>
      </c>
      <c r="G9" s="1370">
        <v>71.260000000000005</v>
      </c>
      <c r="H9" s="1370">
        <v>1642.3452</v>
      </c>
      <c r="I9" s="1370">
        <v>22107.076700000001</v>
      </c>
      <c r="J9" s="1370">
        <v>31414.439900000001</v>
      </c>
      <c r="K9" s="1370">
        <v>93467.642699999997</v>
      </c>
      <c r="L9" s="1370">
        <v>93467.642699999997</v>
      </c>
      <c r="M9" s="1368">
        <v>0</v>
      </c>
    </row>
    <row r="10" spans="1:22" s="999" customFormat="1" ht="20.100000000000001" customHeight="1">
      <c r="A10" s="1371" t="s">
        <v>1681</v>
      </c>
      <c r="B10" s="1370">
        <v>54.515999999999998</v>
      </c>
      <c r="C10" s="1370">
        <v>60.060899999999997</v>
      </c>
      <c r="D10" s="1370">
        <v>20.373999999999999</v>
      </c>
      <c r="E10" s="1370">
        <v>27.648499999999999</v>
      </c>
      <c r="F10" s="1370">
        <v>185.43870000000001</v>
      </c>
      <c r="G10" s="1370">
        <v>2.4900000000000002</v>
      </c>
      <c r="H10" s="1370">
        <v>3808.6959999999999</v>
      </c>
      <c r="I10" s="1370">
        <v>47015.727500000001</v>
      </c>
      <c r="J10" s="1370">
        <v>148763.5252</v>
      </c>
      <c r="K10" s="1370">
        <v>81184.991200000004</v>
      </c>
      <c r="L10" s="1370">
        <v>81117.190400000007</v>
      </c>
      <c r="M10" s="1368">
        <v>67.800799999999995</v>
      </c>
    </row>
    <row r="11" spans="1:22" s="999" customFormat="1" ht="20.100000000000001" customHeight="1">
      <c r="A11" s="989" t="s">
        <v>4158</v>
      </c>
      <c r="B11" s="1370">
        <v>371.8</v>
      </c>
      <c r="C11" s="1370">
        <v>9.75</v>
      </c>
      <c r="D11" s="1370">
        <v>0.25800000000000001</v>
      </c>
      <c r="E11" s="1370">
        <v>140</v>
      </c>
      <c r="F11" s="1370">
        <v>14.58</v>
      </c>
      <c r="G11" s="1370">
        <v>0</v>
      </c>
      <c r="H11" s="1370">
        <v>12803.444</v>
      </c>
      <c r="I11" s="1370">
        <v>61488.909299999999</v>
      </c>
      <c r="J11" s="1370">
        <v>69725.836800000005</v>
      </c>
      <c r="K11" s="1370">
        <v>73371.657600000006</v>
      </c>
      <c r="L11" s="1370">
        <v>73346.890499999994</v>
      </c>
      <c r="M11" s="1368">
        <v>24.767099999999999</v>
      </c>
    </row>
    <row r="12" spans="1:22" s="999" customFormat="1" ht="20.100000000000001" customHeight="1">
      <c r="A12" s="1371" t="s">
        <v>4159</v>
      </c>
      <c r="B12" s="1370">
        <v>45490.849600000001</v>
      </c>
      <c r="C12" s="1370">
        <v>12522.3197</v>
      </c>
      <c r="D12" s="1370">
        <v>25985.713299999999</v>
      </c>
      <c r="E12" s="1370">
        <v>37307.193500000001</v>
      </c>
      <c r="F12" s="1370">
        <v>148495.53649999999</v>
      </c>
      <c r="G12" s="1370">
        <v>14330.3372</v>
      </c>
      <c r="H12" s="1370">
        <v>23827.079900000001</v>
      </c>
      <c r="I12" s="1370">
        <v>30403.64</v>
      </c>
      <c r="J12" s="1370">
        <v>26084.335200000001</v>
      </c>
      <c r="K12" s="1370">
        <v>65859.330900000001</v>
      </c>
      <c r="L12" s="1370">
        <v>62572.2163</v>
      </c>
      <c r="M12" s="1368">
        <v>3287.1145999999999</v>
      </c>
    </row>
    <row r="13" spans="1:22" s="999" customFormat="1" ht="20.100000000000001" customHeight="1">
      <c r="A13" s="989" t="s">
        <v>4160</v>
      </c>
      <c r="B13" s="1370">
        <v>3.7199999999999997E-2</v>
      </c>
      <c r="C13" s="1370">
        <v>0.1</v>
      </c>
      <c r="D13" s="1370">
        <v>0</v>
      </c>
      <c r="E13" s="1370">
        <v>0</v>
      </c>
      <c r="F13" s="1370">
        <v>0</v>
      </c>
      <c r="G13" s="1370">
        <v>0</v>
      </c>
      <c r="H13" s="1370">
        <v>88.896600000000007</v>
      </c>
      <c r="I13" s="1370">
        <v>401.99</v>
      </c>
      <c r="J13" s="1370">
        <v>15.025</v>
      </c>
      <c r="K13" s="1370">
        <v>47581.656199999998</v>
      </c>
      <c r="L13" s="1370">
        <v>47581.656199999998</v>
      </c>
      <c r="M13" s="1368">
        <v>0</v>
      </c>
    </row>
    <row r="14" spans="1:22" s="999" customFormat="1" ht="20.100000000000001" customHeight="1">
      <c r="A14" s="1369" t="s">
        <v>1680</v>
      </c>
      <c r="B14" s="1370">
        <v>85.98</v>
      </c>
      <c r="C14" s="1370">
        <v>50.574399999999997</v>
      </c>
      <c r="D14" s="1370">
        <v>2.6</v>
      </c>
      <c r="E14" s="1370">
        <v>0</v>
      </c>
      <c r="F14" s="1370">
        <v>0.05</v>
      </c>
      <c r="G14" s="1370">
        <v>87.74</v>
      </c>
      <c r="H14" s="1370">
        <v>873.76149999999996</v>
      </c>
      <c r="I14" s="1370">
        <v>30512.325099999998</v>
      </c>
      <c r="J14" s="1370">
        <v>15050.2047</v>
      </c>
      <c r="K14" s="1370">
        <v>28939.173999999999</v>
      </c>
      <c r="L14" s="1370">
        <v>28226.438399999999</v>
      </c>
      <c r="M14" s="1368">
        <v>712.73559999999998</v>
      </c>
    </row>
    <row r="15" spans="1:22" s="999" customFormat="1" ht="20.100000000000001" customHeight="1">
      <c r="A15" s="989" t="s">
        <v>864</v>
      </c>
      <c r="B15" s="1370">
        <v>1818.2981</v>
      </c>
      <c r="C15" s="1370">
        <v>2049.6296000000002</v>
      </c>
      <c r="D15" s="1370">
        <v>4310.3154000000004</v>
      </c>
      <c r="E15" s="1370">
        <v>4061.4810000000002</v>
      </c>
      <c r="F15" s="1370">
        <v>6989.8534</v>
      </c>
      <c r="G15" s="1370">
        <v>5162.1787999999997</v>
      </c>
      <c r="H15" s="1370">
        <v>12649.921899999999</v>
      </c>
      <c r="I15" s="1370">
        <v>38087.498699999996</v>
      </c>
      <c r="J15" s="1370">
        <v>34259.494500000001</v>
      </c>
      <c r="K15" s="1370">
        <v>28669.460299999999</v>
      </c>
      <c r="L15" s="1370">
        <v>27320.988399999998</v>
      </c>
      <c r="M15" s="1368">
        <v>1348.4719</v>
      </c>
    </row>
    <row r="16" spans="1:22" s="999" customFormat="1" ht="20.100000000000001" customHeight="1">
      <c r="A16" s="1371" t="s">
        <v>4161</v>
      </c>
      <c r="B16" s="1370">
        <v>0</v>
      </c>
      <c r="C16" s="1370">
        <v>0</v>
      </c>
      <c r="D16" s="1370">
        <v>0</v>
      </c>
      <c r="E16" s="1370">
        <v>0</v>
      </c>
      <c r="F16" s="1370">
        <v>0</v>
      </c>
      <c r="G16" s="1370">
        <v>72.97</v>
      </c>
      <c r="H16" s="1370">
        <v>761.96259999999995</v>
      </c>
      <c r="I16" s="1370">
        <v>9730.4686000000002</v>
      </c>
      <c r="J16" s="1370">
        <v>10874.0162</v>
      </c>
      <c r="K16" s="1370">
        <v>15052.548000000001</v>
      </c>
      <c r="L16" s="1370">
        <v>15052.548000000001</v>
      </c>
      <c r="M16" s="1368">
        <v>0</v>
      </c>
    </row>
    <row r="17" spans="1:13" s="999" customFormat="1" ht="20.100000000000001" customHeight="1">
      <c r="A17" s="989" t="s">
        <v>4162</v>
      </c>
      <c r="B17" s="1370">
        <v>14.402699999999999</v>
      </c>
      <c r="C17" s="1370">
        <v>1.8431</v>
      </c>
      <c r="D17" s="1370">
        <v>8.4550000000000001</v>
      </c>
      <c r="E17" s="1370">
        <v>77.816999999999993</v>
      </c>
      <c r="F17" s="1370">
        <v>1.37</v>
      </c>
      <c r="G17" s="1370">
        <v>2.0609999999999999</v>
      </c>
      <c r="H17" s="1370">
        <v>2197.5720000000001</v>
      </c>
      <c r="I17" s="1370">
        <v>30995.869500000001</v>
      </c>
      <c r="J17" s="1370">
        <v>17694.347000000002</v>
      </c>
      <c r="K17" s="1370">
        <v>13922.9527</v>
      </c>
      <c r="L17" s="1370">
        <v>13922.4355</v>
      </c>
      <c r="M17" s="1368">
        <v>0.51719999999999999</v>
      </c>
    </row>
    <row r="18" spans="1:13" s="999" customFormat="1" ht="20.100000000000001" customHeight="1">
      <c r="A18" s="989" t="s">
        <v>4163</v>
      </c>
      <c r="B18" s="1370">
        <v>0</v>
      </c>
      <c r="C18" s="1370">
        <v>40</v>
      </c>
      <c r="D18" s="1370">
        <v>0.92600000000000005</v>
      </c>
      <c r="E18" s="1370">
        <v>14.957599999999999</v>
      </c>
      <c r="F18" s="1370">
        <v>0</v>
      </c>
      <c r="G18" s="1370">
        <v>26.696400000000001</v>
      </c>
      <c r="H18" s="1370">
        <v>36.050400000000003</v>
      </c>
      <c r="I18" s="1370">
        <v>5498.2232999999997</v>
      </c>
      <c r="J18" s="1370">
        <v>3850.1406000000002</v>
      </c>
      <c r="K18" s="1370">
        <v>8364.48</v>
      </c>
      <c r="L18" s="1370">
        <v>8364.48</v>
      </c>
      <c r="M18" s="1368">
        <v>0</v>
      </c>
    </row>
    <row r="19" spans="1:13" s="999" customFormat="1" ht="20.100000000000001" customHeight="1">
      <c r="A19" s="989" t="s">
        <v>1686</v>
      </c>
      <c r="B19" s="1370">
        <v>0</v>
      </c>
      <c r="C19" s="1370">
        <v>0</v>
      </c>
      <c r="D19" s="1370">
        <v>0</v>
      </c>
      <c r="E19" s="1370">
        <v>0</v>
      </c>
      <c r="F19" s="1370">
        <v>0</v>
      </c>
      <c r="G19" s="1370">
        <v>0</v>
      </c>
      <c r="H19" s="1370">
        <v>4.8464999999999998</v>
      </c>
      <c r="I19" s="1370">
        <v>1132.2170000000001</v>
      </c>
      <c r="J19" s="1370">
        <v>0</v>
      </c>
      <c r="K19" s="1370">
        <v>7986.4791999999998</v>
      </c>
      <c r="L19" s="1370">
        <v>7986.4791999999998</v>
      </c>
      <c r="M19" s="1368">
        <v>0</v>
      </c>
    </row>
    <row r="20" spans="1:13" s="999" customFormat="1" ht="20.100000000000001" customHeight="1">
      <c r="A20" s="989" t="s">
        <v>4164</v>
      </c>
      <c r="B20" s="1370">
        <v>281.52969999999999</v>
      </c>
      <c r="C20" s="1370">
        <v>182.28819999999999</v>
      </c>
      <c r="D20" s="1370">
        <v>562.7097</v>
      </c>
      <c r="E20" s="1370">
        <v>285.81200000000001</v>
      </c>
      <c r="F20" s="1370">
        <v>493.09829999999999</v>
      </c>
      <c r="G20" s="1370">
        <v>945.41430000000003</v>
      </c>
      <c r="H20" s="1370">
        <v>561.83870000000002</v>
      </c>
      <c r="I20" s="1370">
        <v>2975.5302000000001</v>
      </c>
      <c r="J20" s="1370">
        <v>4444.5237999999999</v>
      </c>
      <c r="K20" s="1370">
        <v>7828.2452999999996</v>
      </c>
      <c r="L20" s="1370">
        <v>7828.2452999999996</v>
      </c>
      <c r="M20" s="1368">
        <v>0</v>
      </c>
    </row>
    <row r="21" spans="1:13" s="999" customFormat="1" ht="20.100000000000001" customHeight="1">
      <c r="A21" s="1371" t="s">
        <v>4165</v>
      </c>
      <c r="B21" s="1370">
        <v>27101.8194</v>
      </c>
      <c r="C21" s="1370">
        <v>10276.9645</v>
      </c>
      <c r="D21" s="1370">
        <v>14285.1085</v>
      </c>
      <c r="E21" s="1370">
        <v>16417.381399999998</v>
      </c>
      <c r="F21" s="1370">
        <v>11718.6549</v>
      </c>
      <c r="G21" s="1370">
        <v>6290.6401999999998</v>
      </c>
      <c r="H21" s="1370">
        <v>8842.5282000000007</v>
      </c>
      <c r="I21" s="1370">
        <v>5268.6126000000004</v>
      </c>
      <c r="J21" s="1370">
        <v>7719.1126000000004</v>
      </c>
      <c r="K21" s="1370">
        <v>6420.3258999999998</v>
      </c>
      <c r="L21" s="1370">
        <v>6420.3258999999998</v>
      </c>
      <c r="M21" s="1368">
        <v>0</v>
      </c>
    </row>
    <row r="22" spans="1:13" s="999" customFormat="1" ht="20.100000000000001" customHeight="1">
      <c r="A22" s="989" t="s">
        <v>1045</v>
      </c>
      <c r="B22" s="1370">
        <v>476</v>
      </c>
      <c r="C22" s="1370">
        <v>0</v>
      </c>
      <c r="D22" s="1370">
        <v>0</v>
      </c>
      <c r="E22" s="1370">
        <v>3260</v>
      </c>
      <c r="F22" s="1370">
        <v>0</v>
      </c>
      <c r="G22" s="1370">
        <v>162.22</v>
      </c>
      <c r="H22" s="1370">
        <v>1214.069</v>
      </c>
      <c r="I22" s="1370">
        <v>2806.6873999999998</v>
      </c>
      <c r="J22" s="1370">
        <v>2562.9088000000002</v>
      </c>
      <c r="K22" s="1370">
        <v>5069.7071999999998</v>
      </c>
      <c r="L22" s="1370">
        <v>4743.4517999999998</v>
      </c>
      <c r="M22" s="1368">
        <v>326.25540000000001</v>
      </c>
    </row>
    <row r="23" spans="1:13" s="999" customFormat="1" ht="20.100000000000001" customHeight="1">
      <c r="A23" s="989" t="s">
        <v>4166</v>
      </c>
      <c r="B23" s="1370">
        <v>0</v>
      </c>
      <c r="C23" s="1370">
        <v>0</v>
      </c>
      <c r="D23" s="1370">
        <v>0.43890000000000001</v>
      </c>
      <c r="E23" s="1370">
        <v>300</v>
      </c>
      <c r="F23" s="1370">
        <v>71.899000000000001</v>
      </c>
      <c r="G23" s="1370">
        <v>0</v>
      </c>
      <c r="H23" s="1370">
        <v>194.0839</v>
      </c>
      <c r="I23" s="1370">
        <v>12555.3518</v>
      </c>
      <c r="J23" s="1370">
        <v>9964.3282999999992</v>
      </c>
      <c r="K23" s="1370">
        <v>3730.1482999999998</v>
      </c>
      <c r="L23" s="1370">
        <v>3687.2483000000002</v>
      </c>
      <c r="M23" s="1368">
        <v>42.9</v>
      </c>
    </row>
    <row r="24" spans="1:13" s="999" customFormat="1" ht="20.100000000000001" customHeight="1">
      <c r="A24" s="2772" t="s">
        <v>4167</v>
      </c>
      <c r="B24" s="1370">
        <v>0</v>
      </c>
      <c r="C24" s="1370">
        <v>0</v>
      </c>
      <c r="D24" s="1370">
        <v>0</v>
      </c>
      <c r="E24" s="1370">
        <v>0</v>
      </c>
      <c r="F24" s="1370">
        <v>0</v>
      </c>
      <c r="G24" s="1370">
        <v>0</v>
      </c>
      <c r="H24" s="1370">
        <v>0</v>
      </c>
      <c r="I24" s="1370">
        <v>1363.9122</v>
      </c>
      <c r="J24" s="1370">
        <v>696.30539999999996</v>
      </c>
      <c r="K24" s="1370">
        <v>1800</v>
      </c>
      <c r="L24" s="1370">
        <v>1800</v>
      </c>
      <c r="M24" s="1368">
        <v>0</v>
      </c>
    </row>
    <row r="25" spans="1:13" s="999" customFormat="1" ht="20.100000000000001" customHeight="1">
      <c r="A25" s="2773" t="s">
        <v>1685</v>
      </c>
      <c r="B25" s="1370">
        <v>0</v>
      </c>
      <c r="C25" s="1370">
        <v>0</v>
      </c>
      <c r="D25" s="1370">
        <v>0</v>
      </c>
      <c r="E25" s="1370">
        <v>0</v>
      </c>
      <c r="F25" s="1370">
        <v>0</v>
      </c>
      <c r="G25" s="1370">
        <v>0</v>
      </c>
      <c r="H25" s="1370">
        <v>112.3904</v>
      </c>
      <c r="I25" s="1370">
        <v>69953.248399999997</v>
      </c>
      <c r="J25" s="1370">
        <v>554.03</v>
      </c>
      <c r="K25" s="1370">
        <v>1766.1138000000001</v>
      </c>
      <c r="L25" s="1370">
        <v>1766.1138000000001</v>
      </c>
      <c r="M25" s="1368">
        <v>0</v>
      </c>
    </row>
    <row r="26" spans="1:13" s="999" customFormat="1" ht="20.100000000000001" customHeight="1">
      <c r="A26" s="2773" t="s">
        <v>4168</v>
      </c>
      <c r="B26" s="1370">
        <v>0</v>
      </c>
      <c r="C26" s="1370">
        <v>0</v>
      </c>
      <c r="D26" s="1370">
        <v>0</v>
      </c>
      <c r="E26" s="1370">
        <v>0</v>
      </c>
      <c r="F26" s="1370">
        <v>0</v>
      </c>
      <c r="G26" s="1370">
        <v>0</v>
      </c>
      <c r="H26" s="1370">
        <v>5.1570999999999998</v>
      </c>
      <c r="I26" s="1370">
        <v>27.333100000000002</v>
      </c>
      <c r="J26" s="1370">
        <v>666.61699999999996</v>
      </c>
      <c r="K26" s="1370">
        <v>1739.4185</v>
      </c>
      <c r="L26" s="1370">
        <v>1739.4185</v>
      </c>
      <c r="M26" s="1368">
        <v>0</v>
      </c>
    </row>
    <row r="27" spans="1:13" s="999" customFormat="1" ht="20.100000000000001" customHeight="1">
      <c r="A27" s="2772" t="s">
        <v>4169</v>
      </c>
      <c r="B27" s="1370">
        <v>2.88</v>
      </c>
      <c r="C27" s="1370">
        <v>45.18</v>
      </c>
      <c r="D27" s="1370">
        <v>0.9042</v>
      </c>
      <c r="E27" s="1370">
        <v>0</v>
      </c>
      <c r="F27" s="1370">
        <v>2.85</v>
      </c>
      <c r="G27" s="1370">
        <v>0.05</v>
      </c>
      <c r="H27" s="1370">
        <v>89.501199999999997</v>
      </c>
      <c r="I27" s="1370">
        <v>1296.1709000000001</v>
      </c>
      <c r="J27" s="1370">
        <v>1532.6593</v>
      </c>
      <c r="K27" s="1370">
        <v>1692.999</v>
      </c>
      <c r="L27" s="1370">
        <v>1692.999</v>
      </c>
      <c r="M27" s="1368">
        <v>0</v>
      </c>
    </row>
    <row r="28" spans="1:13" s="999" customFormat="1" ht="20.100000000000001" customHeight="1">
      <c r="A28" s="2773" t="s">
        <v>4170</v>
      </c>
      <c r="B28" s="1370">
        <v>0</v>
      </c>
      <c r="C28" s="1370">
        <v>0</v>
      </c>
      <c r="D28" s="1370">
        <v>0</v>
      </c>
      <c r="E28" s="1370">
        <v>0</v>
      </c>
      <c r="F28" s="1370">
        <v>0</v>
      </c>
      <c r="G28" s="1370">
        <v>0</v>
      </c>
      <c r="H28" s="1370">
        <v>0</v>
      </c>
      <c r="I28" s="1370">
        <v>0.99</v>
      </c>
      <c r="J28" s="1370">
        <v>0</v>
      </c>
      <c r="K28" s="1370">
        <v>1627.2891999999999</v>
      </c>
      <c r="L28" s="1370">
        <v>1627.2891999999999</v>
      </c>
      <c r="M28" s="1368">
        <v>0</v>
      </c>
    </row>
    <row r="29" spans="1:13" s="999" customFormat="1" ht="20.100000000000001" customHeight="1">
      <c r="A29" s="2773" t="s">
        <v>1046</v>
      </c>
      <c r="B29" s="1370">
        <v>0.86</v>
      </c>
      <c r="C29" s="1370">
        <v>2.6120000000000001</v>
      </c>
      <c r="D29" s="1370">
        <v>456.59829999999999</v>
      </c>
      <c r="E29" s="1370">
        <v>111.37179999999999</v>
      </c>
      <c r="F29" s="1370">
        <v>14</v>
      </c>
      <c r="G29" s="1370">
        <v>26.635000000000002</v>
      </c>
      <c r="H29" s="1370">
        <v>262.05500000000001</v>
      </c>
      <c r="I29" s="1370">
        <v>2405.7292000000002</v>
      </c>
      <c r="J29" s="1370">
        <v>7091.3852999999999</v>
      </c>
      <c r="K29" s="1370">
        <v>1240.7474</v>
      </c>
      <c r="L29" s="1370">
        <v>1240.7474</v>
      </c>
      <c r="M29" s="1368">
        <v>0</v>
      </c>
    </row>
    <row r="30" spans="1:13" s="999" customFormat="1" ht="20.100000000000001" customHeight="1">
      <c r="A30" s="2773" t="s">
        <v>4171</v>
      </c>
      <c r="B30" s="1370">
        <v>3</v>
      </c>
      <c r="C30" s="1370">
        <v>0</v>
      </c>
      <c r="D30" s="1370">
        <v>0.5</v>
      </c>
      <c r="E30" s="1370">
        <v>8.8000000000000007</v>
      </c>
      <c r="F30" s="1370">
        <v>120</v>
      </c>
      <c r="G30" s="1370">
        <v>4</v>
      </c>
      <c r="H30" s="1370">
        <v>168.36539999999999</v>
      </c>
      <c r="I30" s="1370">
        <v>545.1499</v>
      </c>
      <c r="J30" s="1370">
        <v>511.97210000000001</v>
      </c>
      <c r="K30" s="1370">
        <v>1040.1692</v>
      </c>
      <c r="L30" s="1370">
        <v>1040.1692</v>
      </c>
      <c r="M30" s="1368">
        <v>0</v>
      </c>
    </row>
    <row r="31" spans="1:13" ht="20.100000000000001" customHeight="1">
      <c r="A31" s="989" t="s">
        <v>1684</v>
      </c>
      <c r="B31" s="1370">
        <v>14679.9532</v>
      </c>
      <c r="C31" s="1370">
        <v>0.3</v>
      </c>
      <c r="D31" s="1370">
        <v>2658.7365</v>
      </c>
      <c r="E31" s="1370">
        <v>14682.906999999999</v>
      </c>
      <c r="F31" s="1370">
        <v>21632.6047</v>
      </c>
      <c r="G31" s="1370">
        <v>6875.4204</v>
      </c>
      <c r="H31" s="1370">
        <v>0</v>
      </c>
      <c r="I31" s="1370">
        <v>63.438299999999998</v>
      </c>
      <c r="J31" s="1370">
        <v>1526.4634000000001</v>
      </c>
      <c r="K31" s="1370">
        <v>235.4349</v>
      </c>
      <c r="L31" s="1370">
        <v>235.4349</v>
      </c>
      <c r="M31" s="1368">
        <v>0</v>
      </c>
    </row>
    <row r="32" spans="1:13" ht="20.100000000000001" customHeight="1">
      <c r="A32" s="994" t="s">
        <v>4172</v>
      </c>
      <c r="B32" s="1372">
        <v>2966.878499999988</v>
      </c>
      <c r="C32" s="1372">
        <v>3722.5835000000075</v>
      </c>
      <c r="D32" s="1372">
        <v>3793.6068000000109</v>
      </c>
      <c r="E32" s="1372">
        <v>2744.8460000000009</v>
      </c>
      <c r="F32" s="1372">
        <v>5322.2920000000331</v>
      </c>
      <c r="G32" s="1372">
        <v>3118.9725000000049</v>
      </c>
      <c r="H32" s="1372">
        <v>4047.5680000000102</v>
      </c>
      <c r="I32" s="1372">
        <v>27444.689999999977</v>
      </c>
      <c r="J32" s="1372">
        <v>49261.511200000234</v>
      </c>
      <c r="K32" s="1372">
        <v>38892.361100000162</v>
      </c>
      <c r="L32" s="1372">
        <v>17780.9169000002</v>
      </c>
      <c r="M32" s="1372">
        <v>21111.444200000049</v>
      </c>
    </row>
    <row r="33" spans="1:1">
      <c r="A33" s="665" t="s">
        <v>784</v>
      </c>
    </row>
    <row r="34" spans="1:1">
      <c r="A34" s="1373" t="s">
        <v>4173</v>
      </c>
    </row>
    <row r="36" spans="1:1" ht="14.25" customHeight="1"/>
  </sheetData>
  <mergeCells count="12">
    <mergeCell ref="J3:J4"/>
    <mergeCell ref="K3:M3"/>
    <mergeCell ref="A1:M1"/>
    <mergeCell ref="L2:M2"/>
    <mergeCell ref="B3:B4"/>
    <mergeCell ref="C3:C4"/>
    <mergeCell ref="D3:D4"/>
    <mergeCell ref="E3:E4"/>
    <mergeCell ref="F3:F4"/>
    <mergeCell ref="G3:G4"/>
    <mergeCell ref="H3:H4"/>
    <mergeCell ref="I3:I4"/>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6" orientation="landscape" r:id="rId1"/>
  <headerFooter differentOddEven="1" scaleWithDoc="0">
    <oddHeader>&amp;L&amp;"Times New Roman,標準"&amp;8 108&amp;"標楷體,標準"年犯罪狀況及其分析</oddHeader>
    <evenHeader>&amp;R&amp;"標楷體,標準"&amp;8第二篇　犯罪之處理</evenHead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Q469"/>
  <sheetViews>
    <sheetView showGridLines="0" workbookViewId="0">
      <selection activeCell="A16" sqref="A16:B16"/>
    </sheetView>
  </sheetViews>
  <sheetFormatPr defaultColWidth="8.875" defaultRowHeight="15.75"/>
  <cols>
    <col min="1" max="1" width="6" style="1375" customWidth="1"/>
    <col min="2" max="2" width="6" style="1374" customWidth="1"/>
    <col min="3" max="3" width="10.875" style="1374" customWidth="1"/>
    <col min="4" max="4" width="8.5" style="1374" bestFit="1" customWidth="1"/>
    <col min="5" max="5" width="9.125" style="1374" bestFit="1" customWidth="1"/>
    <col min="6" max="6" width="6.875" style="1374" customWidth="1"/>
    <col min="7" max="10" width="9.625" style="1374" customWidth="1"/>
    <col min="11" max="13" width="8.125" style="1374" customWidth="1"/>
    <col min="14" max="15" width="9.625" style="1374" customWidth="1"/>
    <col min="16" max="16" width="9.5" style="1374" bestFit="1" customWidth="1"/>
    <col min="17" max="17" width="7.125" style="1391" customWidth="1"/>
    <col min="18" max="16384" width="8.875" style="1374"/>
  </cols>
  <sheetData>
    <row r="1" spans="1:17" ht="20.25">
      <c r="A1" s="3383" t="s">
        <v>1687</v>
      </c>
      <c r="B1" s="3383"/>
      <c r="C1" s="3383"/>
      <c r="D1" s="3383"/>
      <c r="E1" s="3383"/>
      <c r="F1" s="3383"/>
      <c r="G1" s="3383"/>
      <c r="H1" s="3383"/>
      <c r="I1" s="3383"/>
      <c r="J1" s="3383"/>
      <c r="K1" s="3383"/>
      <c r="L1" s="3383"/>
      <c r="M1" s="3383"/>
      <c r="N1" s="3383"/>
      <c r="O1" s="3383"/>
      <c r="P1" s="3383"/>
      <c r="Q1" s="3383"/>
    </row>
    <row r="2" spans="1:17" ht="18.600000000000001" customHeight="1">
      <c r="P2" s="3384" t="s">
        <v>1688</v>
      </c>
      <c r="Q2" s="3384"/>
    </row>
    <row r="3" spans="1:17" ht="10.5" customHeight="1">
      <c r="A3" s="3385"/>
      <c r="B3" s="3385"/>
      <c r="C3" s="3388" t="s">
        <v>1689</v>
      </c>
      <c r="D3" s="3391" t="s">
        <v>1690</v>
      </c>
      <c r="E3" s="3392"/>
      <c r="F3" s="3393"/>
      <c r="G3" s="3380" t="s">
        <v>1691</v>
      </c>
      <c r="H3" s="3397" t="s">
        <v>1692</v>
      </c>
      <c r="I3" s="3380" t="s">
        <v>1693</v>
      </c>
      <c r="J3" s="3400" t="s">
        <v>1694</v>
      </c>
      <c r="K3" s="3403" t="s">
        <v>1695</v>
      </c>
      <c r="L3" s="3392"/>
      <c r="M3" s="3393"/>
      <c r="N3" s="3411" t="s">
        <v>1696</v>
      </c>
      <c r="O3" s="3415" t="s">
        <v>1697</v>
      </c>
      <c r="P3" s="3418" t="s">
        <v>1698</v>
      </c>
      <c r="Q3" s="3418"/>
    </row>
    <row r="4" spans="1:17" ht="15.75" customHeight="1">
      <c r="A4" s="3386"/>
      <c r="B4" s="3386"/>
      <c r="C4" s="3389"/>
      <c r="D4" s="3394"/>
      <c r="E4" s="3395"/>
      <c r="F4" s="3396"/>
      <c r="G4" s="3381"/>
      <c r="H4" s="3398"/>
      <c r="I4" s="3381"/>
      <c r="J4" s="3401"/>
      <c r="K4" s="3394"/>
      <c r="L4" s="3395"/>
      <c r="M4" s="3396"/>
      <c r="N4" s="3412"/>
      <c r="O4" s="3416"/>
      <c r="P4" s="3419"/>
      <c r="Q4" s="3419"/>
    </row>
    <row r="5" spans="1:17" ht="15" customHeight="1">
      <c r="A5" s="3386"/>
      <c r="B5" s="3386"/>
      <c r="C5" s="3389"/>
      <c r="D5" s="3380" t="s">
        <v>1699</v>
      </c>
      <c r="E5" s="3380" t="s">
        <v>1700</v>
      </c>
      <c r="F5" s="3420" t="s">
        <v>1701</v>
      </c>
      <c r="G5" s="3381"/>
      <c r="H5" s="3398"/>
      <c r="I5" s="3381"/>
      <c r="J5" s="3401"/>
      <c r="K5" s="3380" t="s">
        <v>1699</v>
      </c>
      <c r="L5" s="3423" t="s">
        <v>1702</v>
      </c>
      <c r="M5" s="3423" t="s">
        <v>1703</v>
      </c>
      <c r="N5" s="3413"/>
      <c r="O5" s="3416"/>
      <c r="P5" s="3419"/>
      <c r="Q5" s="3419"/>
    </row>
    <row r="6" spans="1:17" ht="28.15" customHeight="1">
      <c r="A6" s="3386"/>
      <c r="B6" s="3386"/>
      <c r="C6" s="3389"/>
      <c r="D6" s="3381"/>
      <c r="E6" s="3381"/>
      <c r="F6" s="3421"/>
      <c r="G6" s="3381"/>
      <c r="H6" s="3398"/>
      <c r="I6" s="3381"/>
      <c r="J6" s="3401"/>
      <c r="K6" s="3381"/>
      <c r="L6" s="3381"/>
      <c r="M6" s="3381"/>
      <c r="N6" s="3413"/>
      <c r="O6" s="3416"/>
      <c r="P6" s="3380" t="s">
        <v>1704</v>
      </c>
      <c r="Q6" s="3406" t="s">
        <v>809</v>
      </c>
    </row>
    <row r="7" spans="1:17" ht="33" customHeight="1">
      <c r="A7" s="3386"/>
      <c r="B7" s="3386"/>
      <c r="C7" s="3389"/>
      <c r="D7" s="3381"/>
      <c r="E7" s="3381"/>
      <c r="F7" s="3421"/>
      <c r="G7" s="3381"/>
      <c r="H7" s="3398"/>
      <c r="I7" s="3381"/>
      <c r="J7" s="3401"/>
      <c r="K7" s="3381"/>
      <c r="L7" s="3381"/>
      <c r="M7" s="3381"/>
      <c r="N7" s="3413"/>
      <c r="O7" s="3416"/>
      <c r="P7" s="3381"/>
      <c r="Q7" s="3407"/>
    </row>
    <row r="8" spans="1:17" ht="18" customHeight="1">
      <c r="A8" s="3387"/>
      <c r="B8" s="3387"/>
      <c r="C8" s="3390"/>
      <c r="D8" s="3382"/>
      <c r="E8" s="3382"/>
      <c r="F8" s="3422"/>
      <c r="G8" s="3382"/>
      <c r="H8" s="3399"/>
      <c r="I8" s="3382"/>
      <c r="J8" s="3402"/>
      <c r="K8" s="3382"/>
      <c r="L8" s="3382"/>
      <c r="M8" s="3382"/>
      <c r="N8" s="3414"/>
      <c r="O8" s="3417"/>
      <c r="P8" s="3382"/>
      <c r="Q8" s="3408"/>
    </row>
    <row r="9" spans="1:17" ht="19.350000000000001" customHeight="1">
      <c r="A9" s="3409" t="s">
        <v>1705</v>
      </c>
      <c r="B9" s="3410"/>
      <c r="C9" s="1376">
        <f t="shared" ref="C9:C18" si="0">SUM(D9,G9,H9,I9,J9,K9,N9)</f>
        <v>65311</v>
      </c>
      <c r="D9" s="1377">
        <f t="shared" ref="D9:D18" si="1">SUM(E9,F9)</f>
        <v>57769</v>
      </c>
      <c r="E9" s="1377">
        <v>57088</v>
      </c>
      <c r="F9" s="1377">
        <v>681</v>
      </c>
      <c r="G9" s="1377">
        <v>544</v>
      </c>
      <c r="H9" s="1377">
        <v>972</v>
      </c>
      <c r="I9" s="1377">
        <v>3501</v>
      </c>
      <c r="J9" s="1377">
        <v>395</v>
      </c>
      <c r="K9" s="1377">
        <f t="shared" ref="K9:K18" si="2">SUM(L9,M9)</f>
        <v>1119</v>
      </c>
      <c r="L9" s="1377">
        <v>1100</v>
      </c>
      <c r="M9" s="1378">
        <v>19</v>
      </c>
      <c r="N9" s="1377">
        <v>1011</v>
      </c>
      <c r="O9" s="1379">
        <v>54593</v>
      </c>
      <c r="P9" s="1377">
        <v>10718</v>
      </c>
      <c r="Q9" s="1380">
        <f t="shared" ref="Q9:Q18" si="3">P9/O9*100</f>
        <v>19.632553624091003</v>
      </c>
    </row>
    <row r="10" spans="1:17" ht="19.350000000000001" customHeight="1">
      <c r="A10" s="3409" t="s">
        <v>1706</v>
      </c>
      <c r="B10" s="3410"/>
      <c r="C10" s="1376">
        <f t="shared" si="0"/>
        <v>64864</v>
      </c>
      <c r="D10" s="1377">
        <f t="shared" si="1"/>
        <v>58119</v>
      </c>
      <c r="E10" s="1377">
        <v>57479</v>
      </c>
      <c r="F10" s="1377">
        <v>640</v>
      </c>
      <c r="G10" s="1377">
        <v>456</v>
      </c>
      <c r="H10" s="1377">
        <v>1097</v>
      </c>
      <c r="I10" s="1377">
        <v>3128</v>
      </c>
      <c r="J10" s="1377">
        <v>447</v>
      </c>
      <c r="K10" s="1377">
        <f t="shared" si="2"/>
        <v>883</v>
      </c>
      <c r="L10" s="1377">
        <v>871</v>
      </c>
      <c r="M10" s="1378">
        <v>12</v>
      </c>
      <c r="N10" s="1377">
        <v>734</v>
      </c>
      <c r="O10" s="1379">
        <v>54593</v>
      </c>
      <c r="P10" s="1377">
        <v>10271</v>
      </c>
      <c r="Q10" s="1380">
        <f t="shared" si="3"/>
        <v>18.813767332808233</v>
      </c>
    </row>
    <row r="11" spans="1:17" ht="19.350000000000001" customHeight="1">
      <c r="A11" s="3409" t="s">
        <v>1707</v>
      </c>
      <c r="B11" s="3410"/>
      <c r="C11" s="1376">
        <f t="shared" si="0"/>
        <v>66106</v>
      </c>
      <c r="D11" s="1377">
        <f t="shared" si="1"/>
        <v>59315</v>
      </c>
      <c r="E11" s="1377">
        <v>58674</v>
      </c>
      <c r="F11" s="1377">
        <v>641</v>
      </c>
      <c r="G11" s="1377">
        <v>405</v>
      </c>
      <c r="H11" s="1377">
        <v>1217</v>
      </c>
      <c r="I11" s="1377">
        <v>3271</v>
      </c>
      <c r="J11" s="1377">
        <v>503</v>
      </c>
      <c r="K11" s="1377">
        <f t="shared" si="2"/>
        <v>823</v>
      </c>
      <c r="L11" s="1377">
        <v>805</v>
      </c>
      <c r="M11" s="1378">
        <v>18</v>
      </c>
      <c r="N11" s="1377">
        <v>572</v>
      </c>
      <c r="O11" s="1379">
        <v>54593</v>
      </c>
      <c r="P11" s="1377">
        <v>11513</v>
      </c>
      <c r="Q11" s="1380">
        <f t="shared" si="3"/>
        <v>21.088784276372429</v>
      </c>
    </row>
    <row r="12" spans="1:17" ht="19.350000000000001" customHeight="1">
      <c r="A12" s="3409" t="s">
        <v>1708</v>
      </c>
      <c r="B12" s="3410"/>
      <c r="C12" s="1376">
        <f t="shared" si="0"/>
        <v>64797</v>
      </c>
      <c r="D12" s="1377">
        <f t="shared" si="1"/>
        <v>59066</v>
      </c>
      <c r="E12" s="1377">
        <v>58565</v>
      </c>
      <c r="F12" s="1377">
        <v>501</v>
      </c>
      <c r="G12" s="1377">
        <v>345</v>
      </c>
      <c r="H12" s="1377">
        <v>1270</v>
      </c>
      <c r="I12" s="1377">
        <v>2528</v>
      </c>
      <c r="J12" s="1377">
        <v>387</v>
      </c>
      <c r="K12" s="1377">
        <f t="shared" si="2"/>
        <v>727</v>
      </c>
      <c r="L12" s="1377">
        <v>717</v>
      </c>
      <c r="M12" s="1378">
        <v>10</v>
      </c>
      <c r="N12" s="1377">
        <v>474</v>
      </c>
      <c r="O12" s="1379">
        <v>54593</v>
      </c>
      <c r="P12" s="1377">
        <v>10204</v>
      </c>
      <c r="Q12" s="1380">
        <f t="shared" si="3"/>
        <v>18.691040975949296</v>
      </c>
    </row>
    <row r="13" spans="1:17" ht="19.350000000000001" customHeight="1">
      <c r="A13" s="3409" t="s">
        <v>1709</v>
      </c>
      <c r="B13" s="3410"/>
      <c r="C13" s="1376">
        <f t="shared" si="0"/>
        <v>63452</v>
      </c>
      <c r="D13" s="1377">
        <f t="shared" si="1"/>
        <v>58167</v>
      </c>
      <c r="E13" s="1377">
        <v>57633</v>
      </c>
      <c r="F13" s="1377">
        <v>534</v>
      </c>
      <c r="G13" s="1377">
        <v>285</v>
      </c>
      <c r="H13" s="1377">
        <v>1104</v>
      </c>
      <c r="I13" s="1377">
        <v>2349</v>
      </c>
      <c r="J13" s="1377">
        <v>400</v>
      </c>
      <c r="K13" s="1377">
        <f t="shared" si="2"/>
        <v>717</v>
      </c>
      <c r="L13" s="1377">
        <v>711</v>
      </c>
      <c r="M13" s="1378">
        <v>6</v>
      </c>
      <c r="N13" s="1377">
        <v>430</v>
      </c>
      <c r="O13" s="1379">
        <v>54593</v>
      </c>
      <c r="P13" s="1377">
        <v>8859</v>
      </c>
      <c r="Q13" s="1380">
        <f t="shared" si="3"/>
        <v>16.227355155422856</v>
      </c>
    </row>
    <row r="14" spans="1:17" ht="19.350000000000001" customHeight="1">
      <c r="A14" s="3409" t="s">
        <v>1710</v>
      </c>
      <c r="B14" s="3410"/>
      <c r="C14" s="1376">
        <f t="shared" si="0"/>
        <v>62899</v>
      </c>
      <c r="D14" s="1377">
        <f t="shared" si="1"/>
        <v>57458</v>
      </c>
      <c r="E14" s="1377">
        <v>56948</v>
      </c>
      <c r="F14" s="1377">
        <v>510</v>
      </c>
      <c r="G14" s="1377">
        <v>219</v>
      </c>
      <c r="H14" s="1377">
        <v>1092</v>
      </c>
      <c r="I14" s="1377">
        <v>2285</v>
      </c>
      <c r="J14" s="1377">
        <v>484</v>
      </c>
      <c r="K14" s="1377">
        <f t="shared" si="2"/>
        <v>922</v>
      </c>
      <c r="L14" s="1377">
        <v>912</v>
      </c>
      <c r="M14" s="1378">
        <v>10</v>
      </c>
      <c r="N14" s="1377">
        <v>439</v>
      </c>
      <c r="O14" s="1379">
        <v>55676</v>
      </c>
      <c r="P14" s="1377">
        <v>7223</v>
      </c>
      <c r="Q14" s="1380">
        <f t="shared" si="3"/>
        <v>12.973273942093542</v>
      </c>
    </row>
    <row r="15" spans="1:17" ht="19.350000000000001" customHeight="1">
      <c r="A15" s="3409" t="s">
        <v>1711</v>
      </c>
      <c r="B15" s="3410"/>
      <c r="C15" s="1376">
        <f t="shared" si="0"/>
        <v>62398</v>
      </c>
      <c r="D15" s="1377">
        <f t="shared" si="1"/>
        <v>56551</v>
      </c>
      <c r="E15" s="1377">
        <v>56066</v>
      </c>
      <c r="F15" s="1377">
        <v>485</v>
      </c>
      <c r="G15" s="1377">
        <v>153</v>
      </c>
      <c r="H15" s="1377">
        <v>1124</v>
      </c>
      <c r="I15" s="1377">
        <v>2671</v>
      </c>
      <c r="J15" s="1377">
        <v>427</v>
      </c>
      <c r="K15" s="1377">
        <f t="shared" si="2"/>
        <v>949</v>
      </c>
      <c r="L15" s="1377">
        <v>939</v>
      </c>
      <c r="M15" s="1378">
        <v>10</v>
      </c>
      <c r="N15" s="1377">
        <v>523</v>
      </c>
      <c r="O15" s="1379">
        <v>56877</v>
      </c>
      <c r="P15" s="1377">
        <v>5521</v>
      </c>
      <c r="Q15" s="1380">
        <f t="shared" si="3"/>
        <v>9.7069114053132193</v>
      </c>
    </row>
    <row r="16" spans="1:17" ht="19.350000000000001" customHeight="1">
      <c r="A16" s="3409" t="s">
        <v>1712</v>
      </c>
      <c r="B16" s="3410"/>
      <c r="C16" s="1376">
        <f t="shared" si="0"/>
        <v>62315</v>
      </c>
      <c r="D16" s="1377">
        <f t="shared" si="1"/>
        <v>57184</v>
      </c>
      <c r="E16" s="1377">
        <v>56560</v>
      </c>
      <c r="F16" s="1377">
        <v>624</v>
      </c>
      <c r="G16" s="1377">
        <v>113</v>
      </c>
      <c r="H16" s="1377">
        <v>1064</v>
      </c>
      <c r="I16" s="1377">
        <v>2497</v>
      </c>
      <c r="J16" s="1377">
        <v>332</v>
      </c>
      <c r="K16" s="1377">
        <f t="shared" si="2"/>
        <v>702</v>
      </c>
      <c r="L16" s="1377">
        <v>695</v>
      </c>
      <c r="M16" s="1378">
        <v>7</v>
      </c>
      <c r="N16" s="1377">
        <v>423</v>
      </c>
      <c r="O16" s="1379">
        <v>56877</v>
      </c>
      <c r="P16" s="1377">
        <v>5438</v>
      </c>
      <c r="Q16" s="1380">
        <f t="shared" si="3"/>
        <v>9.560982470946076</v>
      </c>
    </row>
    <row r="17" spans="1:17" ht="19.350000000000001" customHeight="1">
      <c r="A17" s="3409" t="s">
        <v>1713</v>
      </c>
      <c r="B17" s="3410"/>
      <c r="C17" s="1376">
        <f t="shared" si="0"/>
        <v>63317</v>
      </c>
      <c r="D17" s="1377">
        <f t="shared" si="1"/>
        <v>58734</v>
      </c>
      <c r="E17" s="1377">
        <v>58059</v>
      </c>
      <c r="F17" s="1377">
        <v>675</v>
      </c>
      <c r="G17" s="1377">
        <v>119</v>
      </c>
      <c r="H17" s="1377">
        <v>791</v>
      </c>
      <c r="I17" s="1377">
        <v>2536</v>
      </c>
      <c r="J17" s="1377">
        <v>302</v>
      </c>
      <c r="K17" s="1377">
        <f t="shared" si="2"/>
        <v>494</v>
      </c>
      <c r="L17" s="1377">
        <v>494</v>
      </c>
      <c r="M17" s="1378" t="s">
        <v>1</v>
      </c>
      <c r="N17" s="1377">
        <v>341</v>
      </c>
      <c r="O17" s="1379">
        <v>57573</v>
      </c>
      <c r="P17" s="1377">
        <v>5744</v>
      </c>
      <c r="Q17" s="1380">
        <f t="shared" si="3"/>
        <v>9.9768988935785874</v>
      </c>
    </row>
    <row r="18" spans="1:17" ht="19.350000000000001" customHeight="1">
      <c r="A18" s="3424" t="s">
        <v>1714</v>
      </c>
      <c r="B18" s="3425"/>
      <c r="C18" s="1381">
        <f t="shared" si="0"/>
        <v>60956</v>
      </c>
      <c r="D18" s="1382">
        <f t="shared" si="1"/>
        <v>56843</v>
      </c>
      <c r="E18" s="1382">
        <v>56289</v>
      </c>
      <c r="F18" s="1382">
        <v>554</v>
      </c>
      <c r="G18" s="1382">
        <v>133</v>
      </c>
      <c r="H18" s="1382">
        <v>662</v>
      </c>
      <c r="I18" s="1382">
        <v>2374</v>
      </c>
      <c r="J18" s="1382">
        <v>303</v>
      </c>
      <c r="K18" s="1382">
        <f t="shared" si="2"/>
        <v>369</v>
      </c>
      <c r="L18" s="1382">
        <v>369</v>
      </c>
      <c r="M18" s="1383" t="s">
        <v>1</v>
      </c>
      <c r="N18" s="1382">
        <v>272</v>
      </c>
      <c r="O18" s="1384">
        <v>57573</v>
      </c>
      <c r="P18" s="1382">
        <v>3383</v>
      </c>
      <c r="Q18" s="1385">
        <f t="shared" si="3"/>
        <v>5.8760182724541021</v>
      </c>
    </row>
    <row r="19" spans="1:17" s="1388" customFormat="1" ht="13.5" customHeight="1">
      <c r="A19" s="1386" t="s">
        <v>997</v>
      </c>
      <c r="B19" s="1387"/>
      <c r="H19" s="1389"/>
      <c r="Q19" s="1390"/>
    </row>
    <row r="20" spans="1:17" ht="13.5" customHeight="1">
      <c r="A20" s="3404" t="s">
        <v>1715</v>
      </c>
      <c r="B20" s="3405"/>
      <c r="C20" s="3405"/>
      <c r="D20" s="3405"/>
      <c r="E20" s="3405"/>
      <c r="F20" s="3405"/>
      <c r="G20" s="3405"/>
      <c r="H20" s="3405"/>
      <c r="I20" s="3405"/>
    </row>
    <row r="21" spans="1:17" ht="13.5" customHeight="1">
      <c r="A21" s="3405"/>
      <c r="B21" s="3405"/>
      <c r="C21" s="3405"/>
      <c r="D21" s="3405"/>
      <c r="E21" s="3405"/>
      <c r="F21" s="3405"/>
      <c r="G21" s="3405"/>
      <c r="H21" s="3405"/>
      <c r="I21" s="3405"/>
      <c r="J21" s="1388"/>
      <c r="K21" s="1388"/>
      <c r="L21" s="1388"/>
      <c r="M21" s="1388"/>
      <c r="N21" s="1388"/>
      <c r="O21" s="1388"/>
      <c r="P21" s="1388"/>
      <c r="Q21" s="1390"/>
    </row>
    <row r="22" spans="1:17" ht="13.5" customHeight="1">
      <c r="B22" s="1388"/>
      <c r="C22" s="1388"/>
      <c r="D22" s="1388"/>
      <c r="E22" s="1388"/>
      <c r="F22" s="1388"/>
      <c r="G22" s="1388"/>
      <c r="H22" s="1388"/>
      <c r="I22" s="1388"/>
      <c r="J22" s="1388"/>
      <c r="K22" s="1388"/>
      <c r="L22" s="1388"/>
      <c r="M22" s="1388"/>
      <c r="N22" s="1388"/>
      <c r="O22" s="1388"/>
      <c r="P22" s="1388"/>
      <c r="Q22" s="1390"/>
    </row>
    <row r="23" spans="1:17" ht="13.5" customHeight="1"/>
    <row r="24" spans="1:17" ht="13.5" customHeight="1">
      <c r="A24" s="1392"/>
    </row>
    <row r="25" spans="1:17" ht="13.5" customHeight="1"/>
    <row r="26" spans="1:17" ht="13.5" customHeight="1"/>
    <row r="27" spans="1:17" ht="13.5" customHeight="1"/>
    <row r="28" spans="1:17" ht="13.5" customHeight="1"/>
    <row r="29" spans="1:17" ht="13.5" customHeight="1"/>
    <row r="30" spans="1:17" ht="13.5" customHeight="1"/>
    <row r="31" spans="1:17" ht="13.5" customHeight="1"/>
    <row r="32" spans="1:17"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spans="3:5" ht="13.5" customHeight="1"/>
    <row r="50" spans="3:5" ht="13.5" customHeight="1"/>
    <row r="51" spans="3:5" ht="13.5" customHeight="1">
      <c r="C51" s="1393"/>
      <c r="D51" s="1393"/>
      <c r="E51" s="1393"/>
    </row>
    <row r="52" spans="3:5" ht="13.5" customHeight="1"/>
    <row r="53" spans="3:5" ht="13.5" customHeight="1"/>
    <row r="54" spans="3:5" ht="13.5" customHeight="1"/>
    <row r="55" spans="3:5" ht="13.5" customHeight="1"/>
    <row r="56" spans="3:5" ht="13.5" customHeight="1"/>
    <row r="57" spans="3:5" ht="13.5" customHeight="1"/>
    <row r="58" spans="3:5" ht="13.5" customHeight="1"/>
    <row r="59" spans="3:5" ht="13.5" customHeight="1"/>
    <row r="60" spans="3:5" ht="13.5" customHeight="1"/>
    <row r="61" spans="3:5" ht="13.5" customHeight="1"/>
    <row r="62" spans="3:5" ht="13.5" customHeight="1"/>
    <row r="63" spans="3:5" ht="13.5" customHeight="1"/>
    <row r="64" spans="3:5"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2.95" customHeight="1"/>
    <row r="330" ht="12.95" customHeight="1"/>
    <row r="331" ht="12.95" customHeight="1"/>
    <row r="332" ht="12.95" customHeight="1"/>
    <row r="333" ht="12.95" customHeight="1"/>
    <row r="334" ht="12.95" customHeight="1"/>
    <row r="335" ht="12.95" customHeight="1"/>
    <row r="336" ht="12.95" customHeight="1"/>
    <row r="337" ht="12.95" customHeight="1"/>
    <row r="338" ht="12.95" customHeight="1"/>
    <row r="339" ht="12.95" customHeight="1"/>
    <row r="340" ht="12.95" customHeight="1"/>
    <row r="341" ht="12.95" customHeight="1"/>
    <row r="342" ht="12.95" customHeight="1"/>
    <row r="343" ht="12.95" customHeight="1"/>
    <row r="344" ht="12.95" customHeight="1"/>
    <row r="345" ht="12.95" customHeight="1"/>
    <row r="346" ht="12.95" customHeight="1"/>
    <row r="347" ht="12.95" customHeight="1"/>
    <row r="348" ht="12.95" customHeight="1"/>
    <row r="349" ht="12.95" customHeight="1"/>
    <row r="350" ht="12.95" customHeight="1"/>
    <row r="351" ht="12.95" customHeight="1"/>
    <row r="352" ht="12.95" customHeight="1"/>
    <row r="353" ht="12.95" customHeight="1"/>
    <row r="354" ht="12.95" customHeight="1"/>
    <row r="355" ht="12.95" customHeight="1"/>
    <row r="356" ht="12.95" customHeight="1"/>
    <row r="357" ht="12.95" customHeight="1"/>
    <row r="358" ht="12.95" customHeight="1"/>
    <row r="359" ht="12.95" customHeight="1"/>
    <row r="360" ht="12.95" customHeight="1"/>
    <row r="361" ht="12.95" customHeight="1"/>
    <row r="362" ht="12.95" customHeight="1"/>
    <row r="363" ht="12.95" customHeight="1"/>
    <row r="364" ht="12.95" customHeight="1"/>
    <row r="365" ht="12.95" customHeight="1"/>
    <row r="366" ht="12.95" customHeight="1"/>
    <row r="367" ht="12.95" customHeight="1"/>
    <row r="368" ht="12.95" customHeight="1"/>
    <row r="369" ht="12.95" customHeight="1"/>
    <row r="370" ht="12.95" customHeight="1"/>
    <row r="371" ht="12.95" customHeight="1"/>
    <row r="372" ht="12.95" customHeight="1"/>
    <row r="373" ht="12.95" customHeight="1"/>
    <row r="374" ht="12.95" customHeight="1"/>
    <row r="375" ht="12.95" customHeight="1"/>
    <row r="376" ht="12.95" customHeight="1"/>
    <row r="377" ht="12.95" customHeight="1"/>
    <row r="378" ht="12.95" customHeight="1"/>
    <row r="379" ht="12.95" customHeight="1"/>
    <row r="380" ht="12.95" customHeight="1"/>
    <row r="381" ht="12.95" customHeight="1"/>
    <row r="382" ht="12.95" customHeight="1"/>
    <row r="383" ht="12.95" customHeight="1"/>
    <row r="384" ht="12.95" customHeight="1"/>
    <row r="385" ht="12.95" customHeight="1"/>
    <row r="386" ht="12.95" customHeight="1"/>
    <row r="387" ht="12.95" customHeight="1"/>
    <row r="388" ht="12.95" customHeight="1"/>
    <row r="389" ht="12.95" customHeight="1"/>
    <row r="390" ht="12.95" customHeight="1"/>
    <row r="391" ht="12.95" customHeight="1"/>
    <row r="392" ht="12.95" customHeight="1"/>
    <row r="393" ht="12.95" customHeight="1"/>
    <row r="394" ht="12.95" customHeight="1"/>
    <row r="395" ht="12.95" customHeight="1"/>
    <row r="396" ht="12.95" customHeight="1"/>
    <row r="397" ht="12.95" customHeight="1"/>
    <row r="398" ht="12.95" customHeight="1"/>
    <row r="399" ht="12.95" customHeight="1"/>
    <row r="400" ht="12.95" customHeight="1"/>
    <row r="401" ht="12.95" customHeight="1"/>
    <row r="402" ht="12.95" customHeight="1"/>
    <row r="403" ht="12.95" customHeight="1"/>
    <row r="404" ht="12.95" customHeight="1"/>
    <row r="405" ht="12.95" customHeight="1"/>
    <row r="406" ht="12.95" customHeight="1"/>
    <row r="407" ht="12.95" customHeight="1"/>
    <row r="408" ht="12.95" customHeight="1"/>
    <row r="409" ht="12.95" customHeight="1"/>
    <row r="410" ht="12.95" customHeight="1"/>
    <row r="411" ht="12.95" customHeight="1"/>
    <row r="412" ht="12.95" customHeight="1"/>
    <row r="413" ht="12.95" customHeight="1"/>
    <row r="414" ht="12.95" customHeight="1"/>
    <row r="415" ht="12.95" customHeight="1"/>
    <row r="416" ht="12.95" customHeight="1"/>
    <row r="417" ht="12.95" customHeight="1"/>
    <row r="418" ht="12.95" customHeight="1"/>
    <row r="419" ht="12.95" customHeight="1"/>
    <row r="420" ht="12.95" customHeight="1"/>
    <row r="421" ht="12.95" customHeight="1"/>
    <row r="422" ht="12.95" customHeight="1"/>
    <row r="423" ht="12.95" customHeight="1"/>
    <row r="424" ht="12.95" customHeight="1"/>
    <row r="425" ht="12.95" customHeight="1"/>
    <row r="426" ht="12.95" customHeight="1"/>
    <row r="427" ht="12.95" customHeight="1"/>
    <row r="428" ht="12.95" customHeight="1"/>
    <row r="429" ht="12.95" customHeight="1"/>
    <row r="430" ht="12.95" customHeight="1"/>
    <row r="431" ht="12.95" customHeight="1"/>
    <row r="432" ht="12.95" customHeight="1"/>
    <row r="433" ht="12.95" customHeight="1"/>
    <row r="434" ht="12.95" customHeight="1"/>
    <row r="435" ht="12.95" customHeight="1"/>
    <row r="436" ht="12.95" customHeight="1"/>
    <row r="437" ht="12.95" customHeight="1"/>
    <row r="438" ht="12.95" customHeight="1"/>
    <row r="439" ht="12.95" customHeight="1"/>
    <row r="440" ht="12.95" customHeight="1"/>
    <row r="441" ht="12.95" customHeight="1"/>
    <row r="442" ht="12.95" customHeight="1"/>
    <row r="443" ht="12.95" customHeight="1"/>
    <row r="444" ht="12.95" customHeight="1"/>
    <row r="445" ht="12.95" customHeight="1"/>
    <row r="446" ht="12.95" customHeight="1"/>
    <row r="447" ht="12.95" customHeight="1"/>
    <row r="448" ht="12.95" customHeight="1"/>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sheetData>
  <mergeCells count="32">
    <mergeCell ref="A14:B14"/>
    <mergeCell ref="A15:B15"/>
    <mergeCell ref="A16:B16"/>
    <mergeCell ref="A17:B17"/>
    <mergeCell ref="A18:B18"/>
    <mergeCell ref="A20:I21"/>
    <mergeCell ref="Q6:Q8"/>
    <mergeCell ref="A9:B9"/>
    <mergeCell ref="A10:B10"/>
    <mergeCell ref="A11:B11"/>
    <mergeCell ref="A12:B12"/>
    <mergeCell ref="A13:B13"/>
    <mergeCell ref="N3:N8"/>
    <mergeCell ref="O3:O8"/>
    <mergeCell ref="P3:Q5"/>
    <mergeCell ref="D5:D8"/>
    <mergeCell ref="E5:E8"/>
    <mergeCell ref="F5:F8"/>
    <mergeCell ref="K5:K8"/>
    <mergeCell ref="L5:L8"/>
    <mergeCell ref="M5:M8"/>
    <mergeCell ref="P6:P8"/>
    <mergeCell ref="A1:Q1"/>
    <mergeCell ref="P2:Q2"/>
    <mergeCell ref="A3:B8"/>
    <mergeCell ref="C3:C8"/>
    <mergeCell ref="D3:F4"/>
    <mergeCell ref="G3:G8"/>
    <mergeCell ref="H3:H8"/>
    <mergeCell ref="I3:I8"/>
    <mergeCell ref="J3:J8"/>
    <mergeCell ref="K3:M4"/>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5" orientation="landscape" r:id="rId1"/>
  <headerFooter differentOddEven="1" scaleWithDoc="0">
    <oddHeader>&amp;L&amp;"Times New Roman,標準"&amp;8 107&amp;"標楷體,標準"年犯罪狀況及其分析</oddHeader>
    <evenHeader>&amp;R&amp;"標楷體,標準"&amp;8第二篇　犯罪之處理</evenHeader>
  </headerFooter>
  <colBreaks count="1" manualBreakCount="1">
    <brk id="7" max="20"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P78"/>
  <sheetViews>
    <sheetView showGridLines="0" workbookViewId="0">
      <selection activeCell="B16" sqref="B16"/>
    </sheetView>
  </sheetViews>
  <sheetFormatPr defaultColWidth="8.75" defaultRowHeight="15.75"/>
  <cols>
    <col min="1" max="1" width="12.25" style="1399" customWidth="1"/>
    <col min="2" max="16" width="7.625" style="1399" customWidth="1"/>
    <col min="17" max="16384" width="8.75" style="1399"/>
  </cols>
  <sheetData>
    <row r="1" spans="1:16" s="1394" customFormat="1" ht="20.25">
      <c r="A1" s="3429" t="s">
        <v>1716</v>
      </c>
      <c r="B1" s="3429"/>
      <c r="C1" s="3429"/>
      <c r="D1" s="3429"/>
      <c r="E1" s="3429"/>
      <c r="F1" s="3429"/>
      <c r="G1" s="3429"/>
      <c r="H1" s="3429"/>
      <c r="I1" s="3429"/>
      <c r="J1" s="3429"/>
      <c r="K1" s="3429"/>
      <c r="L1" s="3429"/>
      <c r="M1" s="3429"/>
      <c r="N1" s="3429"/>
      <c r="O1" s="3429"/>
      <c r="P1" s="3429"/>
    </row>
    <row r="2" spans="1:16" s="1397" customFormat="1" ht="18.600000000000001" customHeight="1">
      <c r="A2" s="1395" t="s">
        <v>1717</v>
      </c>
      <c r="B2" s="1396"/>
      <c r="C2" s="1396"/>
      <c r="D2" s="1396"/>
      <c r="E2" s="1396"/>
      <c r="F2" s="1396"/>
      <c r="P2" s="1398"/>
    </row>
    <row r="3" spans="1:16" ht="32.450000000000003" customHeight="1">
      <c r="A3" s="3430" t="s">
        <v>1718</v>
      </c>
      <c r="B3" s="3432" t="s">
        <v>1717</v>
      </c>
      <c r="C3" s="3433"/>
      <c r="D3" s="3434"/>
      <c r="E3" s="3432" t="s">
        <v>1706</v>
      </c>
      <c r="F3" s="3433"/>
      <c r="G3" s="3434"/>
      <c r="H3" s="3432" t="s">
        <v>1707</v>
      </c>
      <c r="I3" s="3433"/>
      <c r="J3" s="3434"/>
      <c r="K3" s="3432" t="s">
        <v>1708</v>
      </c>
      <c r="L3" s="3433"/>
      <c r="M3" s="3434"/>
      <c r="N3" s="3432" t="s">
        <v>1709</v>
      </c>
      <c r="O3" s="3433"/>
      <c r="P3" s="3434"/>
    </row>
    <row r="4" spans="1:16" ht="32.450000000000003" customHeight="1">
      <c r="A4" s="3431"/>
      <c r="B4" s="1400" t="s">
        <v>1189</v>
      </c>
      <c r="C4" s="1400" t="s">
        <v>0</v>
      </c>
      <c r="D4" s="1400" t="s">
        <v>1719</v>
      </c>
      <c r="E4" s="1400" t="s">
        <v>1189</v>
      </c>
      <c r="F4" s="1400" t="s">
        <v>937</v>
      </c>
      <c r="G4" s="1400" t="s">
        <v>1719</v>
      </c>
      <c r="H4" s="1400" t="s">
        <v>1189</v>
      </c>
      <c r="I4" s="1400" t="s">
        <v>937</v>
      </c>
      <c r="J4" s="1400" t="s">
        <v>1720</v>
      </c>
      <c r="K4" s="1400" t="s">
        <v>1189</v>
      </c>
      <c r="L4" s="1400" t="s">
        <v>937</v>
      </c>
      <c r="M4" s="1400" t="s">
        <v>1719</v>
      </c>
      <c r="N4" s="1400" t="s">
        <v>1189</v>
      </c>
      <c r="O4" s="1400" t="s">
        <v>1421</v>
      </c>
      <c r="P4" s="1401" t="s">
        <v>1719</v>
      </c>
    </row>
    <row r="5" spans="1:16" ht="32.450000000000003" customHeight="1">
      <c r="A5" s="1402" t="s">
        <v>1282</v>
      </c>
      <c r="B5" s="1403">
        <f>B6+B7</f>
        <v>37179</v>
      </c>
      <c r="C5" s="1404">
        <f>C6+C7</f>
        <v>100</v>
      </c>
      <c r="D5" s="1405">
        <v>100</v>
      </c>
      <c r="E5" s="1403">
        <f>E6+E7</f>
        <v>36479</v>
      </c>
      <c r="F5" s="1404">
        <f>F6+F7</f>
        <v>100</v>
      </c>
      <c r="G5" s="1405">
        <f>E5/B5*100</f>
        <v>98.117216708356864</v>
      </c>
      <c r="H5" s="1403">
        <f>H6+H7</f>
        <v>35356</v>
      </c>
      <c r="I5" s="1404">
        <f>I6+I7</f>
        <v>100</v>
      </c>
      <c r="J5" s="1405">
        <f>H5/B5*100</f>
        <v>95.096694370477962</v>
      </c>
      <c r="K5" s="1403">
        <f>K6+K7</f>
        <v>34193</v>
      </c>
      <c r="L5" s="1404">
        <f>L6+L7</f>
        <v>100</v>
      </c>
      <c r="M5" s="1405">
        <f>K5/B5*100</f>
        <v>91.968584415933734</v>
      </c>
      <c r="N5" s="1403">
        <f>N6+N7</f>
        <v>34446</v>
      </c>
      <c r="O5" s="1404">
        <f>O6+O7</f>
        <v>100</v>
      </c>
      <c r="P5" s="1405">
        <f>N5/B5*100</f>
        <v>92.649076091341882</v>
      </c>
    </row>
    <row r="6" spans="1:16" ht="32.450000000000003" customHeight="1">
      <c r="A6" s="1402" t="s">
        <v>1721</v>
      </c>
      <c r="B6" s="1405">
        <v>33640</v>
      </c>
      <c r="C6" s="1406">
        <f>B6/B$5*100</f>
        <v>90.481185615535651</v>
      </c>
      <c r="D6" s="1405">
        <v>100</v>
      </c>
      <c r="E6" s="1405">
        <v>32935</v>
      </c>
      <c r="F6" s="1406">
        <f>E6/E$5*100</f>
        <v>90.28482140409551</v>
      </c>
      <c r="G6" s="1405">
        <f>E6/B6*100</f>
        <v>97.904280618311532</v>
      </c>
      <c r="H6" s="1403">
        <v>31906</v>
      </c>
      <c r="I6" s="1406">
        <f>H6/H$5*100</f>
        <v>90.242108835841165</v>
      </c>
      <c r="J6" s="1405">
        <f>H6/B6*100</f>
        <v>94.845422116527942</v>
      </c>
      <c r="K6" s="1405">
        <v>31044</v>
      </c>
      <c r="L6" s="1406">
        <f>K6/K5*100</f>
        <v>90.790512678033522</v>
      </c>
      <c r="M6" s="1405">
        <f>K6/B6*100</f>
        <v>92.282996432818081</v>
      </c>
      <c r="N6" s="1405">
        <v>31526</v>
      </c>
      <c r="O6" s="1406">
        <f>N6/N5*100</f>
        <v>91.522963479068693</v>
      </c>
      <c r="P6" s="1405">
        <f>N6/B6*100</f>
        <v>93.715814506539829</v>
      </c>
    </row>
    <row r="7" spans="1:16" ht="32.450000000000003" customHeight="1">
      <c r="A7" s="1402" t="s">
        <v>1722</v>
      </c>
      <c r="B7" s="1405">
        <v>3539</v>
      </c>
      <c r="C7" s="1406">
        <f>B7/B$5*100</f>
        <v>9.5188143844643491</v>
      </c>
      <c r="D7" s="1405">
        <v>100</v>
      </c>
      <c r="E7" s="1405">
        <v>3544</v>
      </c>
      <c r="F7" s="1406">
        <f>E7/E$5*100</f>
        <v>9.7151785959044936</v>
      </c>
      <c r="G7" s="1405">
        <f>E7/B7*100</f>
        <v>100.14128284826222</v>
      </c>
      <c r="H7" s="1403">
        <v>3450</v>
      </c>
      <c r="I7" s="1406">
        <f>H7/H$5*100</f>
        <v>9.7578911641588419</v>
      </c>
      <c r="J7" s="1405">
        <f>H7/B7*100</f>
        <v>97.485165300932465</v>
      </c>
      <c r="K7" s="1405">
        <v>3149</v>
      </c>
      <c r="L7" s="1406">
        <f>K7/K5*100</f>
        <v>9.2094873219664848</v>
      </c>
      <c r="M7" s="1405">
        <f>K7/B7*100</f>
        <v>88.979937835546764</v>
      </c>
      <c r="N7" s="1405">
        <v>2920</v>
      </c>
      <c r="O7" s="1406">
        <f>N7/N5*100</f>
        <v>8.4770365209313123</v>
      </c>
      <c r="P7" s="1405">
        <f>N7/B7*100</f>
        <v>82.509183385137035</v>
      </c>
    </row>
    <row r="8" spans="1:16" ht="4.7" customHeight="1" thickBot="1">
      <c r="A8" s="1402"/>
      <c r="B8" s="1407"/>
      <c r="C8" s="1408"/>
      <c r="D8" s="1409"/>
      <c r="E8" s="1407"/>
      <c r="F8" s="1408"/>
      <c r="G8" s="1409"/>
      <c r="H8" s="1410"/>
      <c r="I8" s="1408"/>
      <c r="J8" s="1409"/>
      <c r="K8" s="1407"/>
      <c r="L8" s="1408"/>
      <c r="M8" s="1409"/>
      <c r="N8" s="1407"/>
      <c r="O8" s="1408"/>
      <c r="P8" s="1409"/>
    </row>
    <row r="9" spans="1:16" s="1411" customFormat="1" ht="32.450000000000003" customHeight="1" thickTop="1">
      <c r="A9" s="3435" t="s">
        <v>1723</v>
      </c>
      <c r="B9" s="3426" t="s">
        <v>1724</v>
      </c>
      <c r="C9" s="3427"/>
      <c r="D9" s="3428"/>
      <c r="E9" s="3426" t="s">
        <v>1711</v>
      </c>
      <c r="F9" s="3427"/>
      <c r="G9" s="3428"/>
      <c r="H9" s="3426" t="s">
        <v>1712</v>
      </c>
      <c r="I9" s="3427"/>
      <c r="J9" s="3428"/>
      <c r="K9" s="3426" t="s">
        <v>1713</v>
      </c>
      <c r="L9" s="3427"/>
      <c r="M9" s="3428"/>
      <c r="N9" s="3426" t="s">
        <v>1714</v>
      </c>
      <c r="O9" s="3427"/>
      <c r="P9" s="3428"/>
    </row>
    <row r="10" spans="1:16" ht="32.450000000000003" customHeight="1">
      <c r="A10" s="3431"/>
      <c r="B10" s="1400" t="s">
        <v>1189</v>
      </c>
      <c r="C10" s="1400" t="s">
        <v>936</v>
      </c>
      <c r="D10" s="1400" t="s">
        <v>1725</v>
      </c>
      <c r="E10" s="1400" t="s">
        <v>1189</v>
      </c>
      <c r="F10" s="1400" t="s">
        <v>936</v>
      </c>
      <c r="G10" s="1400" t="s">
        <v>1726</v>
      </c>
      <c r="H10" s="1400" t="s">
        <v>1189</v>
      </c>
      <c r="I10" s="1400" t="s">
        <v>936</v>
      </c>
      <c r="J10" s="1400" t="s">
        <v>1726</v>
      </c>
      <c r="K10" s="1400" t="s">
        <v>1189</v>
      </c>
      <c r="L10" s="1400" t="s">
        <v>936</v>
      </c>
      <c r="M10" s="1400" t="s">
        <v>1726</v>
      </c>
      <c r="N10" s="1400" t="s">
        <v>1189</v>
      </c>
      <c r="O10" s="1400" t="s">
        <v>936</v>
      </c>
      <c r="P10" s="1401" t="s">
        <v>1726</v>
      </c>
    </row>
    <row r="11" spans="1:16" ht="32.450000000000003" customHeight="1">
      <c r="A11" s="1402" t="s">
        <v>1282</v>
      </c>
      <c r="B11" s="1403">
        <f>B12+B13</f>
        <v>33951</v>
      </c>
      <c r="C11" s="1404">
        <f>C12+C13</f>
        <v>100</v>
      </c>
      <c r="D11" s="1405">
        <f>B11/B5*100</f>
        <v>91.317679335108522</v>
      </c>
      <c r="E11" s="1403">
        <f>E12+E13</f>
        <v>34586</v>
      </c>
      <c r="F11" s="1404">
        <f>F12+F13</f>
        <v>99.999999999999986</v>
      </c>
      <c r="G11" s="1405">
        <f>E11/B5*100</f>
        <v>93.025632749670521</v>
      </c>
      <c r="H11" s="1403">
        <f>H12+H13</f>
        <v>36298</v>
      </c>
      <c r="I11" s="1404">
        <f>I12+I13</f>
        <v>100</v>
      </c>
      <c r="J11" s="1405">
        <f>H11/B5*100</f>
        <v>97.630382742946281</v>
      </c>
      <c r="K11" s="1403">
        <f>K12+K13</f>
        <v>36161</v>
      </c>
      <c r="L11" s="1404">
        <f>L12+L13</f>
        <v>100</v>
      </c>
      <c r="M11" s="1405">
        <f>K11/B5*100</f>
        <v>97.261895155867563</v>
      </c>
      <c r="N11" s="1403">
        <f>N12+N13</f>
        <v>34771</v>
      </c>
      <c r="O11" s="1404">
        <f>O12+O13</f>
        <v>100</v>
      </c>
      <c r="P11" s="1405">
        <f>N11/B5*100</f>
        <v>93.523225476747626</v>
      </c>
    </row>
    <row r="12" spans="1:16" ht="32.450000000000003" customHeight="1">
      <c r="A12" s="1402" t="s">
        <v>1721</v>
      </c>
      <c r="B12" s="1405">
        <v>31036</v>
      </c>
      <c r="C12" s="1406">
        <f>B12/B11*100</f>
        <v>91.414096786545315</v>
      </c>
      <c r="D12" s="1405">
        <f>B12/B6*100</f>
        <v>92.259215219976227</v>
      </c>
      <c r="E12" s="1405">
        <v>31492</v>
      </c>
      <c r="F12" s="1406">
        <f>E12/E11*100</f>
        <v>91.05418377378129</v>
      </c>
      <c r="G12" s="1405">
        <f>E12/B6*100</f>
        <v>93.61474435196196</v>
      </c>
      <c r="H12" s="1405">
        <v>32901</v>
      </c>
      <c r="I12" s="1406">
        <f>H12/H11*100</f>
        <v>90.641357650559257</v>
      </c>
      <c r="J12" s="1405">
        <f>H12/B6*100</f>
        <v>97.803210463733649</v>
      </c>
      <c r="K12" s="1405">
        <v>32692</v>
      </c>
      <c r="L12" s="1406">
        <f>K12/K11*100</f>
        <v>90.406791847570588</v>
      </c>
      <c r="M12" s="1405">
        <f>K12/B6*100</f>
        <v>97.181926278240198</v>
      </c>
      <c r="N12" s="1405">
        <v>31428</v>
      </c>
      <c r="O12" s="1406">
        <f>N12/N11*100</f>
        <v>90.385666216099622</v>
      </c>
      <c r="P12" s="1405">
        <f>N12/B6*100</f>
        <v>93.424494649227114</v>
      </c>
    </row>
    <row r="13" spans="1:16" ht="32.450000000000003" customHeight="1">
      <c r="A13" s="1412" t="s">
        <v>1722</v>
      </c>
      <c r="B13" s="1413">
        <v>2915</v>
      </c>
      <c r="C13" s="1414">
        <f>B13/B11*100</f>
        <v>8.5859032134546851</v>
      </c>
      <c r="D13" s="1413">
        <f>B13/B7*100</f>
        <v>82.367900536874828</v>
      </c>
      <c r="E13" s="1413">
        <v>3094</v>
      </c>
      <c r="F13" s="1414">
        <f>E13/E11*100</f>
        <v>8.9458162262187013</v>
      </c>
      <c r="G13" s="1413">
        <f>E13/B7*100</f>
        <v>87.425826504662325</v>
      </c>
      <c r="H13" s="1413">
        <v>3397</v>
      </c>
      <c r="I13" s="1414">
        <f>H13/H11*100</f>
        <v>9.3586423494407409</v>
      </c>
      <c r="J13" s="1413">
        <f>H13/B7*100</f>
        <v>95.987567109352923</v>
      </c>
      <c r="K13" s="1413">
        <v>3469</v>
      </c>
      <c r="L13" s="1414">
        <f>K13/K11*100</f>
        <v>9.5932081524294119</v>
      </c>
      <c r="M13" s="1413">
        <f>K13/B7*100</f>
        <v>98.022040124328896</v>
      </c>
      <c r="N13" s="1413">
        <v>3343</v>
      </c>
      <c r="O13" s="1414">
        <f>N13/N11*100</f>
        <v>9.614333783900376</v>
      </c>
      <c r="P13" s="1413">
        <f>N13/B7*100</f>
        <v>94.46171234812094</v>
      </c>
    </row>
    <row r="14" spans="1:16" s="1386" customFormat="1" ht="15.75" customHeight="1">
      <c r="A14" s="1386" t="s">
        <v>1727</v>
      </c>
      <c r="C14" s="1415"/>
      <c r="F14" s="1415"/>
    </row>
    <row r="15" spans="1:16" ht="15.75" customHeight="1">
      <c r="A15" s="1386"/>
    </row>
    <row r="16" spans="1: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sheetData>
  <mergeCells count="13">
    <mergeCell ref="N9:P9"/>
    <mergeCell ref="A1:P1"/>
    <mergeCell ref="A3:A4"/>
    <mergeCell ref="B3:D3"/>
    <mergeCell ref="E3:G3"/>
    <mergeCell ref="H3:J3"/>
    <mergeCell ref="K3:M3"/>
    <mergeCell ref="N3:P3"/>
    <mergeCell ref="A9:A10"/>
    <mergeCell ref="B9:D9"/>
    <mergeCell ref="E9:G9"/>
    <mergeCell ref="H9:J9"/>
    <mergeCell ref="K9:M9"/>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75"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Z28"/>
  <sheetViews>
    <sheetView showGridLines="0" workbookViewId="0">
      <selection activeCell="B16" sqref="B16"/>
    </sheetView>
  </sheetViews>
  <sheetFormatPr defaultColWidth="8.75" defaultRowHeight="15.75"/>
  <cols>
    <col min="1" max="1" width="5.875" style="1420" customWidth="1"/>
    <col min="2" max="2" width="4.5" style="1420" customWidth="1"/>
    <col min="3" max="26" width="7.625" style="1420" customWidth="1"/>
    <col min="27" max="16384" width="8.75" style="1420"/>
  </cols>
  <sheetData>
    <row r="1" spans="1:26" s="1416" customFormat="1" ht="20.25">
      <c r="A1" s="3436" t="s">
        <v>1728</v>
      </c>
      <c r="B1" s="3436"/>
      <c r="C1" s="3436"/>
      <c r="D1" s="3436"/>
      <c r="E1" s="3436"/>
      <c r="F1" s="3436"/>
      <c r="G1" s="3436"/>
      <c r="H1" s="3436"/>
      <c r="I1" s="3436"/>
      <c r="J1" s="3436"/>
      <c r="K1" s="3436"/>
      <c r="L1" s="3436"/>
      <c r="M1" s="3436"/>
      <c r="N1" s="3436"/>
      <c r="O1" s="3436"/>
      <c r="P1" s="3436"/>
      <c r="Q1" s="3436"/>
      <c r="R1" s="3436"/>
      <c r="S1" s="3436"/>
      <c r="T1" s="3436"/>
      <c r="U1" s="3436"/>
      <c r="V1" s="3436"/>
      <c r="W1" s="3436"/>
      <c r="X1" s="3436"/>
      <c r="Y1" s="3436"/>
      <c r="Z1" s="3436"/>
    </row>
    <row r="2" spans="1:26" s="1402" customFormat="1" ht="98.45" customHeight="1">
      <c r="A2" s="3437"/>
      <c r="B2" s="3437"/>
      <c r="C2" s="3439" t="s">
        <v>1729</v>
      </c>
      <c r="D2" s="3440"/>
      <c r="E2" s="3440"/>
      <c r="F2" s="3440" t="s">
        <v>1730</v>
      </c>
      <c r="G2" s="3440"/>
      <c r="H2" s="3440"/>
      <c r="I2" s="3440" t="s">
        <v>1731</v>
      </c>
      <c r="J2" s="3440"/>
      <c r="K2" s="3440"/>
      <c r="L2" s="3440" t="s">
        <v>1732</v>
      </c>
      <c r="M2" s="3440"/>
      <c r="N2" s="3440"/>
      <c r="O2" s="3440" t="s">
        <v>1733</v>
      </c>
      <c r="P2" s="3440"/>
      <c r="Q2" s="3440"/>
      <c r="R2" s="3440" t="s">
        <v>1734</v>
      </c>
      <c r="S2" s="3440"/>
      <c r="T2" s="3440"/>
      <c r="U2" s="3440" t="s">
        <v>1735</v>
      </c>
      <c r="V2" s="3440"/>
      <c r="W2" s="3440"/>
      <c r="X2" s="3441" t="s">
        <v>1736</v>
      </c>
      <c r="Y2" s="3442"/>
      <c r="Z2" s="3443"/>
    </row>
    <row r="3" spans="1:26" ht="16.5">
      <c r="A3" s="3438"/>
      <c r="B3" s="3438"/>
      <c r="C3" s="1417" t="s">
        <v>1424</v>
      </c>
      <c r="D3" s="1418" t="s">
        <v>1737</v>
      </c>
      <c r="E3" s="1418" t="s">
        <v>1738</v>
      </c>
      <c r="F3" s="1418" t="s">
        <v>1739</v>
      </c>
      <c r="G3" s="1418" t="s">
        <v>957</v>
      </c>
      <c r="H3" s="1418" t="s">
        <v>1740</v>
      </c>
      <c r="I3" s="1418" t="s">
        <v>1741</v>
      </c>
      <c r="J3" s="1418" t="s">
        <v>1742</v>
      </c>
      <c r="K3" s="1418" t="s">
        <v>959</v>
      </c>
      <c r="L3" s="1418" t="s">
        <v>1739</v>
      </c>
      <c r="M3" s="1418" t="s">
        <v>1743</v>
      </c>
      <c r="N3" s="1418" t="s">
        <v>959</v>
      </c>
      <c r="O3" s="1418" t="s">
        <v>1744</v>
      </c>
      <c r="P3" s="1418" t="s">
        <v>1743</v>
      </c>
      <c r="Q3" s="1418" t="s">
        <v>1740</v>
      </c>
      <c r="R3" s="1418" t="s">
        <v>1739</v>
      </c>
      <c r="S3" s="1418" t="s">
        <v>1743</v>
      </c>
      <c r="T3" s="1418" t="s">
        <v>959</v>
      </c>
      <c r="U3" s="1418" t="s">
        <v>1739</v>
      </c>
      <c r="V3" s="1418" t="s">
        <v>1743</v>
      </c>
      <c r="W3" s="1418" t="s">
        <v>1745</v>
      </c>
      <c r="X3" s="1418" t="s">
        <v>1739</v>
      </c>
      <c r="Y3" s="1418" t="s">
        <v>1743</v>
      </c>
      <c r="Z3" s="1419" t="s">
        <v>1738</v>
      </c>
    </row>
    <row r="4" spans="1:26" ht="26.85" customHeight="1">
      <c r="A4" s="3305" t="s">
        <v>1145</v>
      </c>
      <c r="B4" s="1421" t="s">
        <v>1516</v>
      </c>
      <c r="C4" s="1422">
        <f t="shared" ref="C4:E23" si="0">SUM(F4,I4,L4,O4,R4,U4,X4)</f>
        <v>37179</v>
      </c>
      <c r="D4" s="1422">
        <f t="shared" si="0"/>
        <v>33640</v>
      </c>
      <c r="E4" s="1422">
        <f t="shared" si="0"/>
        <v>3539</v>
      </c>
      <c r="F4" s="1422">
        <f>G4+H4</f>
        <v>235</v>
      </c>
      <c r="G4" s="1422">
        <v>168</v>
      </c>
      <c r="H4" s="1422">
        <v>67</v>
      </c>
      <c r="I4" s="1422">
        <v>2</v>
      </c>
      <c r="J4" s="1422">
        <v>2</v>
      </c>
      <c r="K4" s="1422" t="s">
        <v>1</v>
      </c>
      <c r="L4" s="1422">
        <v>4790</v>
      </c>
      <c r="M4" s="1422">
        <v>4334</v>
      </c>
      <c r="N4" s="1422">
        <v>456</v>
      </c>
      <c r="O4" s="1422">
        <v>16168</v>
      </c>
      <c r="P4" s="1422">
        <v>14830</v>
      </c>
      <c r="Q4" s="1422">
        <v>1338</v>
      </c>
      <c r="R4" s="1422">
        <v>13739</v>
      </c>
      <c r="S4" s="1422">
        <v>12329</v>
      </c>
      <c r="T4" s="1422">
        <v>1410</v>
      </c>
      <c r="U4" s="1422">
        <v>2179</v>
      </c>
      <c r="V4" s="1422">
        <v>1943</v>
      </c>
      <c r="W4" s="1422">
        <v>236</v>
      </c>
      <c r="X4" s="1422">
        <v>66</v>
      </c>
      <c r="Y4" s="1422">
        <v>34</v>
      </c>
      <c r="Z4" s="1423">
        <v>32</v>
      </c>
    </row>
    <row r="5" spans="1:26" ht="26.65" customHeight="1">
      <c r="A5" s="3305"/>
      <c r="B5" s="1421" t="s">
        <v>0</v>
      </c>
      <c r="C5" s="1424">
        <f t="shared" si="0"/>
        <v>100</v>
      </c>
      <c r="D5" s="1424">
        <f t="shared" si="0"/>
        <v>100</v>
      </c>
      <c r="E5" s="1424">
        <f t="shared" si="0"/>
        <v>100.00000000000001</v>
      </c>
      <c r="F5" s="1425">
        <f>F4/$C4*100</f>
        <v>0.63207724790876574</v>
      </c>
      <c r="G5" s="1425">
        <f>G4/$D4*100</f>
        <v>0.49940546967895361</v>
      </c>
      <c r="H5" s="1425">
        <f>H4/$E4*100</f>
        <v>1.8931901667137609</v>
      </c>
      <c r="I5" s="1425">
        <f>I4/$C4*100</f>
        <v>5.3793808332660911E-3</v>
      </c>
      <c r="J5" s="1425">
        <f>J4/$D4*100</f>
        <v>5.945303210463734E-3</v>
      </c>
      <c r="K5" s="1425" t="s">
        <v>980</v>
      </c>
      <c r="L5" s="1425">
        <f>L4/$C4*100</f>
        <v>12.883617095672287</v>
      </c>
      <c r="M5" s="1425">
        <f>M4/$D4*100</f>
        <v>12.88347205707491</v>
      </c>
      <c r="N5" s="1425">
        <f>N4/$E4*100</f>
        <v>12.884995761514553</v>
      </c>
      <c r="O5" s="1425">
        <f>O4/$C4*100</f>
        <v>43.486914656123083</v>
      </c>
      <c r="P5" s="1425">
        <f>P4/$D4*100</f>
        <v>44.084423305588579</v>
      </c>
      <c r="Q5" s="1425">
        <f>Q4/$E4*100</f>
        <v>37.807290194970335</v>
      </c>
      <c r="R5" s="1425">
        <f>R4/$C4*100</f>
        <v>36.953656634121415</v>
      </c>
      <c r="S5" s="1425">
        <f>S4/$D4*100</f>
        <v>36.649821640903681</v>
      </c>
      <c r="T5" s="1425">
        <f>T4/$E4*100</f>
        <v>39.841763209946315</v>
      </c>
      <c r="U5" s="1425">
        <f>U4/$C4*100</f>
        <v>5.8608354178434059</v>
      </c>
      <c r="V5" s="1425">
        <f>V4/$D4*100</f>
        <v>5.7758620689655169</v>
      </c>
      <c r="W5" s="1425">
        <f>W4/$E4*100</f>
        <v>6.6685504379768297</v>
      </c>
      <c r="X5" s="1425">
        <f>X4/$C4*100</f>
        <v>0.177519567497781</v>
      </c>
      <c r="Y5" s="1425">
        <f>Y4/$D4*100</f>
        <v>0.10107015457788349</v>
      </c>
      <c r="Z5" s="1426">
        <f>Z4/$E4*100</f>
        <v>0.90421022887821423</v>
      </c>
    </row>
    <row r="6" spans="1:26" ht="26.65" customHeight="1">
      <c r="A6" s="3305" t="s">
        <v>1107</v>
      </c>
      <c r="B6" s="1421" t="s">
        <v>1670</v>
      </c>
      <c r="C6" s="1422">
        <f t="shared" si="0"/>
        <v>36479</v>
      </c>
      <c r="D6" s="1422">
        <f t="shared" si="0"/>
        <v>32935</v>
      </c>
      <c r="E6" s="1422">
        <f t="shared" si="0"/>
        <v>3544</v>
      </c>
      <c r="F6" s="1422">
        <f>G6+H6</f>
        <v>216</v>
      </c>
      <c r="G6" s="1422">
        <v>166</v>
      </c>
      <c r="H6" s="1422">
        <v>50</v>
      </c>
      <c r="I6" s="1422">
        <v>1</v>
      </c>
      <c r="J6" s="1422">
        <v>1</v>
      </c>
      <c r="K6" s="1422" t="s">
        <v>1</v>
      </c>
      <c r="L6" s="1422">
        <v>4376</v>
      </c>
      <c r="M6" s="1422">
        <v>3975</v>
      </c>
      <c r="N6" s="1422">
        <v>401</v>
      </c>
      <c r="O6" s="1422">
        <v>15913</v>
      </c>
      <c r="P6" s="1422">
        <v>14610</v>
      </c>
      <c r="Q6" s="1422">
        <v>1303</v>
      </c>
      <c r="R6" s="1422">
        <v>13686</v>
      </c>
      <c r="S6" s="1422">
        <v>12246</v>
      </c>
      <c r="T6" s="1422">
        <v>1440</v>
      </c>
      <c r="U6" s="1422">
        <v>2211</v>
      </c>
      <c r="V6" s="1422">
        <v>1917</v>
      </c>
      <c r="W6" s="1422">
        <v>294</v>
      </c>
      <c r="X6" s="1422">
        <v>76</v>
      </c>
      <c r="Y6" s="1422">
        <v>20</v>
      </c>
      <c r="Z6" s="1427">
        <v>56</v>
      </c>
    </row>
    <row r="7" spans="1:26" ht="26.65" customHeight="1">
      <c r="A7" s="3305"/>
      <c r="B7" s="1421" t="s">
        <v>0</v>
      </c>
      <c r="C7" s="1424">
        <f t="shared" si="0"/>
        <v>100</v>
      </c>
      <c r="D7" s="1424">
        <f t="shared" si="0"/>
        <v>100</v>
      </c>
      <c r="E7" s="1424">
        <f t="shared" si="0"/>
        <v>99.999999999999986</v>
      </c>
      <c r="F7" s="1425">
        <f>F6/$C6*100</f>
        <v>0.59212149455851315</v>
      </c>
      <c r="G7" s="1425">
        <f>G6/$D6*100</f>
        <v>0.5040230757552755</v>
      </c>
      <c r="H7" s="1425">
        <f>H6/$E6*100</f>
        <v>1.4108352144469527</v>
      </c>
      <c r="I7" s="1425">
        <f>I6/$C6*100</f>
        <v>2.7413032155486718E-3</v>
      </c>
      <c r="J7" s="1425">
        <f>J6/$D6*100</f>
        <v>3.0362835888872019E-3</v>
      </c>
      <c r="K7" s="1425" t="s">
        <v>1746</v>
      </c>
      <c r="L7" s="1425">
        <f>L6/$C6*100</f>
        <v>11.995942871240988</v>
      </c>
      <c r="M7" s="1425">
        <f>M6/$D6*100</f>
        <v>12.069227265826628</v>
      </c>
      <c r="N7" s="1425">
        <f>N6/$E6*100</f>
        <v>11.314898419864559</v>
      </c>
      <c r="O7" s="1425">
        <f>O6/$C6*100</f>
        <v>43.622358069026014</v>
      </c>
      <c r="P7" s="1425">
        <f>P6/$D6*100</f>
        <v>44.360103233642022</v>
      </c>
      <c r="Q7" s="1425">
        <f>Q6/$E6*100</f>
        <v>36.766365688487582</v>
      </c>
      <c r="R7" s="1425">
        <f>R6/$C6*100</f>
        <v>37.517475807999126</v>
      </c>
      <c r="S7" s="1425">
        <f>S6/$D6*100</f>
        <v>37.182328829512677</v>
      </c>
      <c r="T7" s="1425">
        <f>T6/$E6*100</f>
        <v>40.632054176072238</v>
      </c>
      <c r="U7" s="1425">
        <f>U6/$C6*100</f>
        <v>6.0610214095781139</v>
      </c>
      <c r="V7" s="1425">
        <f>V6/$D6*100</f>
        <v>5.8205556398967664</v>
      </c>
      <c r="W7" s="1425">
        <f>W6/$E6*100</f>
        <v>8.2957110609480811</v>
      </c>
      <c r="X7" s="1425">
        <f>X6/$C6*100</f>
        <v>0.20833904438169906</v>
      </c>
      <c r="Y7" s="1425">
        <f>Y6/$D6*100</f>
        <v>6.0725671777744038E-2</v>
      </c>
      <c r="Z7" s="1426">
        <f>Z6/$E6*100</f>
        <v>1.5801354401805869</v>
      </c>
    </row>
    <row r="8" spans="1:26" ht="26.65" customHeight="1">
      <c r="A8" s="3305" t="s">
        <v>1060</v>
      </c>
      <c r="B8" s="1421" t="s">
        <v>1516</v>
      </c>
      <c r="C8" s="1422">
        <f t="shared" si="0"/>
        <v>35356</v>
      </c>
      <c r="D8" s="1422">
        <f t="shared" si="0"/>
        <v>31906</v>
      </c>
      <c r="E8" s="1422">
        <f t="shared" si="0"/>
        <v>3450</v>
      </c>
      <c r="F8" s="1422">
        <f>G8+H8</f>
        <v>184</v>
      </c>
      <c r="G8" s="1422">
        <v>148</v>
      </c>
      <c r="H8" s="1422">
        <v>36</v>
      </c>
      <c r="I8" s="1422">
        <v>1</v>
      </c>
      <c r="J8" s="1422">
        <v>1</v>
      </c>
      <c r="K8" s="1422" t="s">
        <v>1</v>
      </c>
      <c r="L8" s="1422">
        <v>4059</v>
      </c>
      <c r="M8" s="1422">
        <v>3668</v>
      </c>
      <c r="N8" s="1422">
        <v>391</v>
      </c>
      <c r="O8" s="1422">
        <v>15461</v>
      </c>
      <c r="P8" s="1422">
        <v>14221</v>
      </c>
      <c r="Q8" s="1422">
        <v>1240</v>
      </c>
      <c r="R8" s="1422">
        <v>13221</v>
      </c>
      <c r="S8" s="1422">
        <v>11774</v>
      </c>
      <c r="T8" s="1422">
        <v>1447</v>
      </c>
      <c r="U8" s="1422">
        <v>2344</v>
      </c>
      <c r="V8" s="1422">
        <v>2058</v>
      </c>
      <c r="W8" s="1422">
        <v>286</v>
      </c>
      <c r="X8" s="1422">
        <v>86</v>
      </c>
      <c r="Y8" s="1422">
        <v>36</v>
      </c>
      <c r="Z8" s="1427">
        <v>50</v>
      </c>
    </row>
    <row r="9" spans="1:26" ht="26.65" customHeight="1">
      <c r="A9" s="3305"/>
      <c r="B9" s="1421" t="s">
        <v>0</v>
      </c>
      <c r="C9" s="1424">
        <f t="shared" si="0"/>
        <v>99.999999999999986</v>
      </c>
      <c r="D9" s="1424">
        <f t="shared" si="0"/>
        <v>100.00000000000001</v>
      </c>
      <c r="E9" s="1424">
        <f t="shared" si="0"/>
        <v>100</v>
      </c>
      <c r="F9" s="1425">
        <f>F8/$C8*100</f>
        <v>0.52042086208847149</v>
      </c>
      <c r="G9" s="1425">
        <f>G8/$D8*100</f>
        <v>0.46386259637685706</v>
      </c>
      <c r="H9" s="1425">
        <f>H8/$E8*100</f>
        <v>1.0434782608695654</v>
      </c>
      <c r="I9" s="1425">
        <f>I8/$C8*100</f>
        <v>2.8283742504808234E-3</v>
      </c>
      <c r="J9" s="1425">
        <f>J8/$D8*100</f>
        <v>3.1342067322760606E-3</v>
      </c>
      <c r="K9" s="1425" t="s">
        <v>1747</v>
      </c>
      <c r="L9" s="1425">
        <f>L8/$C8*100</f>
        <v>11.480371082701662</v>
      </c>
      <c r="M9" s="1425">
        <f>M8/$D8*100</f>
        <v>11.496270293988593</v>
      </c>
      <c r="N9" s="1425">
        <f>N8/$E8*100</f>
        <v>11.333333333333332</v>
      </c>
      <c r="O9" s="1425">
        <f>O8/$C8*100</f>
        <v>43.729494286684009</v>
      </c>
      <c r="P9" s="1425">
        <f>P8/$D8*100</f>
        <v>44.571553939697864</v>
      </c>
      <c r="Q9" s="1425">
        <f>Q8/$E8*100</f>
        <v>35.94202898550725</v>
      </c>
      <c r="R9" s="1425">
        <f>R8/$C8*100</f>
        <v>37.393935965606964</v>
      </c>
      <c r="S9" s="1425">
        <f>S8/$D8*100</f>
        <v>36.90215006581834</v>
      </c>
      <c r="T9" s="1425">
        <f>T8/$E8*100</f>
        <v>41.942028985507243</v>
      </c>
      <c r="U9" s="1425">
        <f>U8/$C8*100</f>
        <v>6.629709243127051</v>
      </c>
      <c r="V9" s="1425">
        <f>V8/$D8*100</f>
        <v>6.4501974550241332</v>
      </c>
      <c r="W9" s="1425">
        <f>W8/$E8*100</f>
        <v>8.2898550724637676</v>
      </c>
      <c r="X9" s="1425">
        <f>X8/$C8*100</f>
        <v>0.24324018554135085</v>
      </c>
      <c r="Y9" s="1425">
        <f>Y8/$D8*100</f>
        <v>0.11283144236193821</v>
      </c>
      <c r="Z9" s="1426">
        <f>Z8/$E8*100</f>
        <v>1.4492753623188406</v>
      </c>
    </row>
    <row r="10" spans="1:26" ht="26.65" customHeight="1">
      <c r="A10" s="3305" t="s">
        <v>1061</v>
      </c>
      <c r="B10" s="1421" t="s">
        <v>1748</v>
      </c>
      <c r="C10" s="1422">
        <f t="shared" si="0"/>
        <v>34193</v>
      </c>
      <c r="D10" s="1422">
        <f t="shared" si="0"/>
        <v>31044</v>
      </c>
      <c r="E10" s="1422">
        <f t="shared" si="0"/>
        <v>3149</v>
      </c>
      <c r="F10" s="1422">
        <f>G10+H10</f>
        <v>172</v>
      </c>
      <c r="G10" s="1422">
        <v>127</v>
      </c>
      <c r="H10" s="1422">
        <v>45</v>
      </c>
      <c r="I10" s="1422">
        <v>1</v>
      </c>
      <c r="J10" s="1422" t="s">
        <v>1</v>
      </c>
      <c r="K10" s="1422">
        <v>1</v>
      </c>
      <c r="L10" s="1422">
        <v>3852</v>
      </c>
      <c r="M10" s="1422">
        <v>3498</v>
      </c>
      <c r="N10" s="1422">
        <v>354</v>
      </c>
      <c r="O10" s="1422">
        <v>15100</v>
      </c>
      <c r="P10" s="1422">
        <v>13915</v>
      </c>
      <c r="Q10" s="1422">
        <v>1185</v>
      </c>
      <c r="R10" s="1422">
        <v>12708</v>
      </c>
      <c r="S10" s="1422">
        <v>11438</v>
      </c>
      <c r="T10" s="1422">
        <v>1270</v>
      </c>
      <c r="U10" s="1422">
        <v>2323</v>
      </c>
      <c r="V10" s="1422">
        <v>2056</v>
      </c>
      <c r="W10" s="1422">
        <v>267</v>
      </c>
      <c r="X10" s="1422">
        <v>37</v>
      </c>
      <c r="Y10" s="1422">
        <v>10</v>
      </c>
      <c r="Z10" s="1427">
        <v>27</v>
      </c>
    </row>
    <row r="11" spans="1:26" ht="26.65" customHeight="1">
      <c r="A11" s="3305"/>
      <c r="B11" s="1421" t="s">
        <v>0</v>
      </c>
      <c r="C11" s="1424">
        <f t="shared" si="0"/>
        <v>100.00000000000001</v>
      </c>
      <c r="D11" s="1424">
        <f t="shared" si="0"/>
        <v>100</v>
      </c>
      <c r="E11" s="1424">
        <f t="shared" si="0"/>
        <v>100</v>
      </c>
      <c r="F11" s="1425">
        <f>F10/$C10*100</f>
        <v>0.5030269353376422</v>
      </c>
      <c r="G11" s="1425">
        <f>G10/$D10*100</f>
        <v>0.40909676588068544</v>
      </c>
      <c r="H11" s="1425">
        <f>H10/$E10*100</f>
        <v>1.4290250873293109</v>
      </c>
      <c r="I11" s="1425">
        <f>I10/$C10*100</f>
        <v>2.9245752054514081E-3</v>
      </c>
      <c r="J11" s="1425" t="s">
        <v>1586</v>
      </c>
      <c r="K11" s="1425">
        <f>K10/$E10*100</f>
        <v>3.1756113051762465E-2</v>
      </c>
      <c r="L11" s="1425">
        <f>L10/$C10*100</f>
        <v>11.265463691398825</v>
      </c>
      <c r="M11" s="1425">
        <f>M10/$D10*100</f>
        <v>11.267877850792424</v>
      </c>
      <c r="N11" s="1425">
        <f>N10/$E10*100</f>
        <v>11.241664020323912</v>
      </c>
      <c r="O11" s="1425">
        <f>O10/$C10*100</f>
        <v>44.161085602316263</v>
      </c>
      <c r="P11" s="1425">
        <f>P10/$D10*100</f>
        <v>44.823476356139672</v>
      </c>
      <c r="Q11" s="1425">
        <f>Q10/$E10*100</f>
        <v>37.630993966338522</v>
      </c>
      <c r="R11" s="1425">
        <f>R10/$C10*100</f>
        <v>37.165501710876498</v>
      </c>
      <c r="S11" s="1425">
        <f>S10/$D10*100</f>
        <v>36.844478804277799</v>
      </c>
      <c r="T11" s="1425">
        <f>T10/$E10*100</f>
        <v>40.330263575738329</v>
      </c>
      <c r="U11" s="1425">
        <f>U10/$C10*100</f>
        <v>6.793788202263622</v>
      </c>
      <c r="V11" s="1425">
        <f>V10/$D10*100</f>
        <v>6.6228578791392865</v>
      </c>
      <c r="W11" s="1425">
        <f>W10/$E10*100</f>
        <v>8.4788821848205789</v>
      </c>
      <c r="X11" s="1425">
        <f>X10/$C10*100</f>
        <v>0.10820928260170211</v>
      </c>
      <c r="Y11" s="1425">
        <f>Y10/$D10*100</f>
        <v>3.2212343770132719E-2</v>
      </c>
      <c r="Z11" s="1426">
        <f>Z10/$E10*100</f>
        <v>0.85741505239758653</v>
      </c>
    </row>
    <row r="12" spans="1:26" ht="26.65" customHeight="1">
      <c r="A12" s="3305" t="s">
        <v>1062</v>
      </c>
      <c r="B12" s="1421" t="s">
        <v>1503</v>
      </c>
      <c r="C12" s="1422">
        <f t="shared" si="0"/>
        <v>34446</v>
      </c>
      <c r="D12" s="1422">
        <f t="shared" si="0"/>
        <v>31526</v>
      </c>
      <c r="E12" s="1422">
        <f t="shared" si="0"/>
        <v>2920</v>
      </c>
      <c r="F12" s="1422">
        <f>G12+H12</f>
        <v>177</v>
      </c>
      <c r="G12" s="1422">
        <v>136</v>
      </c>
      <c r="H12" s="1422">
        <v>41</v>
      </c>
      <c r="I12" s="1422" t="s">
        <v>1</v>
      </c>
      <c r="J12" s="1422" t="s">
        <v>1</v>
      </c>
      <c r="K12" s="1422" t="s">
        <v>1</v>
      </c>
      <c r="L12" s="1422">
        <v>4060</v>
      </c>
      <c r="M12" s="1422">
        <v>3692</v>
      </c>
      <c r="N12" s="1422">
        <v>368</v>
      </c>
      <c r="O12" s="1422">
        <v>14852</v>
      </c>
      <c r="P12" s="1422">
        <v>13825</v>
      </c>
      <c r="Q12" s="1422">
        <v>1027</v>
      </c>
      <c r="R12" s="1422">
        <v>13097</v>
      </c>
      <c r="S12" s="1422">
        <v>11874</v>
      </c>
      <c r="T12" s="1422">
        <v>1223</v>
      </c>
      <c r="U12" s="1422">
        <v>2235</v>
      </c>
      <c r="V12" s="1422">
        <v>1984</v>
      </c>
      <c r="W12" s="1422">
        <v>251</v>
      </c>
      <c r="X12" s="1422">
        <v>25</v>
      </c>
      <c r="Y12" s="1422">
        <v>15</v>
      </c>
      <c r="Z12" s="1427">
        <v>10</v>
      </c>
    </row>
    <row r="13" spans="1:26" ht="26.65" customHeight="1">
      <c r="A13" s="3305"/>
      <c r="B13" s="1421" t="s">
        <v>0</v>
      </c>
      <c r="C13" s="1424">
        <f t="shared" si="0"/>
        <v>100</v>
      </c>
      <c r="D13" s="1424">
        <f t="shared" si="0"/>
        <v>99.999999999999986</v>
      </c>
      <c r="E13" s="1424">
        <f t="shared" si="0"/>
        <v>99.999999999999986</v>
      </c>
      <c r="F13" s="1425">
        <f>F12/$C12*100</f>
        <v>0.51384776171398716</v>
      </c>
      <c r="G13" s="1425">
        <f>G12/$D12*100</f>
        <v>0.43138996383937073</v>
      </c>
      <c r="H13" s="1425">
        <f>H12/$E12*100</f>
        <v>1.404109589041096</v>
      </c>
      <c r="I13" s="1425" t="s">
        <v>980</v>
      </c>
      <c r="J13" s="1425" t="s">
        <v>1749</v>
      </c>
      <c r="K13" s="1425" t="s">
        <v>1298</v>
      </c>
      <c r="L13" s="1425">
        <f>L12/$C12*100</f>
        <v>11.786564477733263</v>
      </c>
      <c r="M13" s="1425">
        <f>M12/$D12*100</f>
        <v>11.710968724227621</v>
      </c>
      <c r="N13" s="1425">
        <f>N12/$E12*100</f>
        <v>12.602739726027398</v>
      </c>
      <c r="O13" s="1425">
        <f>O12/$C12*100</f>
        <v>43.116762468791734</v>
      </c>
      <c r="P13" s="1425">
        <f>P12/$D12*100</f>
        <v>43.85269301528897</v>
      </c>
      <c r="Q13" s="1425">
        <f>Q12/$E12*100</f>
        <v>35.171232876712324</v>
      </c>
      <c r="R13" s="1425">
        <f>R12/$C12*100</f>
        <v>38.021831272136097</v>
      </c>
      <c r="S13" s="1425">
        <f>S12/$D12*100</f>
        <v>37.664150225210932</v>
      </c>
      <c r="T13" s="1425">
        <f>T12/$E12*100</f>
        <v>41.883561643835613</v>
      </c>
      <c r="U13" s="1425">
        <f>U12/$C12*100</f>
        <v>6.4884166521511935</v>
      </c>
      <c r="V13" s="1425">
        <f>V12/$D12*100</f>
        <v>6.2932182960096421</v>
      </c>
      <c r="W13" s="1425">
        <f>W12/$E12*100</f>
        <v>8.5958904109589032</v>
      </c>
      <c r="X13" s="1425">
        <f>X12/$C12*100</f>
        <v>7.2577367473726992E-2</v>
      </c>
      <c r="Y13" s="1425">
        <f>Y12/$D12*100</f>
        <v>4.7579775423460001E-2</v>
      </c>
      <c r="Z13" s="1426">
        <f>Z12/$E12*100</f>
        <v>0.34246575342465752</v>
      </c>
    </row>
    <row r="14" spans="1:26" ht="26.65" customHeight="1">
      <c r="A14" s="3305" t="s">
        <v>1063</v>
      </c>
      <c r="B14" s="1421" t="s">
        <v>1516</v>
      </c>
      <c r="C14" s="1422">
        <f t="shared" si="0"/>
        <v>33951</v>
      </c>
      <c r="D14" s="1422">
        <f t="shared" si="0"/>
        <v>31036</v>
      </c>
      <c r="E14" s="1422">
        <f t="shared" si="0"/>
        <v>2915</v>
      </c>
      <c r="F14" s="1422">
        <f>G14+H14</f>
        <v>190</v>
      </c>
      <c r="G14" s="1422">
        <v>138</v>
      </c>
      <c r="H14" s="1422">
        <v>52</v>
      </c>
      <c r="I14" s="1422" t="s">
        <v>1</v>
      </c>
      <c r="J14" s="1422" t="s">
        <v>1</v>
      </c>
      <c r="K14" s="1422" t="s">
        <v>1</v>
      </c>
      <c r="L14" s="1422">
        <v>3746</v>
      </c>
      <c r="M14" s="1422">
        <v>3437</v>
      </c>
      <c r="N14" s="1422">
        <v>309</v>
      </c>
      <c r="O14" s="1422">
        <v>14649</v>
      </c>
      <c r="P14" s="1422">
        <v>13613</v>
      </c>
      <c r="Q14" s="1422">
        <v>1036</v>
      </c>
      <c r="R14" s="1422">
        <v>13140</v>
      </c>
      <c r="S14" s="1422">
        <v>11883</v>
      </c>
      <c r="T14" s="1422">
        <v>1257</v>
      </c>
      <c r="U14" s="1422">
        <v>2204</v>
      </c>
      <c r="V14" s="1422">
        <v>1955</v>
      </c>
      <c r="W14" s="1422">
        <v>249</v>
      </c>
      <c r="X14" s="1422">
        <v>22</v>
      </c>
      <c r="Y14" s="1422">
        <v>10</v>
      </c>
      <c r="Z14" s="1427">
        <v>12</v>
      </c>
    </row>
    <row r="15" spans="1:26" ht="26.65" customHeight="1">
      <c r="A15" s="3305"/>
      <c r="B15" s="1421" t="s">
        <v>0</v>
      </c>
      <c r="C15" s="1424">
        <f t="shared" si="0"/>
        <v>100.00000000000001</v>
      </c>
      <c r="D15" s="1424">
        <f t="shared" si="0"/>
        <v>100.00000000000001</v>
      </c>
      <c r="E15" s="1424">
        <f t="shared" si="0"/>
        <v>100</v>
      </c>
      <c r="F15" s="1425">
        <f>F14/$C14*100</f>
        <v>0.55963005507937913</v>
      </c>
      <c r="G15" s="1425">
        <f>G14/$D14*100</f>
        <v>0.44464492847016374</v>
      </c>
      <c r="H15" s="1425">
        <f>H14/$E14*100</f>
        <v>1.7838765008576329</v>
      </c>
      <c r="I15" s="1425" t="s">
        <v>980</v>
      </c>
      <c r="J15" s="1425" t="s">
        <v>1298</v>
      </c>
      <c r="K15" s="1425" t="s">
        <v>1750</v>
      </c>
      <c r="L15" s="1425">
        <f>L14/$C14*100</f>
        <v>11.033548349091337</v>
      </c>
      <c r="M15" s="1425">
        <f>M14/$D14*100</f>
        <v>11.074236370666322</v>
      </c>
      <c r="N15" s="1425">
        <f>N14/$E14*100</f>
        <v>10.600343053173242</v>
      </c>
      <c r="O15" s="1425">
        <f>O14/$C14*100</f>
        <v>43.147477246620127</v>
      </c>
      <c r="P15" s="1425">
        <f>P14/$D14*100</f>
        <v>43.861966748292311</v>
      </c>
      <c r="Q15" s="1425">
        <f>Q14/$E14*100</f>
        <v>35.540308747855917</v>
      </c>
      <c r="R15" s="1425">
        <f>R14/$C14*100</f>
        <v>38.702836440752854</v>
      </c>
      <c r="S15" s="1425">
        <f>S14/$D14*100</f>
        <v>38.287794818919963</v>
      </c>
      <c r="T15" s="1425">
        <f>T14/$E14*100</f>
        <v>43.121783876500857</v>
      </c>
      <c r="U15" s="1425">
        <f>U14/$C14*100</f>
        <v>6.4917086389207972</v>
      </c>
      <c r="V15" s="1425">
        <f>V14/$D14*100</f>
        <v>6.2991364866606521</v>
      </c>
      <c r="W15" s="1425">
        <f>W14/$E14*100</f>
        <v>8.5420240137221271</v>
      </c>
      <c r="X15" s="1425">
        <f>X14/$C14*100</f>
        <v>6.4799269535507048E-2</v>
      </c>
      <c r="Y15" s="1425">
        <f>Y14/$D14*100</f>
        <v>3.2220646990591573E-2</v>
      </c>
      <c r="Z15" s="1426">
        <f>Z14/$E14*100</f>
        <v>0.411663807890223</v>
      </c>
    </row>
    <row r="16" spans="1:26" ht="26.65" customHeight="1">
      <c r="A16" s="3305" t="s">
        <v>1064</v>
      </c>
      <c r="B16" s="1421" t="s">
        <v>1516</v>
      </c>
      <c r="C16" s="1422">
        <f t="shared" si="0"/>
        <v>34586</v>
      </c>
      <c r="D16" s="1422">
        <f t="shared" si="0"/>
        <v>31492</v>
      </c>
      <c r="E16" s="1422">
        <f t="shared" si="0"/>
        <v>3094</v>
      </c>
      <c r="F16" s="1422">
        <f>G16+H16</f>
        <v>186</v>
      </c>
      <c r="G16" s="1422">
        <v>144</v>
      </c>
      <c r="H16" s="1422">
        <v>42</v>
      </c>
      <c r="I16" s="1422" t="s">
        <v>1</v>
      </c>
      <c r="J16" s="1422" t="s">
        <v>1</v>
      </c>
      <c r="K16" s="1422" t="s">
        <v>1</v>
      </c>
      <c r="L16" s="1422">
        <v>3547</v>
      </c>
      <c r="M16" s="1422">
        <v>3223</v>
      </c>
      <c r="N16" s="1422">
        <v>324</v>
      </c>
      <c r="O16" s="1422">
        <v>14820</v>
      </c>
      <c r="P16" s="1422">
        <v>13716</v>
      </c>
      <c r="Q16" s="1422">
        <v>1104</v>
      </c>
      <c r="R16" s="1422">
        <v>13717</v>
      </c>
      <c r="S16" s="1422">
        <v>12365</v>
      </c>
      <c r="T16" s="1422">
        <v>1352</v>
      </c>
      <c r="U16" s="1422">
        <v>2284</v>
      </c>
      <c r="V16" s="1422">
        <v>2015</v>
      </c>
      <c r="W16" s="1422">
        <v>269</v>
      </c>
      <c r="X16" s="1422">
        <v>32</v>
      </c>
      <c r="Y16" s="1422">
        <v>29</v>
      </c>
      <c r="Z16" s="1427">
        <v>3</v>
      </c>
    </row>
    <row r="17" spans="1:26" ht="26.65" customHeight="1">
      <c r="A17" s="3305"/>
      <c r="B17" s="1421" t="s">
        <v>0</v>
      </c>
      <c r="C17" s="1424">
        <f t="shared" si="0"/>
        <v>99.999999999999986</v>
      </c>
      <c r="D17" s="1424">
        <f t="shared" si="0"/>
        <v>100</v>
      </c>
      <c r="E17" s="1424">
        <f t="shared" si="0"/>
        <v>100.00000000000001</v>
      </c>
      <c r="F17" s="1425">
        <f>F16/$C16*100</f>
        <v>0.53778985716764005</v>
      </c>
      <c r="G17" s="1425">
        <f>G16/$D16*100</f>
        <v>0.45725898640924678</v>
      </c>
      <c r="H17" s="1425">
        <f>H16/$E16*100</f>
        <v>1.3574660633484164</v>
      </c>
      <c r="I17" s="1425" t="s">
        <v>1298</v>
      </c>
      <c r="J17" s="1425" t="s">
        <v>980</v>
      </c>
      <c r="K17" s="1425" t="s">
        <v>980</v>
      </c>
      <c r="L17" s="1425">
        <f>L16/$C16*100</f>
        <v>10.255594749320535</v>
      </c>
      <c r="M17" s="1425">
        <f>M16/$D16*100</f>
        <v>10.234345230534739</v>
      </c>
      <c r="N17" s="1425">
        <f>N16/$E16*100</f>
        <v>10.471881060116354</v>
      </c>
      <c r="O17" s="1425">
        <f>O16/$C16*100</f>
        <v>42.849707974324872</v>
      </c>
      <c r="P17" s="1425">
        <f>P16/$D16*100</f>
        <v>43.553918455480755</v>
      </c>
      <c r="Q17" s="1425">
        <f>Q16/$E16*100</f>
        <v>35.681965093729801</v>
      </c>
      <c r="R17" s="1425">
        <f>R16/$C16*100</f>
        <v>39.660556294454402</v>
      </c>
      <c r="S17" s="1425">
        <f>S16/$D16*100</f>
        <v>39.263940048266228</v>
      </c>
      <c r="T17" s="1425">
        <f>T16/$E16*100</f>
        <v>43.69747899159664</v>
      </c>
      <c r="U17" s="1425">
        <f>U16/$C16*100</f>
        <v>6.6038281385531725</v>
      </c>
      <c r="V17" s="1425">
        <f>V16/$D16*100</f>
        <v>6.3984504001016127</v>
      </c>
      <c r="W17" s="1425">
        <f>W16/$E16*100</f>
        <v>8.6942469295410465</v>
      </c>
      <c r="X17" s="1425">
        <f>X16/$C16*100</f>
        <v>9.2522986179378944E-2</v>
      </c>
      <c r="Y17" s="1425">
        <f>Y16/$D16*100</f>
        <v>9.208687920741776E-2</v>
      </c>
      <c r="Z17" s="1426">
        <f>Z16/$E16*100</f>
        <v>9.6961861667744023E-2</v>
      </c>
    </row>
    <row r="18" spans="1:26" ht="26.65" customHeight="1">
      <c r="A18" s="3305" t="s">
        <v>1065</v>
      </c>
      <c r="B18" s="1421" t="s">
        <v>1516</v>
      </c>
      <c r="C18" s="1422">
        <f t="shared" si="0"/>
        <v>36298</v>
      </c>
      <c r="D18" s="1422">
        <f t="shared" si="0"/>
        <v>32901</v>
      </c>
      <c r="E18" s="1422">
        <f t="shared" si="0"/>
        <v>3397</v>
      </c>
      <c r="F18" s="1422">
        <f>G18+H18</f>
        <v>185</v>
      </c>
      <c r="G18" s="1422">
        <v>128</v>
      </c>
      <c r="H18" s="1422">
        <v>57</v>
      </c>
      <c r="I18" s="1422">
        <v>19</v>
      </c>
      <c r="J18" s="1422">
        <v>18</v>
      </c>
      <c r="K18" s="1422">
        <v>1</v>
      </c>
      <c r="L18" s="1422">
        <v>3525</v>
      </c>
      <c r="M18" s="1422">
        <v>3178</v>
      </c>
      <c r="N18" s="1422">
        <v>347</v>
      </c>
      <c r="O18" s="1422">
        <v>15493</v>
      </c>
      <c r="P18" s="1422">
        <v>14266</v>
      </c>
      <c r="Q18" s="1422">
        <v>1227</v>
      </c>
      <c r="R18" s="1422">
        <v>14590</v>
      </c>
      <c r="S18" s="1422">
        <v>13122</v>
      </c>
      <c r="T18" s="1422">
        <v>1468</v>
      </c>
      <c r="U18" s="1422">
        <v>2436</v>
      </c>
      <c r="V18" s="1422">
        <v>2150</v>
      </c>
      <c r="W18" s="1422">
        <v>286</v>
      </c>
      <c r="X18" s="1422">
        <v>50</v>
      </c>
      <c r="Y18" s="1422">
        <v>39</v>
      </c>
      <c r="Z18" s="1427">
        <v>11</v>
      </c>
    </row>
    <row r="19" spans="1:26" ht="26.65" customHeight="1">
      <c r="A19" s="3305"/>
      <c r="B19" s="1421" t="s">
        <v>0</v>
      </c>
      <c r="C19" s="1424">
        <f t="shared" si="0"/>
        <v>100</v>
      </c>
      <c r="D19" s="1424">
        <f t="shared" si="0"/>
        <v>99.999999999999986</v>
      </c>
      <c r="E19" s="1424">
        <f t="shared" si="0"/>
        <v>100.00000000000001</v>
      </c>
      <c r="F19" s="1425">
        <f>F18/$C18*100</f>
        <v>0.50966995426745276</v>
      </c>
      <c r="G19" s="1425">
        <f>G18/$D18*100</f>
        <v>0.38904592565575513</v>
      </c>
      <c r="H19" s="1425">
        <f>H18/$E18*100</f>
        <v>1.6779511333529586</v>
      </c>
      <c r="I19" s="1425">
        <f>I18/$C18*100</f>
        <v>5.2344481789630283E-2</v>
      </c>
      <c r="J19" s="1425">
        <f>J18/$D18*100</f>
        <v>5.4709583295340564E-2</v>
      </c>
      <c r="K19" s="1425">
        <f>K18/$E18*100</f>
        <v>2.9437739181630854E-2</v>
      </c>
      <c r="L19" s="1425">
        <f>L18/$C18*100</f>
        <v>9.7112788583393019</v>
      </c>
      <c r="M19" s="1425">
        <f>M18/$D18*100</f>
        <v>9.659280872921796</v>
      </c>
      <c r="N19" s="1425">
        <f>N18/$E18*100</f>
        <v>10.214895496025905</v>
      </c>
      <c r="O19" s="1425">
        <f>O18/$C18*100</f>
        <v>42.682792440354838</v>
      </c>
      <c r="P19" s="1425">
        <f>P18/$D18*100</f>
        <v>43.360384182851583</v>
      </c>
      <c r="Q19" s="1425">
        <f>Q18/$E18*100</f>
        <v>36.120105975861058</v>
      </c>
      <c r="R19" s="1425">
        <f>R18/$C18*100</f>
        <v>40.195052068984516</v>
      </c>
      <c r="S19" s="1425">
        <f>S18/$D18*100</f>
        <v>39.883286222303269</v>
      </c>
      <c r="T19" s="1425">
        <f>T18/$E18*100</f>
        <v>43.214601118634086</v>
      </c>
      <c r="U19" s="1425">
        <f>U18/$C18*100</f>
        <v>6.7111135599757565</v>
      </c>
      <c r="V19" s="1425">
        <f>V18/$D18*100</f>
        <v>6.5347557824990119</v>
      </c>
      <c r="W19" s="1425">
        <f>W18/$E18*100</f>
        <v>8.4191934059464231</v>
      </c>
      <c r="X19" s="1425">
        <f>X18/$C18*100</f>
        <v>0.13774863628850076</v>
      </c>
      <c r="Y19" s="1425">
        <f>Y18/$D18*100</f>
        <v>0.11853743047323789</v>
      </c>
      <c r="Z19" s="1426">
        <f>Z18/$E18*100</f>
        <v>0.32381513099793935</v>
      </c>
    </row>
    <row r="20" spans="1:26" ht="26.65" customHeight="1">
      <c r="A20" s="3305" t="s">
        <v>1066</v>
      </c>
      <c r="B20" s="1421" t="s">
        <v>1516</v>
      </c>
      <c r="C20" s="1422">
        <f t="shared" si="0"/>
        <v>36161</v>
      </c>
      <c r="D20" s="1422">
        <f t="shared" si="0"/>
        <v>32692</v>
      </c>
      <c r="E20" s="1422">
        <f t="shared" si="0"/>
        <v>3469</v>
      </c>
      <c r="F20" s="1422">
        <f>G20+H20</f>
        <v>221</v>
      </c>
      <c r="G20" s="1422">
        <v>160</v>
      </c>
      <c r="H20" s="1422">
        <v>61</v>
      </c>
      <c r="I20" s="1422">
        <v>5</v>
      </c>
      <c r="J20" s="1422">
        <v>5</v>
      </c>
      <c r="K20" s="1422" t="s">
        <v>1</v>
      </c>
      <c r="L20" s="1422">
        <v>3502</v>
      </c>
      <c r="M20" s="1422">
        <v>3149</v>
      </c>
      <c r="N20" s="1422">
        <v>353</v>
      </c>
      <c r="O20" s="1422">
        <v>14825</v>
      </c>
      <c r="P20" s="1422">
        <v>13672</v>
      </c>
      <c r="Q20" s="1422">
        <v>1153</v>
      </c>
      <c r="R20" s="1422">
        <v>15056</v>
      </c>
      <c r="S20" s="1422">
        <v>13464</v>
      </c>
      <c r="T20" s="1422">
        <v>1592</v>
      </c>
      <c r="U20" s="1422">
        <v>2531</v>
      </c>
      <c r="V20" s="1422">
        <v>2222</v>
      </c>
      <c r="W20" s="1422">
        <v>309</v>
      </c>
      <c r="X20" s="1422">
        <v>21</v>
      </c>
      <c r="Y20" s="1422">
        <v>20</v>
      </c>
      <c r="Z20" s="1427">
        <v>1</v>
      </c>
    </row>
    <row r="21" spans="1:26" ht="26.65" customHeight="1">
      <c r="A21" s="3305"/>
      <c r="B21" s="1421" t="s">
        <v>0</v>
      </c>
      <c r="C21" s="1424">
        <f t="shared" si="0"/>
        <v>100.00000000000001</v>
      </c>
      <c r="D21" s="1424">
        <f t="shared" si="0"/>
        <v>100.00000000000001</v>
      </c>
      <c r="E21" s="1424">
        <f t="shared" si="0"/>
        <v>100.00000000000001</v>
      </c>
      <c r="F21" s="1425">
        <f>F20/$C20*100</f>
        <v>0.61115566494289431</v>
      </c>
      <c r="G21" s="1425">
        <f>G20/$D20*100</f>
        <v>0.48941637097760921</v>
      </c>
      <c r="H21" s="1425">
        <f>H20/$E20*100</f>
        <v>1.7584318247333526</v>
      </c>
      <c r="I21" s="1425">
        <f>I20/$C20*100</f>
        <v>1.3827051243051907E-2</v>
      </c>
      <c r="J21" s="1425">
        <f>J20/$D20*100</f>
        <v>1.5294261593050288E-2</v>
      </c>
      <c r="K21" s="1425" t="s">
        <v>1751</v>
      </c>
      <c r="L21" s="1425">
        <f>L20/$C20*100</f>
        <v>9.6844666906335561</v>
      </c>
      <c r="M21" s="1425">
        <f>M20/$D20*100</f>
        <v>9.6323259513030717</v>
      </c>
      <c r="N21" s="1425">
        <f>N20/$E20*100</f>
        <v>10.175843182473335</v>
      </c>
      <c r="O21" s="1425">
        <f>O20/$C20*100</f>
        <v>40.997206935648904</v>
      </c>
      <c r="P21" s="1425">
        <f>P20/$D20*100</f>
        <v>41.820628900036702</v>
      </c>
      <c r="Q21" s="1425">
        <f>Q20/$E20*100</f>
        <v>33.237244162582883</v>
      </c>
      <c r="R21" s="1425">
        <f>R20/$C20*100</f>
        <v>41.6360167030779</v>
      </c>
      <c r="S21" s="1425">
        <f>S20/$D20*100</f>
        <v>41.184387617765815</v>
      </c>
      <c r="T21" s="1425">
        <f>T20/$E20*100</f>
        <v>45.892187950417991</v>
      </c>
      <c r="U21" s="1425">
        <f>U20/$C20*100</f>
        <v>6.9992533392328751</v>
      </c>
      <c r="V21" s="1425">
        <f>V20/$D20*100</f>
        <v>6.7967698519515478</v>
      </c>
      <c r="W21" s="1425">
        <f>W20/$E20*100</f>
        <v>8.9074661285673109</v>
      </c>
      <c r="X21" s="1425">
        <f>X20/$C20*100</f>
        <v>5.8073615220818005E-2</v>
      </c>
      <c r="Y21" s="1425">
        <f>Y20/$D20*100</f>
        <v>6.1177046372201151E-2</v>
      </c>
      <c r="Z21" s="1426">
        <f>Z20/$E20*100</f>
        <v>2.8826751225136928E-2</v>
      </c>
    </row>
    <row r="22" spans="1:26" ht="26.65" customHeight="1">
      <c r="A22" s="3305" t="s">
        <v>1067</v>
      </c>
      <c r="B22" s="1421" t="s">
        <v>1593</v>
      </c>
      <c r="C22" s="1422">
        <f t="shared" si="0"/>
        <v>34771</v>
      </c>
      <c r="D22" s="1422">
        <f t="shared" si="0"/>
        <v>31428</v>
      </c>
      <c r="E22" s="1422">
        <f t="shared" si="0"/>
        <v>3343</v>
      </c>
      <c r="F22" s="1422">
        <f>G22+H22</f>
        <v>232</v>
      </c>
      <c r="G22" s="1422">
        <v>177</v>
      </c>
      <c r="H22" s="1422">
        <v>55</v>
      </c>
      <c r="I22" s="1422">
        <v>2</v>
      </c>
      <c r="J22" s="1422">
        <v>2</v>
      </c>
      <c r="K22" s="1422" t="s">
        <v>1</v>
      </c>
      <c r="L22" s="1422">
        <v>3164</v>
      </c>
      <c r="M22" s="1422">
        <v>2814</v>
      </c>
      <c r="N22" s="1422">
        <v>350</v>
      </c>
      <c r="O22" s="1422">
        <v>14339</v>
      </c>
      <c r="P22" s="1422">
        <v>13210</v>
      </c>
      <c r="Q22" s="1422">
        <v>1129</v>
      </c>
      <c r="R22" s="1422">
        <v>14449</v>
      </c>
      <c r="S22" s="1422">
        <v>12989</v>
      </c>
      <c r="T22" s="1422">
        <v>1460</v>
      </c>
      <c r="U22" s="1422">
        <v>2577</v>
      </c>
      <c r="V22" s="1422">
        <v>2231</v>
      </c>
      <c r="W22" s="1422">
        <v>346</v>
      </c>
      <c r="X22" s="1422">
        <v>8</v>
      </c>
      <c r="Y22" s="1422">
        <v>5</v>
      </c>
      <c r="Z22" s="1427">
        <v>3</v>
      </c>
    </row>
    <row r="23" spans="1:26" ht="26.65" customHeight="1">
      <c r="A23" s="3307"/>
      <c r="B23" s="1428" t="s">
        <v>0</v>
      </c>
      <c r="C23" s="1429">
        <f t="shared" si="0"/>
        <v>100</v>
      </c>
      <c r="D23" s="1429">
        <f t="shared" si="0"/>
        <v>99.999999999999986</v>
      </c>
      <c r="E23" s="1429">
        <f t="shared" si="0"/>
        <v>100</v>
      </c>
      <c r="F23" s="1430">
        <f>F22/$C22*100</f>
        <v>0.66722268557130937</v>
      </c>
      <c r="G23" s="1430">
        <f>G22/$D22*100</f>
        <v>0.56319205803741879</v>
      </c>
      <c r="H23" s="1430">
        <f>H22/$E22*100</f>
        <v>1.645228836374514</v>
      </c>
      <c r="I23" s="1430">
        <f>I22/$C22*100</f>
        <v>5.7519197032009431E-3</v>
      </c>
      <c r="J23" s="1430">
        <f>J22/$D22*100</f>
        <v>6.3637520682194217E-3</v>
      </c>
      <c r="K23" s="1430" t="s">
        <v>1752</v>
      </c>
      <c r="L23" s="1430">
        <f>L22/$C22*100</f>
        <v>9.0995369704638929</v>
      </c>
      <c r="M23" s="1430">
        <f>M22/$D22*100</f>
        <v>8.953799159984726</v>
      </c>
      <c r="N23" s="1430">
        <f>N22/$E22*100</f>
        <v>10.469638049655998</v>
      </c>
      <c r="O23" s="1430">
        <f>O22/$C22*100</f>
        <v>41.238388312099161</v>
      </c>
      <c r="P23" s="1430">
        <f>P22/$D22*100</f>
        <v>42.032582410589278</v>
      </c>
      <c r="Q23" s="1430">
        <f>Q22/$E22*100</f>
        <v>33.772061023033203</v>
      </c>
      <c r="R23" s="1430">
        <f>R22/$C22*100</f>
        <v>41.554743895775218</v>
      </c>
      <c r="S23" s="1430">
        <f>S22/$D22*100</f>
        <v>41.329387807051035</v>
      </c>
      <c r="T23" s="1430">
        <f>T22/$E22*100</f>
        <v>43.673347292850735</v>
      </c>
      <c r="U23" s="1430">
        <f>U22/$C22*100</f>
        <v>7.4113485375744155</v>
      </c>
      <c r="V23" s="1430">
        <f>V22/$D22*100</f>
        <v>7.098765432098765</v>
      </c>
      <c r="W23" s="1430">
        <f>W22/$E22*100</f>
        <v>10.349985043374215</v>
      </c>
      <c r="X23" s="1430">
        <f>X22/$C22*100</f>
        <v>2.3007678812803772E-2</v>
      </c>
      <c r="Y23" s="1430">
        <f>Y22/$D22*100</f>
        <v>1.5909380170548555E-2</v>
      </c>
      <c r="Z23" s="1431">
        <f>Z22/$E22*100</f>
        <v>8.9739754711337119E-2</v>
      </c>
    </row>
    <row r="24" spans="1:26" s="1433" customFormat="1" ht="14.25">
      <c r="A24" s="1432" t="s">
        <v>1753</v>
      </c>
    </row>
    <row r="25" spans="1:26">
      <c r="D25" s="1434"/>
    </row>
    <row r="28" spans="1:26">
      <c r="B28" s="1435"/>
    </row>
  </sheetData>
  <mergeCells count="20">
    <mergeCell ref="A16:A17"/>
    <mergeCell ref="A18:A19"/>
    <mergeCell ref="A20:A21"/>
    <mergeCell ref="A22:A23"/>
    <mergeCell ref="A4:A5"/>
    <mergeCell ref="A6:A7"/>
    <mergeCell ref="A8:A9"/>
    <mergeCell ref="A10:A11"/>
    <mergeCell ref="A12:A13"/>
    <mergeCell ref="A14:A15"/>
    <mergeCell ref="A1:Z1"/>
    <mergeCell ref="A2:B3"/>
    <mergeCell ref="C2:E2"/>
    <mergeCell ref="F2:H2"/>
    <mergeCell ref="I2:K2"/>
    <mergeCell ref="L2:N2"/>
    <mergeCell ref="O2:Q2"/>
    <mergeCell ref="R2:T2"/>
    <mergeCell ref="U2:W2"/>
    <mergeCell ref="X2:Z2"/>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48" orientation="landscape" r:id="rId1"/>
  <headerFooter differentOddEven="1" scaleWithDoc="0">
    <oddHeader>&amp;L&amp;"Times New Roman,標準"&amp;8 107&amp;"標楷體,標準"年犯罪狀況及其分析</oddHeader>
    <evenHeader>&amp;R&amp;"標楷體,標準"&amp;8第二篇　犯罪之處理</evenHead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V40"/>
  <sheetViews>
    <sheetView showGridLines="0" zoomScaleNormal="100" workbookViewId="0">
      <selection activeCell="B16" sqref="B16"/>
    </sheetView>
  </sheetViews>
  <sheetFormatPr defaultColWidth="9" defaultRowHeight="15.75"/>
  <cols>
    <col min="1" max="1" width="5.75" style="1436" customWidth="1"/>
    <col min="2" max="2" width="5.25" style="1460" customWidth="1"/>
    <col min="3" max="3" width="8.25" style="1436" customWidth="1"/>
    <col min="4" max="4" width="7.25" style="1436" customWidth="1"/>
    <col min="5" max="5" width="6.125" style="1436" customWidth="1"/>
    <col min="6" max="6" width="5.25" style="1436" customWidth="1"/>
    <col min="7" max="7" width="7.125" style="1436" customWidth="1"/>
    <col min="8" max="8" width="6.25" style="1436" customWidth="1"/>
    <col min="9" max="9" width="6.625" style="1436" customWidth="1"/>
    <col min="10" max="10" width="6.125" style="1436" customWidth="1"/>
    <col min="11" max="11" width="7.625" style="1436" customWidth="1"/>
    <col min="12" max="12" width="6" style="1436" customWidth="1"/>
    <col min="13" max="13" width="7.625" style="1436" customWidth="1"/>
    <col min="14" max="14" width="6" style="1436" customWidth="1"/>
    <col min="15" max="15" width="6.75" style="1436" customWidth="1"/>
    <col min="16" max="16" width="6.125" style="1436" customWidth="1"/>
    <col min="17" max="17" width="6.25" style="1436" customWidth="1"/>
    <col min="18" max="18" width="5.375" style="1436" customWidth="1"/>
    <col min="19" max="19" width="6.25" style="1436" customWidth="1"/>
    <col min="20" max="20" width="5.25" style="1436" customWidth="1"/>
    <col min="21" max="21" width="6.625" style="1436" customWidth="1"/>
    <col min="22" max="22" width="6.125" style="1436" customWidth="1"/>
    <col min="23" max="59" width="8.75" style="1436" customWidth="1"/>
    <col min="60" max="16384" width="9" style="1436"/>
  </cols>
  <sheetData>
    <row r="1" spans="1:22" ht="24" customHeight="1">
      <c r="A1" s="3445" t="s">
        <v>1754</v>
      </c>
      <c r="B1" s="3445"/>
      <c r="C1" s="3445"/>
      <c r="D1" s="3445"/>
      <c r="E1" s="3445"/>
      <c r="F1" s="3445"/>
      <c r="G1" s="3445"/>
      <c r="H1" s="3445"/>
      <c r="I1" s="3445"/>
      <c r="J1" s="3445"/>
      <c r="K1" s="3445"/>
      <c r="L1" s="3445"/>
      <c r="M1" s="3445"/>
      <c r="N1" s="3445"/>
      <c r="O1" s="3445"/>
      <c r="P1" s="3445"/>
      <c r="Q1" s="3445"/>
      <c r="R1" s="3445"/>
      <c r="S1" s="3445"/>
      <c r="T1" s="3445"/>
      <c r="U1" s="3445"/>
      <c r="V1" s="3445"/>
    </row>
    <row r="2" spans="1:22" s="1437" customFormat="1" ht="18" customHeight="1">
      <c r="B2" s="1438"/>
      <c r="C2" s="1439"/>
      <c r="D2" s="1439"/>
      <c r="E2" s="1439"/>
      <c r="F2" s="1439"/>
      <c r="G2" s="1439"/>
      <c r="H2" s="1439"/>
      <c r="I2" s="1439"/>
      <c r="J2" s="1439"/>
      <c r="K2" s="1439"/>
      <c r="L2" s="1439"/>
      <c r="M2" s="1439"/>
      <c r="N2" s="1439"/>
      <c r="O2" s="1439"/>
      <c r="P2" s="1439"/>
      <c r="Q2" s="1439"/>
      <c r="R2" s="1439"/>
      <c r="S2" s="1439"/>
      <c r="T2" s="1439"/>
      <c r="U2" s="1439"/>
      <c r="V2" s="1398" t="s">
        <v>1617</v>
      </c>
    </row>
    <row r="3" spans="1:22" ht="17.100000000000001" customHeight="1">
      <c r="A3" s="3437"/>
      <c r="B3" s="3446"/>
      <c r="C3" s="3449" t="s">
        <v>1755</v>
      </c>
      <c r="D3" s="1440"/>
      <c r="E3" s="1441">
        <v>14</v>
      </c>
      <c r="F3" s="1442"/>
      <c r="G3" s="1441">
        <v>18</v>
      </c>
      <c r="H3" s="1442"/>
      <c r="I3" s="1441">
        <v>24</v>
      </c>
      <c r="J3" s="1442"/>
      <c r="K3" s="1441">
        <v>30</v>
      </c>
      <c r="L3" s="1442"/>
      <c r="M3" s="1441">
        <v>40</v>
      </c>
      <c r="N3" s="1442"/>
      <c r="O3" s="1441">
        <v>50</v>
      </c>
      <c r="P3" s="1442"/>
      <c r="Q3" s="1441">
        <v>60</v>
      </c>
      <c r="R3" s="1442"/>
      <c r="S3" s="1441">
        <v>70</v>
      </c>
      <c r="T3" s="1442"/>
      <c r="U3" s="3452" t="s">
        <v>1756</v>
      </c>
      <c r="V3" s="1443"/>
    </row>
    <row r="4" spans="1:22" ht="17.100000000000001" customHeight="1">
      <c r="A4" s="3447"/>
      <c r="B4" s="3447"/>
      <c r="C4" s="3450"/>
      <c r="D4" s="1444"/>
      <c r="E4" s="1445" t="s">
        <v>1757</v>
      </c>
      <c r="F4" s="1446"/>
      <c r="G4" s="1445" t="s">
        <v>1758</v>
      </c>
      <c r="H4" s="1446"/>
      <c r="I4" s="1445" t="s">
        <v>1758</v>
      </c>
      <c r="J4" s="1446"/>
      <c r="K4" s="1445" t="s">
        <v>1757</v>
      </c>
      <c r="L4" s="1446"/>
      <c r="M4" s="1445" t="s">
        <v>1759</v>
      </c>
      <c r="N4" s="1446"/>
      <c r="O4" s="1445" t="s">
        <v>1758</v>
      </c>
      <c r="P4" s="1446"/>
      <c r="Q4" s="1445" t="s">
        <v>1758</v>
      </c>
      <c r="R4" s="1446"/>
      <c r="S4" s="1445" t="s">
        <v>1758</v>
      </c>
      <c r="T4" s="1446"/>
      <c r="U4" s="3453"/>
    </row>
    <row r="5" spans="1:22" ht="17.100000000000001" customHeight="1">
      <c r="A5" s="3447"/>
      <c r="B5" s="3447"/>
      <c r="C5" s="3450"/>
      <c r="D5" s="1444"/>
      <c r="E5" s="1447">
        <v>18</v>
      </c>
      <c r="F5" s="1448"/>
      <c r="G5" s="1447">
        <v>24</v>
      </c>
      <c r="H5" s="1448"/>
      <c r="I5" s="1447">
        <v>30</v>
      </c>
      <c r="J5" s="1448"/>
      <c r="K5" s="1447">
        <v>40</v>
      </c>
      <c r="L5" s="1448"/>
      <c r="M5" s="1447">
        <v>50</v>
      </c>
      <c r="N5" s="1448"/>
      <c r="O5" s="1447">
        <v>60</v>
      </c>
      <c r="P5" s="1448"/>
      <c r="Q5" s="1447">
        <v>70</v>
      </c>
      <c r="R5" s="1448"/>
      <c r="S5" s="1447">
        <v>80</v>
      </c>
      <c r="T5" s="1448"/>
      <c r="U5" s="3453"/>
    </row>
    <row r="6" spans="1:22" ht="17.100000000000001" customHeight="1">
      <c r="A6" s="3447"/>
      <c r="B6" s="3447"/>
      <c r="C6" s="3450"/>
      <c r="D6" s="1449"/>
      <c r="E6" s="1447" t="s">
        <v>1760</v>
      </c>
      <c r="F6" s="1450"/>
      <c r="G6" s="1447" t="s">
        <v>1760</v>
      </c>
      <c r="H6" s="1450"/>
      <c r="I6" s="1447" t="s">
        <v>1761</v>
      </c>
      <c r="J6" s="1450"/>
      <c r="K6" s="1447" t="s">
        <v>1761</v>
      </c>
      <c r="L6" s="1450"/>
      <c r="M6" s="1447" t="s">
        <v>1761</v>
      </c>
      <c r="N6" s="1450"/>
      <c r="O6" s="1447" t="s">
        <v>1760</v>
      </c>
      <c r="P6" s="1450"/>
      <c r="Q6" s="1447" t="s">
        <v>1760</v>
      </c>
      <c r="R6" s="1450"/>
      <c r="S6" s="1447" t="s">
        <v>1760</v>
      </c>
      <c r="T6" s="1451"/>
      <c r="U6" s="3453"/>
    </row>
    <row r="7" spans="1:22" ht="34.5">
      <c r="A7" s="3448"/>
      <c r="B7" s="3448"/>
      <c r="C7" s="3451"/>
      <c r="D7" s="1400" t="s">
        <v>0</v>
      </c>
      <c r="E7" s="1452" t="s">
        <v>1762</v>
      </c>
      <c r="F7" s="1400" t="s">
        <v>0</v>
      </c>
      <c r="G7" s="1452" t="s">
        <v>1763</v>
      </c>
      <c r="H7" s="1400" t="s">
        <v>0</v>
      </c>
      <c r="I7" s="1452" t="s">
        <v>1764</v>
      </c>
      <c r="J7" s="1400" t="s">
        <v>0</v>
      </c>
      <c r="K7" s="1452" t="s">
        <v>1763</v>
      </c>
      <c r="L7" s="1400" t="s">
        <v>0</v>
      </c>
      <c r="M7" s="1452" t="s">
        <v>1762</v>
      </c>
      <c r="N7" s="1400" t="s">
        <v>0</v>
      </c>
      <c r="O7" s="1452" t="s">
        <v>1762</v>
      </c>
      <c r="P7" s="1400" t="s">
        <v>0</v>
      </c>
      <c r="Q7" s="1452" t="s">
        <v>1762</v>
      </c>
      <c r="R7" s="1400" t="s">
        <v>0</v>
      </c>
      <c r="S7" s="1452" t="s">
        <v>1762</v>
      </c>
      <c r="T7" s="1400" t="s">
        <v>0</v>
      </c>
      <c r="U7" s="3454"/>
      <c r="V7" s="1400" t="s">
        <v>0</v>
      </c>
    </row>
    <row r="8" spans="1:22" ht="17.100000000000001" customHeight="1">
      <c r="A8" s="3305" t="s">
        <v>1145</v>
      </c>
      <c r="B8" s="1402" t="s">
        <v>1424</v>
      </c>
      <c r="C8" s="1427">
        <f t="shared" ref="C8:D37" si="0">SUM(E8,G8,I8,K8,M8,O8,Q8,S8,U8)</f>
        <v>37179</v>
      </c>
      <c r="D8" s="1453">
        <f t="shared" si="0"/>
        <v>100</v>
      </c>
      <c r="E8" s="1427">
        <v>36</v>
      </c>
      <c r="F8" s="1425">
        <f t="shared" ref="F8:F30" si="1">E8/C8*100</f>
        <v>9.682885499878964E-2</v>
      </c>
      <c r="G8" s="1427">
        <v>2412</v>
      </c>
      <c r="H8" s="1425">
        <f t="shared" ref="H8:H37" si="2">G8/C8*100</f>
        <v>6.4875332849189062</v>
      </c>
      <c r="I8" s="1427">
        <v>6105</v>
      </c>
      <c r="J8" s="1425">
        <f t="shared" ref="J8:J37" si="3">I8/C8*100</f>
        <v>16.420559993544742</v>
      </c>
      <c r="K8" s="1427">
        <v>13351</v>
      </c>
      <c r="L8" s="1425">
        <f t="shared" ref="L8:L37" si="4">K8/C8*100</f>
        <v>35.910056752467788</v>
      </c>
      <c r="M8" s="1427">
        <v>9491</v>
      </c>
      <c r="N8" s="1425">
        <f t="shared" ref="N8:N37" si="5">M8/C8*100</f>
        <v>25.527851744264236</v>
      </c>
      <c r="O8" s="1427">
        <v>4610</v>
      </c>
      <c r="P8" s="1425">
        <f t="shared" ref="P8:P37" si="6">O8/C8*100</f>
        <v>12.399472820678339</v>
      </c>
      <c r="Q8" s="1427">
        <v>957</v>
      </c>
      <c r="R8" s="1425">
        <f t="shared" ref="R8:R37" si="7">Q8/C8*100</f>
        <v>2.5740337287178243</v>
      </c>
      <c r="S8" s="1427">
        <v>186</v>
      </c>
      <c r="T8" s="1425">
        <f t="shared" ref="T8:T37" si="8">S8/C8*100</f>
        <v>0.50028241749374647</v>
      </c>
      <c r="U8" s="1427">
        <v>31</v>
      </c>
      <c r="V8" s="1426">
        <f t="shared" ref="V8:V33" si="9">U8/C8*100</f>
        <v>8.3380402915624416E-2</v>
      </c>
    </row>
    <row r="9" spans="1:22" ht="17.100000000000001" customHeight="1">
      <c r="A9" s="3444"/>
      <c r="B9" s="1402" t="s">
        <v>1765</v>
      </c>
      <c r="C9" s="1427">
        <f t="shared" si="0"/>
        <v>33640</v>
      </c>
      <c r="D9" s="1453">
        <f t="shared" si="0"/>
        <v>100</v>
      </c>
      <c r="E9" s="1427">
        <v>34</v>
      </c>
      <c r="F9" s="1425">
        <f t="shared" si="1"/>
        <v>0.10107015457788349</v>
      </c>
      <c r="G9" s="1427">
        <v>2134</v>
      </c>
      <c r="H9" s="1425">
        <f t="shared" si="2"/>
        <v>6.3436385255648045</v>
      </c>
      <c r="I9" s="1427">
        <v>5385</v>
      </c>
      <c r="J9" s="1425">
        <f t="shared" si="3"/>
        <v>16.007728894173603</v>
      </c>
      <c r="K9" s="1427">
        <v>11960</v>
      </c>
      <c r="L9" s="1425">
        <f t="shared" si="4"/>
        <v>35.55291319857313</v>
      </c>
      <c r="M9" s="1427">
        <v>8768</v>
      </c>
      <c r="N9" s="1425">
        <f t="shared" si="5"/>
        <v>26.064209274673004</v>
      </c>
      <c r="O9" s="1427">
        <v>4265</v>
      </c>
      <c r="P9" s="1425">
        <f t="shared" si="6"/>
        <v>12.678359096313912</v>
      </c>
      <c r="Q9" s="1427">
        <v>890</v>
      </c>
      <c r="R9" s="1425">
        <f t="shared" si="7"/>
        <v>2.6456599286563613</v>
      </c>
      <c r="S9" s="1427">
        <v>175</v>
      </c>
      <c r="T9" s="1425">
        <f t="shared" si="8"/>
        <v>0.52021403091557672</v>
      </c>
      <c r="U9" s="1427">
        <v>29</v>
      </c>
      <c r="V9" s="1426">
        <f t="shared" si="9"/>
        <v>8.6206896551724144E-2</v>
      </c>
    </row>
    <row r="10" spans="1:22" ht="17.100000000000001" customHeight="1">
      <c r="A10" s="3444"/>
      <c r="B10" s="1402" t="s">
        <v>959</v>
      </c>
      <c r="C10" s="1427">
        <f t="shared" si="0"/>
        <v>3539</v>
      </c>
      <c r="D10" s="1453">
        <f t="shared" si="0"/>
        <v>99.999999999999986</v>
      </c>
      <c r="E10" s="1427">
        <v>2</v>
      </c>
      <c r="F10" s="1425">
        <f t="shared" si="1"/>
        <v>5.6513139304888389E-2</v>
      </c>
      <c r="G10" s="1427">
        <v>278</v>
      </c>
      <c r="H10" s="1425">
        <f t="shared" si="2"/>
        <v>7.8553263633794863</v>
      </c>
      <c r="I10" s="1427">
        <v>720</v>
      </c>
      <c r="J10" s="1425">
        <f t="shared" si="3"/>
        <v>20.344730149759819</v>
      </c>
      <c r="K10" s="1427">
        <v>1391</v>
      </c>
      <c r="L10" s="1425">
        <f t="shared" si="4"/>
        <v>39.304888386549877</v>
      </c>
      <c r="M10" s="1427">
        <v>723</v>
      </c>
      <c r="N10" s="1425">
        <f t="shared" si="5"/>
        <v>20.429499858717151</v>
      </c>
      <c r="O10" s="1427">
        <v>345</v>
      </c>
      <c r="P10" s="1425">
        <f t="shared" si="6"/>
        <v>9.7485165300932479</v>
      </c>
      <c r="Q10" s="1427">
        <v>67</v>
      </c>
      <c r="R10" s="1425">
        <f t="shared" si="7"/>
        <v>1.8931901667137609</v>
      </c>
      <c r="S10" s="1427">
        <v>11</v>
      </c>
      <c r="T10" s="1425">
        <f t="shared" si="8"/>
        <v>0.31082226617688613</v>
      </c>
      <c r="U10" s="1427">
        <v>2</v>
      </c>
      <c r="V10" s="1426">
        <f t="shared" si="9"/>
        <v>5.6513139304888389E-2</v>
      </c>
    </row>
    <row r="11" spans="1:22" ht="17.100000000000001" customHeight="1">
      <c r="A11" s="3305" t="s">
        <v>1107</v>
      </c>
      <c r="B11" s="1402" t="s">
        <v>1766</v>
      </c>
      <c r="C11" s="1427">
        <f t="shared" si="0"/>
        <v>36479</v>
      </c>
      <c r="D11" s="1453">
        <f t="shared" si="0"/>
        <v>100.00000000000001</v>
      </c>
      <c r="E11" s="1427">
        <v>30</v>
      </c>
      <c r="F11" s="1425">
        <f t="shared" si="1"/>
        <v>8.223909646646016E-2</v>
      </c>
      <c r="G11" s="1427">
        <v>2480</v>
      </c>
      <c r="H11" s="1425">
        <f t="shared" si="2"/>
        <v>6.7984319745607067</v>
      </c>
      <c r="I11" s="1427">
        <v>5546</v>
      </c>
      <c r="J11" s="1425">
        <f t="shared" si="3"/>
        <v>15.203267633432935</v>
      </c>
      <c r="K11" s="1427">
        <v>13074</v>
      </c>
      <c r="L11" s="1425">
        <f t="shared" si="4"/>
        <v>35.83979824008334</v>
      </c>
      <c r="M11" s="1427">
        <v>9401</v>
      </c>
      <c r="N11" s="1425">
        <f t="shared" si="5"/>
        <v>25.770991529373067</v>
      </c>
      <c r="O11" s="1427">
        <v>4653</v>
      </c>
      <c r="P11" s="1425">
        <f t="shared" si="6"/>
        <v>12.755283861947969</v>
      </c>
      <c r="Q11" s="1427">
        <v>1104</v>
      </c>
      <c r="R11" s="1425">
        <f t="shared" si="7"/>
        <v>3.0263987499657334</v>
      </c>
      <c r="S11" s="1427">
        <v>170</v>
      </c>
      <c r="T11" s="1425">
        <f t="shared" si="8"/>
        <v>0.46602154664327422</v>
      </c>
      <c r="U11" s="1427">
        <v>21</v>
      </c>
      <c r="V11" s="1426">
        <f t="shared" si="9"/>
        <v>5.7567367526522112E-2</v>
      </c>
    </row>
    <row r="12" spans="1:22" ht="17.100000000000001" customHeight="1">
      <c r="A12" s="3444"/>
      <c r="B12" s="1402" t="s">
        <v>1767</v>
      </c>
      <c r="C12" s="1427">
        <f t="shared" si="0"/>
        <v>32935</v>
      </c>
      <c r="D12" s="1453">
        <f t="shared" si="0"/>
        <v>100</v>
      </c>
      <c r="E12" s="1427">
        <v>26</v>
      </c>
      <c r="F12" s="1425">
        <f t="shared" si="1"/>
        <v>7.8943373311067253E-2</v>
      </c>
      <c r="G12" s="1427">
        <v>2210</v>
      </c>
      <c r="H12" s="1425">
        <f t="shared" si="2"/>
        <v>6.7101867314407162</v>
      </c>
      <c r="I12" s="1427">
        <v>4867</v>
      </c>
      <c r="J12" s="1425">
        <f t="shared" si="3"/>
        <v>14.777592227114011</v>
      </c>
      <c r="K12" s="1427">
        <v>11701</v>
      </c>
      <c r="L12" s="1425">
        <f t="shared" si="4"/>
        <v>35.527554273569152</v>
      </c>
      <c r="M12" s="1427">
        <v>8659</v>
      </c>
      <c r="N12" s="1425">
        <f t="shared" si="5"/>
        <v>26.291179596174281</v>
      </c>
      <c r="O12" s="1427">
        <v>4276</v>
      </c>
      <c r="P12" s="1425">
        <f t="shared" si="6"/>
        <v>12.983148626081675</v>
      </c>
      <c r="Q12" s="1427">
        <v>1019</v>
      </c>
      <c r="R12" s="1425">
        <f t="shared" si="7"/>
        <v>3.0939729770760591</v>
      </c>
      <c r="S12" s="1427">
        <v>159</v>
      </c>
      <c r="T12" s="1425">
        <f t="shared" si="8"/>
        <v>0.48276909063306511</v>
      </c>
      <c r="U12" s="1427">
        <v>18</v>
      </c>
      <c r="V12" s="1426">
        <f t="shared" si="9"/>
        <v>5.4653104599969637E-2</v>
      </c>
    </row>
    <row r="13" spans="1:22" ht="17.100000000000001" customHeight="1">
      <c r="A13" s="3444"/>
      <c r="B13" s="1402" t="s">
        <v>1768</v>
      </c>
      <c r="C13" s="1427">
        <f t="shared" si="0"/>
        <v>3544</v>
      </c>
      <c r="D13" s="1453">
        <f t="shared" si="0"/>
        <v>100</v>
      </c>
      <c r="E13" s="1427">
        <v>4</v>
      </c>
      <c r="F13" s="1425">
        <f t="shared" si="1"/>
        <v>0.11286681715575619</v>
      </c>
      <c r="G13" s="1427">
        <v>270</v>
      </c>
      <c r="H13" s="1425">
        <f t="shared" si="2"/>
        <v>7.6185101580135441</v>
      </c>
      <c r="I13" s="1427">
        <v>679</v>
      </c>
      <c r="J13" s="1425">
        <f t="shared" si="3"/>
        <v>19.159142212189618</v>
      </c>
      <c r="K13" s="1427">
        <v>1373</v>
      </c>
      <c r="L13" s="1425">
        <f t="shared" si="4"/>
        <v>38.741534988713319</v>
      </c>
      <c r="M13" s="1427">
        <v>742</v>
      </c>
      <c r="N13" s="1425">
        <f t="shared" si="5"/>
        <v>20.936794582392775</v>
      </c>
      <c r="O13" s="1427">
        <v>377</v>
      </c>
      <c r="P13" s="1425">
        <f t="shared" si="6"/>
        <v>10.637697516930022</v>
      </c>
      <c r="Q13" s="1427">
        <v>85</v>
      </c>
      <c r="R13" s="1425">
        <f t="shared" si="7"/>
        <v>2.3984198645598194</v>
      </c>
      <c r="S13" s="1427">
        <v>11</v>
      </c>
      <c r="T13" s="1425">
        <f t="shared" si="8"/>
        <v>0.31038374717832956</v>
      </c>
      <c r="U13" s="1427">
        <v>3</v>
      </c>
      <c r="V13" s="1426">
        <f t="shared" si="9"/>
        <v>8.4650112866817159E-2</v>
      </c>
    </row>
    <row r="14" spans="1:22" ht="17.100000000000001" customHeight="1">
      <c r="A14" s="3305" t="s">
        <v>1060</v>
      </c>
      <c r="B14" s="1402" t="s">
        <v>1424</v>
      </c>
      <c r="C14" s="1427">
        <f t="shared" si="0"/>
        <v>35356</v>
      </c>
      <c r="D14" s="1453">
        <f t="shared" si="0"/>
        <v>100</v>
      </c>
      <c r="E14" s="1427">
        <v>30</v>
      </c>
      <c r="F14" s="1425">
        <f t="shared" si="1"/>
        <v>8.4851227514424712E-2</v>
      </c>
      <c r="G14" s="1427">
        <v>2538</v>
      </c>
      <c r="H14" s="1425">
        <f t="shared" si="2"/>
        <v>7.1784138477203303</v>
      </c>
      <c r="I14" s="1427">
        <v>4899</v>
      </c>
      <c r="J14" s="1425">
        <f t="shared" si="3"/>
        <v>13.856205453105556</v>
      </c>
      <c r="K14" s="1427">
        <v>12500</v>
      </c>
      <c r="L14" s="1425">
        <f t="shared" si="4"/>
        <v>35.354678131010296</v>
      </c>
      <c r="M14" s="1427">
        <v>9067</v>
      </c>
      <c r="N14" s="1425">
        <f t="shared" si="5"/>
        <v>25.644869329109625</v>
      </c>
      <c r="O14" s="1427">
        <v>4894</v>
      </c>
      <c r="P14" s="1425">
        <f t="shared" si="6"/>
        <v>13.84206358185315</v>
      </c>
      <c r="Q14" s="1427">
        <v>1205</v>
      </c>
      <c r="R14" s="1425">
        <f t="shared" si="7"/>
        <v>3.4081909718293923</v>
      </c>
      <c r="S14" s="1427">
        <v>192</v>
      </c>
      <c r="T14" s="1425">
        <f t="shared" si="8"/>
        <v>0.54304785609231809</v>
      </c>
      <c r="U14" s="1427">
        <v>31</v>
      </c>
      <c r="V14" s="1426">
        <f t="shared" si="9"/>
        <v>8.7679601764905524E-2</v>
      </c>
    </row>
    <row r="15" spans="1:22" ht="17.100000000000001" customHeight="1">
      <c r="A15" s="3444"/>
      <c r="B15" s="1402" t="s">
        <v>1767</v>
      </c>
      <c r="C15" s="1427">
        <f t="shared" si="0"/>
        <v>31906</v>
      </c>
      <c r="D15" s="1453">
        <f t="shared" si="0"/>
        <v>100</v>
      </c>
      <c r="E15" s="1427">
        <v>26</v>
      </c>
      <c r="F15" s="1425">
        <f t="shared" si="1"/>
        <v>8.1489375039177581E-2</v>
      </c>
      <c r="G15" s="1427">
        <v>2270</v>
      </c>
      <c r="H15" s="1425">
        <f t="shared" si="2"/>
        <v>7.114649282266658</v>
      </c>
      <c r="I15" s="1427">
        <v>4314</v>
      </c>
      <c r="J15" s="1425">
        <f t="shared" si="3"/>
        <v>13.520967843038928</v>
      </c>
      <c r="K15" s="1427">
        <v>11119</v>
      </c>
      <c r="L15" s="1425">
        <f t="shared" si="4"/>
        <v>34.849244656177518</v>
      </c>
      <c r="M15" s="1427">
        <v>8321</v>
      </c>
      <c r="N15" s="1425">
        <f t="shared" si="5"/>
        <v>26.079734219269103</v>
      </c>
      <c r="O15" s="1427">
        <v>4536</v>
      </c>
      <c r="P15" s="1425">
        <f t="shared" si="6"/>
        <v>14.216761737604211</v>
      </c>
      <c r="Q15" s="1427">
        <v>1125</v>
      </c>
      <c r="R15" s="1425">
        <f t="shared" si="7"/>
        <v>3.5259825738105683</v>
      </c>
      <c r="S15" s="1427">
        <v>166</v>
      </c>
      <c r="T15" s="1425">
        <f t="shared" si="8"/>
        <v>0.52027831755782605</v>
      </c>
      <c r="U15" s="1427">
        <v>29</v>
      </c>
      <c r="V15" s="1426">
        <f t="shared" si="9"/>
        <v>9.0891995236005774E-2</v>
      </c>
    </row>
    <row r="16" spans="1:22" ht="17.100000000000001" customHeight="1">
      <c r="A16" s="3444"/>
      <c r="B16" s="1402" t="s">
        <v>1768</v>
      </c>
      <c r="C16" s="1427">
        <f t="shared" si="0"/>
        <v>3450</v>
      </c>
      <c r="D16" s="1453">
        <f t="shared" si="0"/>
        <v>100</v>
      </c>
      <c r="E16" s="1427">
        <v>4</v>
      </c>
      <c r="F16" s="1425">
        <f t="shared" si="1"/>
        <v>0.11594202898550725</v>
      </c>
      <c r="G16" s="1427">
        <v>268</v>
      </c>
      <c r="H16" s="1425">
        <f t="shared" si="2"/>
        <v>7.7681159420289863</v>
      </c>
      <c r="I16" s="1427">
        <v>585</v>
      </c>
      <c r="J16" s="1425">
        <f t="shared" si="3"/>
        <v>16.956521739130434</v>
      </c>
      <c r="K16" s="1427">
        <v>1381</v>
      </c>
      <c r="L16" s="1425">
        <f t="shared" si="4"/>
        <v>40.028985507246375</v>
      </c>
      <c r="M16" s="1427">
        <v>746</v>
      </c>
      <c r="N16" s="1425">
        <f t="shared" si="5"/>
        <v>21.623188405797102</v>
      </c>
      <c r="O16" s="1427">
        <v>358</v>
      </c>
      <c r="P16" s="1425">
        <f t="shared" si="6"/>
        <v>10.376811594202898</v>
      </c>
      <c r="Q16" s="1427">
        <v>80</v>
      </c>
      <c r="R16" s="1425">
        <f t="shared" si="7"/>
        <v>2.318840579710145</v>
      </c>
      <c r="S16" s="1427">
        <v>26</v>
      </c>
      <c r="T16" s="1425">
        <f t="shared" si="8"/>
        <v>0.75362318840579712</v>
      </c>
      <c r="U16" s="1427">
        <v>2</v>
      </c>
      <c r="V16" s="1426">
        <f t="shared" si="9"/>
        <v>5.7971014492753624E-2</v>
      </c>
    </row>
    <row r="17" spans="1:22" ht="17.100000000000001" customHeight="1">
      <c r="A17" s="3305" t="s">
        <v>1061</v>
      </c>
      <c r="B17" s="1402" t="s">
        <v>1769</v>
      </c>
      <c r="C17" s="1427">
        <f t="shared" si="0"/>
        <v>34193</v>
      </c>
      <c r="D17" s="1453">
        <f t="shared" si="0"/>
        <v>99.999999999999972</v>
      </c>
      <c r="E17" s="1427">
        <v>35</v>
      </c>
      <c r="F17" s="1425">
        <f t="shared" si="1"/>
        <v>0.1023601321907993</v>
      </c>
      <c r="G17" s="1427">
        <v>2516</v>
      </c>
      <c r="H17" s="1425">
        <f t="shared" si="2"/>
        <v>7.3582312169157431</v>
      </c>
      <c r="I17" s="1427">
        <v>4208</v>
      </c>
      <c r="J17" s="1425">
        <f t="shared" si="3"/>
        <v>12.306612464539525</v>
      </c>
      <c r="K17" s="1427">
        <v>11717</v>
      </c>
      <c r="L17" s="1425">
        <f t="shared" si="4"/>
        <v>34.267247682274146</v>
      </c>
      <c r="M17" s="1427">
        <v>9218</v>
      </c>
      <c r="N17" s="1425">
        <f t="shared" si="5"/>
        <v>26.95873424385108</v>
      </c>
      <c r="O17" s="1427">
        <v>5064</v>
      </c>
      <c r="P17" s="1425">
        <f t="shared" si="6"/>
        <v>14.810048840405932</v>
      </c>
      <c r="Q17" s="1427">
        <v>1215</v>
      </c>
      <c r="R17" s="1425">
        <f t="shared" si="7"/>
        <v>3.5533588746234606</v>
      </c>
      <c r="S17" s="1427">
        <v>190</v>
      </c>
      <c r="T17" s="1425">
        <f t="shared" si="8"/>
        <v>0.55566928903576762</v>
      </c>
      <c r="U17" s="1427">
        <v>30</v>
      </c>
      <c r="V17" s="1426">
        <f t="shared" si="9"/>
        <v>8.7737256163542249E-2</v>
      </c>
    </row>
    <row r="18" spans="1:22" ht="17.100000000000001" customHeight="1">
      <c r="A18" s="3444"/>
      <c r="B18" s="1402" t="s">
        <v>1765</v>
      </c>
      <c r="C18" s="1427">
        <f t="shared" si="0"/>
        <v>31044</v>
      </c>
      <c r="D18" s="1453">
        <f t="shared" si="0"/>
        <v>100.00000000000001</v>
      </c>
      <c r="E18" s="1427">
        <v>34</v>
      </c>
      <c r="F18" s="1425">
        <f t="shared" si="1"/>
        <v>0.10952196881845123</v>
      </c>
      <c r="G18" s="1427">
        <v>2284</v>
      </c>
      <c r="H18" s="1425">
        <f t="shared" si="2"/>
        <v>7.3572993170983123</v>
      </c>
      <c r="I18" s="1427">
        <v>3738</v>
      </c>
      <c r="J18" s="1425">
        <f t="shared" si="3"/>
        <v>12.040974101275609</v>
      </c>
      <c r="K18" s="1427">
        <v>10470</v>
      </c>
      <c r="L18" s="1425">
        <f t="shared" si="4"/>
        <v>33.726323927328956</v>
      </c>
      <c r="M18" s="1427">
        <v>8492</v>
      </c>
      <c r="N18" s="1425">
        <f t="shared" si="5"/>
        <v>27.354722329596704</v>
      </c>
      <c r="O18" s="1427">
        <v>4687</v>
      </c>
      <c r="P18" s="1425">
        <f t="shared" si="6"/>
        <v>15.097925525061203</v>
      </c>
      <c r="Q18" s="1427">
        <v>1134</v>
      </c>
      <c r="R18" s="1425">
        <f t="shared" si="7"/>
        <v>3.65287978353305</v>
      </c>
      <c r="S18" s="1427">
        <v>177</v>
      </c>
      <c r="T18" s="1425">
        <f t="shared" si="8"/>
        <v>0.570158484731349</v>
      </c>
      <c r="U18" s="1427">
        <v>28</v>
      </c>
      <c r="V18" s="1426">
        <f t="shared" si="9"/>
        <v>9.0194562556371594E-2</v>
      </c>
    </row>
    <row r="19" spans="1:22" ht="17.100000000000001" customHeight="1">
      <c r="A19" s="3444"/>
      <c r="B19" s="1402" t="s">
        <v>1770</v>
      </c>
      <c r="C19" s="1427">
        <f t="shared" si="0"/>
        <v>3149</v>
      </c>
      <c r="D19" s="1453">
        <f t="shared" si="0"/>
        <v>100.00000000000001</v>
      </c>
      <c r="E19" s="1427">
        <v>1</v>
      </c>
      <c r="F19" s="1425">
        <f t="shared" si="1"/>
        <v>3.1756113051762465E-2</v>
      </c>
      <c r="G19" s="1427">
        <v>232</v>
      </c>
      <c r="H19" s="1425">
        <f t="shared" si="2"/>
        <v>7.3674182280088916</v>
      </c>
      <c r="I19" s="1427">
        <v>470</v>
      </c>
      <c r="J19" s="1425">
        <f t="shared" si="3"/>
        <v>14.925373134328357</v>
      </c>
      <c r="K19" s="1427">
        <v>1247</v>
      </c>
      <c r="L19" s="1425">
        <f t="shared" si="4"/>
        <v>39.599872975547797</v>
      </c>
      <c r="M19" s="1427">
        <v>726</v>
      </c>
      <c r="N19" s="1425">
        <f t="shared" si="5"/>
        <v>23.05493807557955</v>
      </c>
      <c r="O19" s="1427">
        <v>377</v>
      </c>
      <c r="P19" s="1425">
        <f t="shared" si="6"/>
        <v>11.972054620514449</v>
      </c>
      <c r="Q19" s="1427">
        <v>81</v>
      </c>
      <c r="R19" s="1425">
        <f t="shared" si="7"/>
        <v>2.5722451571927598</v>
      </c>
      <c r="S19" s="1427">
        <v>13</v>
      </c>
      <c r="T19" s="1425">
        <f t="shared" si="8"/>
        <v>0.41282946967291201</v>
      </c>
      <c r="U19" s="1427">
        <v>2</v>
      </c>
      <c r="V19" s="1426">
        <f t="shared" si="9"/>
        <v>6.351222610352493E-2</v>
      </c>
    </row>
    <row r="20" spans="1:22" ht="17.100000000000001" customHeight="1">
      <c r="A20" s="3305" t="s">
        <v>1062</v>
      </c>
      <c r="B20" s="1402" t="s">
        <v>1424</v>
      </c>
      <c r="C20" s="1427">
        <f t="shared" si="0"/>
        <v>34446</v>
      </c>
      <c r="D20" s="1453">
        <f t="shared" si="0"/>
        <v>99.999999999999986</v>
      </c>
      <c r="E20" s="1427">
        <v>34</v>
      </c>
      <c r="F20" s="1425">
        <f t="shared" si="1"/>
        <v>9.8705219764268715E-2</v>
      </c>
      <c r="G20" s="1427">
        <v>2483</v>
      </c>
      <c r="H20" s="1425">
        <f t="shared" si="2"/>
        <v>7.2083841374905644</v>
      </c>
      <c r="I20" s="1427">
        <v>3959</v>
      </c>
      <c r="J20" s="1425">
        <f t="shared" si="3"/>
        <v>11.493351913139406</v>
      </c>
      <c r="K20" s="1427">
        <v>11365</v>
      </c>
      <c r="L20" s="1425">
        <f t="shared" si="4"/>
        <v>32.993671253556286</v>
      </c>
      <c r="M20" s="1427">
        <v>9446</v>
      </c>
      <c r="N20" s="1425">
        <f t="shared" si="5"/>
        <v>27.422632526273006</v>
      </c>
      <c r="O20" s="1427">
        <v>5493</v>
      </c>
      <c r="P20" s="1425">
        <f t="shared" si="6"/>
        <v>15.946699181327295</v>
      </c>
      <c r="Q20" s="1427">
        <v>1454</v>
      </c>
      <c r="R20" s="1425">
        <f t="shared" si="7"/>
        <v>4.2210996922719612</v>
      </c>
      <c r="S20" s="1427">
        <v>194</v>
      </c>
      <c r="T20" s="1425">
        <f t="shared" si="8"/>
        <v>0.56320037159612146</v>
      </c>
      <c r="U20" s="1427">
        <v>18</v>
      </c>
      <c r="V20" s="1426">
        <f t="shared" si="9"/>
        <v>5.2255704581083438E-2</v>
      </c>
    </row>
    <row r="21" spans="1:22" ht="17.100000000000001" customHeight="1">
      <c r="A21" s="3444"/>
      <c r="B21" s="1402" t="s">
        <v>1767</v>
      </c>
      <c r="C21" s="1427">
        <f t="shared" si="0"/>
        <v>31526</v>
      </c>
      <c r="D21" s="1453">
        <f t="shared" si="0"/>
        <v>99.999999999999986</v>
      </c>
      <c r="E21" s="1427">
        <v>31</v>
      </c>
      <c r="F21" s="1425">
        <f t="shared" si="1"/>
        <v>9.8331535875150658E-2</v>
      </c>
      <c r="G21" s="1427">
        <v>2272</v>
      </c>
      <c r="H21" s="1425">
        <f t="shared" si="2"/>
        <v>7.2067499841400746</v>
      </c>
      <c r="I21" s="1427">
        <v>3548</v>
      </c>
      <c r="J21" s="1425">
        <f t="shared" si="3"/>
        <v>11.254202880162406</v>
      </c>
      <c r="K21" s="1427">
        <v>10227</v>
      </c>
      <c r="L21" s="1425">
        <f t="shared" si="4"/>
        <v>32.43989088371503</v>
      </c>
      <c r="M21" s="1427">
        <v>8755</v>
      </c>
      <c r="N21" s="1425">
        <f t="shared" si="5"/>
        <v>27.770728922159488</v>
      </c>
      <c r="O21" s="1427">
        <v>5147</v>
      </c>
      <c r="P21" s="1425">
        <f t="shared" si="6"/>
        <v>16.326206940303241</v>
      </c>
      <c r="Q21" s="1427">
        <v>1353</v>
      </c>
      <c r="R21" s="1425">
        <f t="shared" si="7"/>
        <v>4.291695743196092</v>
      </c>
      <c r="S21" s="1427">
        <v>177</v>
      </c>
      <c r="T21" s="1425">
        <f t="shared" si="8"/>
        <v>0.56144134999682793</v>
      </c>
      <c r="U21" s="1427">
        <v>16</v>
      </c>
      <c r="V21" s="1426">
        <f t="shared" si="9"/>
        <v>5.0751760451690664E-2</v>
      </c>
    </row>
    <row r="22" spans="1:22" ht="17.100000000000001" customHeight="1">
      <c r="A22" s="3444"/>
      <c r="B22" s="1402" t="s">
        <v>1768</v>
      </c>
      <c r="C22" s="1427">
        <f t="shared" si="0"/>
        <v>2920</v>
      </c>
      <c r="D22" s="1453">
        <f t="shared" si="0"/>
        <v>100</v>
      </c>
      <c r="E22" s="1427">
        <v>3</v>
      </c>
      <c r="F22" s="1425">
        <f t="shared" si="1"/>
        <v>0.10273972602739725</v>
      </c>
      <c r="G22" s="1427">
        <v>211</v>
      </c>
      <c r="H22" s="1425">
        <f t="shared" si="2"/>
        <v>7.2260273972602738</v>
      </c>
      <c r="I22" s="1427">
        <v>411</v>
      </c>
      <c r="J22" s="1425">
        <f t="shared" si="3"/>
        <v>14.075342465753424</v>
      </c>
      <c r="K22" s="1427">
        <v>1138</v>
      </c>
      <c r="L22" s="1425">
        <f t="shared" si="4"/>
        <v>38.972602739726028</v>
      </c>
      <c r="M22" s="1427">
        <v>691</v>
      </c>
      <c r="N22" s="1425">
        <f t="shared" si="5"/>
        <v>23.664383561643838</v>
      </c>
      <c r="O22" s="1427">
        <v>346</v>
      </c>
      <c r="P22" s="1425">
        <f t="shared" si="6"/>
        <v>11.849315068493151</v>
      </c>
      <c r="Q22" s="1427">
        <v>101</v>
      </c>
      <c r="R22" s="1425">
        <f t="shared" si="7"/>
        <v>3.4589041095890409</v>
      </c>
      <c r="S22" s="1427">
        <v>17</v>
      </c>
      <c r="T22" s="1425">
        <f t="shared" si="8"/>
        <v>0.5821917808219178</v>
      </c>
      <c r="U22" s="1427">
        <v>2</v>
      </c>
      <c r="V22" s="1426">
        <f t="shared" si="9"/>
        <v>6.8493150684931503E-2</v>
      </c>
    </row>
    <row r="23" spans="1:22" ht="17.100000000000001" customHeight="1">
      <c r="A23" s="3305" t="s">
        <v>1063</v>
      </c>
      <c r="B23" s="1402" t="s">
        <v>1771</v>
      </c>
      <c r="C23" s="1427">
        <f t="shared" si="0"/>
        <v>33951</v>
      </c>
      <c r="D23" s="1453">
        <f t="shared" si="0"/>
        <v>100.00000000000001</v>
      </c>
      <c r="E23" s="1427">
        <v>21</v>
      </c>
      <c r="F23" s="1425">
        <f t="shared" si="1"/>
        <v>6.1853848192984007E-2</v>
      </c>
      <c r="G23" s="1427">
        <v>2367</v>
      </c>
      <c r="H23" s="1425">
        <f t="shared" si="2"/>
        <v>6.9718123177520548</v>
      </c>
      <c r="I23" s="1427">
        <v>3815</v>
      </c>
      <c r="J23" s="1425">
        <f t="shared" si="3"/>
        <v>11.236782421725428</v>
      </c>
      <c r="K23" s="1427">
        <v>11024</v>
      </c>
      <c r="L23" s="1425">
        <f t="shared" si="4"/>
        <v>32.470324879974086</v>
      </c>
      <c r="M23" s="1427">
        <v>9306</v>
      </c>
      <c r="N23" s="1425">
        <f t="shared" si="5"/>
        <v>27.410091013519484</v>
      </c>
      <c r="O23" s="1427">
        <v>5579</v>
      </c>
      <c r="P23" s="1425">
        <f t="shared" si="6"/>
        <v>16.432505669936084</v>
      </c>
      <c r="Q23" s="1427">
        <v>1581</v>
      </c>
      <c r="R23" s="1425">
        <f t="shared" si="7"/>
        <v>4.6567111425289385</v>
      </c>
      <c r="S23" s="1427">
        <v>240</v>
      </c>
      <c r="T23" s="1425">
        <f t="shared" si="8"/>
        <v>0.70690112220553147</v>
      </c>
      <c r="U23" s="1427">
        <v>18</v>
      </c>
      <c r="V23" s="1426">
        <f t="shared" si="9"/>
        <v>5.3017584165414862E-2</v>
      </c>
    </row>
    <row r="24" spans="1:22" ht="17.100000000000001" customHeight="1">
      <c r="A24" s="3444"/>
      <c r="B24" s="1402" t="s">
        <v>1767</v>
      </c>
      <c r="C24" s="1427">
        <f t="shared" si="0"/>
        <v>31036</v>
      </c>
      <c r="D24" s="1453">
        <f t="shared" si="0"/>
        <v>100.00000000000001</v>
      </c>
      <c r="E24" s="1427">
        <v>19</v>
      </c>
      <c r="F24" s="1425">
        <f t="shared" si="1"/>
        <v>6.1219229282123984E-2</v>
      </c>
      <c r="G24" s="1427">
        <v>2205</v>
      </c>
      <c r="H24" s="1425">
        <f t="shared" si="2"/>
        <v>7.1046526614254413</v>
      </c>
      <c r="I24" s="1427">
        <v>3399</v>
      </c>
      <c r="J24" s="1425">
        <f t="shared" si="3"/>
        <v>10.951797912102075</v>
      </c>
      <c r="K24" s="1427">
        <v>9867</v>
      </c>
      <c r="L24" s="1425">
        <f t="shared" si="4"/>
        <v>31.792112385616704</v>
      </c>
      <c r="M24" s="1427">
        <v>8613</v>
      </c>
      <c r="N24" s="1425">
        <f t="shared" si="5"/>
        <v>27.751643252996523</v>
      </c>
      <c r="O24" s="1427">
        <v>5212</v>
      </c>
      <c r="P24" s="1425">
        <f t="shared" si="6"/>
        <v>16.793401211496324</v>
      </c>
      <c r="Q24" s="1427">
        <v>1484</v>
      </c>
      <c r="R24" s="1425">
        <f t="shared" si="7"/>
        <v>4.7815440134037894</v>
      </c>
      <c r="S24" s="1427">
        <v>222</v>
      </c>
      <c r="T24" s="1425">
        <f t="shared" si="8"/>
        <v>0.71529836319113282</v>
      </c>
      <c r="U24" s="1427">
        <v>15</v>
      </c>
      <c r="V24" s="1426">
        <f t="shared" si="9"/>
        <v>4.8330970485887352E-2</v>
      </c>
    </row>
    <row r="25" spans="1:22" ht="17.100000000000001" customHeight="1">
      <c r="A25" s="3444"/>
      <c r="B25" s="1402" t="s">
        <v>1768</v>
      </c>
      <c r="C25" s="1427">
        <f t="shared" si="0"/>
        <v>2915</v>
      </c>
      <c r="D25" s="1453">
        <f t="shared" si="0"/>
        <v>100.00000000000001</v>
      </c>
      <c r="E25" s="1427">
        <v>2</v>
      </c>
      <c r="F25" s="1425">
        <f t="shared" si="1"/>
        <v>6.8610634648370486E-2</v>
      </c>
      <c r="G25" s="1427">
        <v>162</v>
      </c>
      <c r="H25" s="1425">
        <f t="shared" si="2"/>
        <v>5.5574614065180103</v>
      </c>
      <c r="I25" s="1427">
        <v>416</v>
      </c>
      <c r="J25" s="1425">
        <f t="shared" si="3"/>
        <v>14.271012006861064</v>
      </c>
      <c r="K25" s="1427">
        <v>1157</v>
      </c>
      <c r="L25" s="1425">
        <f t="shared" si="4"/>
        <v>39.691252144082334</v>
      </c>
      <c r="M25" s="1427">
        <v>693</v>
      </c>
      <c r="N25" s="1425">
        <f t="shared" si="5"/>
        <v>23.773584905660378</v>
      </c>
      <c r="O25" s="1427">
        <v>367</v>
      </c>
      <c r="P25" s="1425">
        <f t="shared" si="6"/>
        <v>12.590051457975987</v>
      </c>
      <c r="Q25" s="1427">
        <v>97</v>
      </c>
      <c r="R25" s="1425">
        <f t="shared" si="7"/>
        <v>3.3276157804459694</v>
      </c>
      <c r="S25" s="1427">
        <v>18</v>
      </c>
      <c r="T25" s="1425">
        <f t="shared" si="8"/>
        <v>0.61749571183533447</v>
      </c>
      <c r="U25" s="1427">
        <v>3</v>
      </c>
      <c r="V25" s="1426">
        <f t="shared" si="9"/>
        <v>0.10291595197255575</v>
      </c>
    </row>
    <row r="26" spans="1:22" ht="17.100000000000001" customHeight="1">
      <c r="A26" s="3305" t="s">
        <v>1064</v>
      </c>
      <c r="B26" s="1402" t="s">
        <v>1769</v>
      </c>
      <c r="C26" s="1427">
        <f t="shared" si="0"/>
        <v>34586</v>
      </c>
      <c r="D26" s="1453">
        <f t="shared" si="0"/>
        <v>100.00000000000001</v>
      </c>
      <c r="E26" s="1427">
        <v>15</v>
      </c>
      <c r="F26" s="1425">
        <f t="shared" si="1"/>
        <v>4.3370149771583877E-2</v>
      </c>
      <c r="G26" s="1427">
        <v>2501</v>
      </c>
      <c r="H26" s="1425">
        <f t="shared" si="2"/>
        <v>7.231249638582085</v>
      </c>
      <c r="I26" s="1427">
        <v>3892</v>
      </c>
      <c r="J26" s="1425">
        <f t="shared" si="3"/>
        <v>11.253108194066963</v>
      </c>
      <c r="K26" s="1427">
        <v>10715</v>
      </c>
      <c r="L26" s="1425">
        <f t="shared" si="4"/>
        <v>30.98074365350142</v>
      </c>
      <c r="M26" s="1427">
        <v>9788</v>
      </c>
      <c r="N26" s="1425">
        <f t="shared" si="5"/>
        <v>28.300468397617536</v>
      </c>
      <c r="O26" s="1427">
        <v>5645</v>
      </c>
      <c r="P26" s="1425">
        <f t="shared" si="6"/>
        <v>16.321633030706064</v>
      </c>
      <c r="Q26" s="1427">
        <v>1787</v>
      </c>
      <c r="R26" s="1425">
        <f t="shared" si="7"/>
        <v>5.1668305094546927</v>
      </c>
      <c r="S26" s="1427">
        <v>215</v>
      </c>
      <c r="T26" s="1425">
        <f t="shared" si="8"/>
        <v>0.62163881339270233</v>
      </c>
      <c r="U26" s="1427">
        <v>28</v>
      </c>
      <c r="V26" s="1426">
        <f t="shared" si="9"/>
        <v>8.0957612906956564E-2</v>
      </c>
    </row>
    <row r="27" spans="1:22" ht="17.100000000000001" customHeight="1">
      <c r="A27" s="3444"/>
      <c r="B27" s="1402" t="s">
        <v>1772</v>
      </c>
      <c r="C27" s="1427">
        <f t="shared" si="0"/>
        <v>31492</v>
      </c>
      <c r="D27" s="1453">
        <f t="shared" si="0"/>
        <v>100</v>
      </c>
      <c r="E27" s="1427">
        <v>13</v>
      </c>
      <c r="F27" s="1425">
        <f t="shared" si="1"/>
        <v>4.1280325161945894E-2</v>
      </c>
      <c r="G27" s="1427">
        <v>2313</v>
      </c>
      <c r="H27" s="1425">
        <f t="shared" si="2"/>
        <v>7.3447224691985262</v>
      </c>
      <c r="I27" s="1427">
        <v>3457</v>
      </c>
      <c r="J27" s="1425">
        <f t="shared" si="3"/>
        <v>10.977391083449765</v>
      </c>
      <c r="K27" s="1427">
        <v>9600</v>
      </c>
      <c r="L27" s="1425">
        <f t="shared" si="4"/>
        <v>30.483932427283118</v>
      </c>
      <c r="M27" s="1427">
        <v>8990</v>
      </c>
      <c r="N27" s="1425">
        <f t="shared" si="5"/>
        <v>28.546932554299502</v>
      </c>
      <c r="O27" s="1427">
        <v>5231</v>
      </c>
      <c r="P27" s="1425">
        <f t="shared" si="6"/>
        <v>16.610567763241455</v>
      </c>
      <c r="Q27" s="1427">
        <v>1659</v>
      </c>
      <c r="R27" s="1425">
        <f t="shared" si="7"/>
        <v>5.2680045725898639</v>
      </c>
      <c r="S27" s="1427">
        <v>203</v>
      </c>
      <c r="T27" s="1425">
        <f t="shared" si="8"/>
        <v>0.64460815445192432</v>
      </c>
      <c r="U27" s="1427">
        <v>26</v>
      </c>
      <c r="V27" s="1426">
        <f t="shared" si="9"/>
        <v>8.2560650323891788E-2</v>
      </c>
    </row>
    <row r="28" spans="1:22" ht="17.100000000000001" customHeight="1">
      <c r="A28" s="3444"/>
      <c r="B28" s="1402" t="s">
        <v>1773</v>
      </c>
      <c r="C28" s="1427">
        <f t="shared" si="0"/>
        <v>3094</v>
      </c>
      <c r="D28" s="1453">
        <f t="shared" si="0"/>
        <v>100</v>
      </c>
      <c r="E28" s="1427">
        <v>2</v>
      </c>
      <c r="F28" s="1425">
        <f t="shared" si="1"/>
        <v>6.464124111182934E-2</v>
      </c>
      <c r="G28" s="1427">
        <v>188</v>
      </c>
      <c r="H28" s="1425">
        <f t="shared" si="2"/>
        <v>6.0762766645119584</v>
      </c>
      <c r="I28" s="1427">
        <v>435</v>
      </c>
      <c r="J28" s="1425">
        <f t="shared" si="3"/>
        <v>14.059469941822883</v>
      </c>
      <c r="K28" s="1427">
        <v>1115</v>
      </c>
      <c r="L28" s="1425">
        <f t="shared" si="4"/>
        <v>36.037491919844861</v>
      </c>
      <c r="M28" s="1427">
        <v>798</v>
      </c>
      <c r="N28" s="1425">
        <f t="shared" si="5"/>
        <v>25.791855203619914</v>
      </c>
      <c r="O28" s="1427">
        <v>414</v>
      </c>
      <c r="P28" s="1425">
        <f t="shared" si="6"/>
        <v>13.380736910148675</v>
      </c>
      <c r="Q28" s="1427">
        <v>128</v>
      </c>
      <c r="R28" s="1425">
        <f t="shared" si="7"/>
        <v>4.1370394311570777</v>
      </c>
      <c r="S28" s="1427">
        <v>12</v>
      </c>
      <c r="T28" s="1425">
        <f t="shared" si="8"/>
        <v>0.38784744667097609</v>
      </c>
      <c r="U28" s="1427">
        <v>2</v>
      </c>
      <c r="V28" s="1426">
        <f t="shared" si="9"/>
        <v>6.464124111182934E-2</v>
      </c>
    </row>
    <row r="29" spans="1:22" ht="17.100000000000001" customHeight="1">
      <c r="A29" s="3305" t="s">
        <v>1065</v>
      </c>
      <c r="B29" s="1402" t="s">
        <v>1769</v>
      </c>
      <c r="C29" s="1427">
        <f t="shared" si="0"/>
        <v>36298</v>
      </c>
      <c r="D29" s="1453">
        <f t="shared" si="0"/>
        <v>100.00000000000001</v>
      </c>
      <c r="E29" s="1427">
        <v>7</v>
      </c>
      <c r="F29" s="1425">
        <f t="shared" si="1"/>
        <v>1.9284809080390104E-2</v>
      </c>
      <c r="G29" s="1427">
        <v>2759</v>
      </c>
      <c r="H29" s="1425">
        <f t="shared" si="2"/>
        <v>7.6009697503994706</v>
      </c>
      <c r="I29" s="1427">
        <v>4372</v>
      </c>
      <c r="J29" s="1425">
        <f t="shared" si="3"/>
        <v>12.044740757066505</v>
      </c>
      <c r="K29" s="1427">
        <v>10461</v>
      </c>
      <c r="L29" s="1425">
        <f t="shared" si="4"/>
        <v>28.819769684280129</v>
      </c>
      <c r="M29" s="1427">
        <v>10343</v>
      </c>
      <c r="N29" s="1425">
        <f t="shared" si="5"/>
        <v>28.494682902639262</v>
      </c>
      <c r="O29" s="1427">
        <v>6122</v>
      </c>
      <c r="P29" s="1425">
        <f t="shared" si="6"/>
        <v>16.865943027164032</v>
      </c>
      <c r="Q29" s="1427">
        <v>1979</v>
      </c>
      <c r="R29" s="1425">
        <f t="shared" si="7"/>
        <v>5.4520910242988592</v>
      </c>
      <c r="S29" s="1427">
        <v>229</v>
      </c>
      <c r="T29" s="1425">
        <f t="shared" si="8"/>
        <v>0.63088875420133339</v>
      </c>
      <c r="U29" s="1427">
        <v>26</v>
      </c>
      <c r="V29" s="1426">
        <f t="shared" si="9"/>
        <v>7.1629290870020387E-2</v>
      </c>
    </row>
    <row r="30" spans="1:22" ht="17.100000000000001" customHeight="1">
      <c r="A30" s="3444"/>
      <c r="B30" s="1402" t="s">
        <v>1767</v>
      </c>
      <c r="C30" s="1427">
        <f t="shared" si="0"/>
        <v>32901</v>
      </c>
      <c r="D30" s="1453">
        <f t="shared" si="0"/>
        <v>100</v>
      </c>
      <c r="E30" s="1427">
        <v>7</v>
      </c>
      <c r="F30" s="1425">
        <f t="shared" si="1"/>
        <v>2.127594905929911E-2</v>
      </c>
      <c r="G30" s="1427">
        <v>2558</v>
      </c>
      <c r="H30" s="1425">
        <f t="shared" si="2"/>
        <v>7.7748396705267311</v>
      </c>
      <c r="I30" s="1427">
        <v>3914</v>
      </c>
      <c r="J30" s="1425">
        <f t="shared" si="3"/>
        <v>11.896294945442387</v>
      </c>
      <c r="K30" s="1427">
        <v>9243</v>
      </c>
      <c r="L30" s="1425">
        <f t="shared" si="4"/>
        <v>28.093371022157381</v>
      </c>
      <c r="M30" s="1427">
        <v>9461</v>
      </c>
      <c r="N30" s="1425">
        <f t="shared" si="5"/>
        <v>28.75596486428984</v>
      </c>
      <c r="O30" s="1427">
        <v>5675</v>
      </c>
      <c r="P30" s="1425">
        <f t="shared" si="6"/>
        <v>17.248715844503206</v>
      </c>
      <c r="Q30" s="1427">
        <v>1808</v>
      </c>
      <c r="R30" s="1425">
        <f t="shared" si="7"/>
        <v>5.4952736998875418</v>
      </c>
      <c r="S30" s="1427">
        <v>212</v>
      </c>
      <c r="T30" s="1425">
        <f t="shared" si="8"/>
        <v>0.64435731436734445</v>
      </c>
      <c r="U30" s="1427">
        <v>23</v>
      </c>
      <c r="V30" s="1426">
        <f t="shared" si="9"/>
        <v>6.9906689766268501E-2</v>
      </c>
    </row>
    <row r="31" spans="1:22" ht="17.100000000000001" customHeight="1">
      <c r="A31" s="3444"/>
      <c r="B31" s="1402" t="s">
        <v>1768</v>
      </c>
      <c r="C31" s="1427">
        <f t="shared" si="0"/>
        <v>3397</v>
      </c>
      <c r="D31" s="1453">
        <f t="shared" si="0"/>
        <v>100.00000000000001</v>
      </c>
      <c r="E31" s="1427" t="s">
        <v>1</v>
      </c>
      <c r="F31" s="1425" t="s">
        <v>1750</v>
      </c>
      <c r="G31" s="1427">
        <v>201</v>
      </c>
      <c r="H31" s="1425">
        <f t="shared" si="2"/>
        <v>5.9169855755078009</v>
      </c>
      <c r="I31" s="1427">
        <v>458</v>
      </c>
      <c r="J31" s="1425">
        <f t="shared" si="3"/>
        <v>13.48248454518693</v>
      </c>
      <c r="K31" s="1427">
        <v>1218</v>
      </c>
      <c r="L31" s="1425">
        <f t="shared" si="4"/>
        <v>35.855166323226378</v>
      </c>
      <c r="M31" s="1427">
        <v>882</v>
      </c>
      <c r="N31" s="1425">
        <f t="shared" si="5"/>
        <v>25.964085958198414</v>
      </c>
      <c r="O31" s="1427">
        <v>447</v>
      </c>
      <c r="P31" s="1425">
        <f t="shared" si="6"/>
        <v>13.158669414188989</v>
      </c>
      <c r="Q31" s="1427">
        <v>171</v>
      </c>
      <c r="R31" s="1425">
        <f t="shared" si="7"/>
        <v>5.0338534000588755</v>
      </c>
      <c r="S31" s="1427">
        <v>17</v>
      </c>
      <c r="T31" s="1425">
        <f t="shared" si="8"/>
        <v>0.50044156608772439</v>
      </c>
      <c r="U31" s="1427">
        <v>3</v>
      </c>
      <c r="V31" s="1426">
        <f t="shared" si="9"/>
        <v>8.8313217544892547E-2</v>
      </c>
    </row>
    <row r="32" spans="1:22" ht="17.100000000000001" customHeight="1">
      <c r="A32" s="3305" t="s">
        <v>1066</v>
      </c>
      <c r="B32" s="1402" t="s">
        <v>1774</v>
      </c>
      <c r="C32" s="1427">
        <f t="shared" si="0"/>
        <v>36161</v>
      </c>
      <c r="D32" s="1453">
        <f t="shared" si="0"/>
        <v>100</v>
      </c>
      <c r="E32" s="1427">
        <v>13</v>
      </c>
      <c r="F32" s="1425">
        <f>E32/C32*100</f>
        <v>3.5950333231934958E-2</v>
      </c>
      <c r="G32" s="1427">
        <v>2681</v>
      </c>
      <c r="H32" s="1425">
        <f t="shared" si="2"/>
        <v>7.4140648765244332</v>
      </c>
      <c r="I32" s="1427">
        <v>4404</v>
      </c>
      <c r="J32" s="1425">
        <f t="shared" si="3"/>
        <v>12.178866734880121</v>
      </c>
      <c r="K32" s="1427">
        <v>9849</v>
      </c>
      <c r="L32" s="1425">
        <f t="shared" si="4"/>
        <v>27.236525538563644</v>
      </c>
      <c r="M32" s="1427">
        <v>10527</v>
      </c>
      <c r="N32" s="1425">
        <f t="shared" si="5"/>
        <v>29.111473687121485</v>
      </c>
      <c r="O32" s="1427">
        <v>6292</v>
      </c>
      <c r="P32" s="1425">
        <f t="shared" si="6"/>
        <v>17.39996128425652</v>
      </c>
      <c r="Q32" s="1427">
        <v>2107</v>
      </c>
      <c r="R32" s="1425">
        <f t="shared" si="7"/>
        <v>5.8267193938220734</v>
      </c>
      <c r="S32" s="1427">
        <v>268</v>
      </c>
      <c r="T32" s="1425">
        <f t="shared" si="8"/>
        <v>0.74112994662758225</v>
      </c>
      <c r="U32" s="1427">
        <v>20</v>
      </c>
      <c r="V32" s="1426">
        <f t="shared" si="9"/>
        <v>5.5308204972207627E-2</v>
      </c>
    </row>
    <row r="33" spans="1:22" ht="17.100000000000001" customHeight="1">
      <c r="A33" s="3444"/>
      <c r="B33" s="1402" t="s">
        <v>1767</v>
      </c>
      <c r="C33" s="1427">
        <f t="shared" si="0"/>
        <v>32692</v>
      </c>
      <c r="D33" s="1453">
        <f t="shared" si="0"/>
        <v>100.00000000000001</v>
      </c>
      <c r="E33" s="1427">
        <v>11</v>
      </c>
      <c r="F33" s="1425">
        <f>E33/C33*100</f>
        <v>3.3647375504710635E-2</v>
      </c>
      <c r="G33" s="1427">
        <v>2477</v>
      </c>
      <c r="H33" s="1425">
        <f t="shared" si="2"/>
        <v>7.5767771931971124</v>
      </c>
      <c r="I33" s="1427">
        <v>3936</v>
      </c>
      <c r="J33" s="1425">
        <f t="shared" si="3"/>
        <v>12.039642726049186</v>
      </c>
      <c r="K33" s="1427">
        <v>8634</v>
      </c>
      <c r="L33" s="1425">
        <f t="shared" si="4"/>
        <v>26.410130918879236</v>
      </c>
      <c r="M33" s="1427">
        <v>9605</v>
      </c>
      <c r="N33" s="1425">
        <f t="shared" si="5"/>
        <v>29.380276520249605</v>
      </c>
      <c r="O33" s="1427">
        <v>5831</v>
      </c>
      <c r="P33" s="1425">
        <f t="shared" si="6"/>
        <v>17.836167869815245</v>
      </c>
      <c r="Q33" s="1427">
        <v>1933</v>
      </c>
      <c r="R33" s="1425">
        <f t="shared" si="7"/>
        <v>5.9127615318732412</v>
      </c>
      <c r="S33" s="1427">
        <v>245</v>
      </c>
      <c r="T33" s="1425">
        <f t="shared" si="8"/>
        <v>0.74941881805946409</v>
      </c>
      <c r="U33" s="1427">
        <v>20</v>
      </c>
      <c r="V33" s="1426">
        <f t="shared" si="9"/>
        <v>6.1177046372201151E-2</v>
      </c>
    </row>
    <row r="34" spans="1:22" ht="17.100000000000001" customHeight="1">
      <c r="A34" s="3444"/>
      <c r="B34" s="1402" t="s">
        <v>1775</v>
      </c>
      <c r="C34" s="1427">
        <f t="shared" si="0"/>
        <v>3469</v>
      </c>
      <c r="D34" s="1453">
        <f t="shared" si="0"/>
        <v>100</v>
      </c>
      <c r="E34" s="1427">
        <v>2</v>
      </c>
      <c r="F34" s="1425">
        <f>E34/C34*100</f>
        <v>5.7653502450273855E-2</v>
      </c>
      <c r="G34" s="1427">
        <v>204</v>
      </c>
      <c r="H34" s="1425">
        <f t="shared" si="2"/>
        <v>5.8806572499279337</v>
      </c>
      <c r="I34" s="1427">
        <v>468</v>
      </c>
      <c r="J34" s="1425">
        <f t="shared" si="3"/>
        <v>13.490919573364083</v>
      </c>
      <c r="K34" s="1427">
        <v>1215</v>
      </c>
      <c r="L34" s="1425">
        <f t="shared" si="4"/>
        <v>35.024502738541372</v>
      </c>
      <c r="M34" s="1427">
        <v>922</v>
      </c>
      <c r="N34" s="1425">
        <f t="shared" si="5"/>
        <v>26.57826462957625</v>
      </c>
      <c r="O34" s="1427">
        <v>461</v>
      </c>
      <c r="P34" s="1425">
        <f t="shared" si="6"/>
        <v>13.289132314788125</v>
      </c>
      <c r="Q34" s="1427">
        <v>174</v>
      </c>
      <c r="R34" s="1425">
        <f t="shared" si="7"/>
        <v>5.0158547131738249</v>
      </c>
      <c r="S34" s="1427">
        <v>23</v>
      </c>
      <c r="T34" s="1425">
        <f t="shared" si="8"/>
        <v>0.66301527817814931</v>
      </c>
      <c r="U34" s="1427" t="s">
        <v>1</v>
      </c>
      <c r="V34" s="1426" t="s">
        <v>1776</v>
      </c>
    </row>
    <row r="35" spans="1:22" ht="17.100000000000001" customHeight="1">
      <c r="A35" s="3305" t="s">
        <v>1067</v>
      </c>
      <c r="B35" s="1402" t="s">
        <v>1777</v>
      </c>
      <c r="C35" s="1427">
        <f t="shared" si="0"/>
        <v>34771</v>
      </c>
      <c r="D35" s="1453">
        <f t="shared" si="0"/>
        <v>99.999999999999986</v>
      </c>
      <c r="E35" s="1427">
        <v>8</v>
      </c>
      <c r="F35" s="1425">
        <f>E35/C35*100</f>
        <v>2.3007678812803772E-2</v>
      </c>
      <c r="G35" s="1427">
        <v>2514</v>
      </c>
      <c r="H35" s="1425">
        <f t="shared" si="2"/>
        <v>7.230163066923585</v>
      </c>
      <c r="I35" s="1427">
        <v>4290</v>
      </c>
      <c r="J35" s="1425">
        <f t="shared" si="3"/>
        <v>12.337867763366022</v>
      </c>
      <c r="K35" s="1427">
        <v>8822</v>
      </c>
      <c r="L35" s="1425">
        <f t="shared" si="4"/>
        <v>25.371717810819362</v>
      </c>
      <c r="M35" s="1427">
        <v>10447</v>
      </c>
      <c r="N35" s="1425">
        <f t="shared" si="5"/>
        <v>30.045152569670126</v>
      </c>
      <c r="O35" s="1427">
        <v>6143</v>
      </c>
      <c r="P35" s="1425">
        <f t="shared" si="6"/>
        <v>17.667021368381697</v>
      </c>
      <c r="Q35" s="1427">
        <v>2200</v>
      </c>
      <c r="R35" s="1425">
        <f t="shared" si="7"/>
        <v>6.3271116735210384</v>
      </c>
      <c r="S35" s="1427">
        <v>321</v>
      </c>
      <c r="T35" s="1425">
        <f t="shared" si="8"/>
        <v>0.9231831123637515</v>
      </c>
      <c r="U35" s="1427">
        <v>26</v>
      </c>
      <c r="V35" s="1426">
        <f>U35/C35*100</f>
        <v>7.4774956141612253E-2</v>
      </c>
    </row>
    <row r="36" spans="1:22" ht="17.100000000000001" customHeight="1">
      <c r="A36" s="3444"/>
      <c r="B36" s="1402" t="s">
        <v>1778</v>
      </c>
      <c r="C36" s="1427">
        <f t="shared" si="0"/>
        <v>31428</v>
      </c>
      <c r="D36" s="1453">
        <f t="shared" si="0"/>
        <v>100</v>
      </c>
      <c r="E36" s="1427">
        <v>8</v>
      </c>
      <c r="F36" s="1425">
        <f>E36/C36*100</f>
        <v>2.5455008272877687E-2</v>
      </c>
      <c r="G36" s="1427">
        <v>2342</v>
      </c>
      <c r="H36" s="1425">
        <f t="shared" si="2"/>
        <v>7.4519536718849437</v>
      </c>
      <c r="I36" s="1427">
        <v>3844</v>
      </c>
      <c r="J36" s="1425">
        <f t="shared" si="3"/>
        <v>12.23113147511773</v>
      </c>
      <c r="K36" s="1427">
        <v>7811</v>
      </c>
      <c r="L36" s="1425">
        <f t="shared" si="4"/>
        <v>24.853633702430951</v>
      </c>
      <c r="M36" s="1427">
        <v>9431</v>
      </c>
      <c r="N36" s="1425">
        <f t="shared" si="5"/>
        <v>30.008272877688686</v>
      </c>
      <c r="O36" s="1427">
        <v>5679</v>
      </c>
      <c r="P36" s="1425">
        <f t="shared" si="6"/>
        <v>18.069873997709049</v>
      </c>
      <c r="Q36" s="1427">
        <v>2002</v>
      </c>
      <c r="R36" s="1425">
        <f t="shared" si="7"/>
        <v>6.3701158202876416</v>
      </c>
      <c r="S36" s="1427">
        <v>286</v>
      </c>
      <c r="T36" s="1425">
        <f t="shared" si="8"/>
        <v>0.91001654575537727</v>
      </c>
      <c r="U36" s="1427">
        <v>25</v>
      </c>
      <c r="V36" s="1426">
        <f>U36/C36*100</f>
        <v>7.9546900852742783E-2</v>
      </c>
    </row>
    <row r="37" spans="1:22" ht="17.100000000000001" customHeight="1">
      <c r="A37" s="2983"/>
      <c r="B37" s="1412" t="s">
        <v>1779</v>
      </c>
      <c r="C37" s="1454">
        <f t="shared" si="0"/>
        <v>3343</v>
      </c>
      <c r="D37" s="1455">
        <f t="shared" si="0"/>
        <v>100</v>
      </c>
      <c r="E37" s="1454" t="s">
        <v>1</v>
      </c>
      <c r="F37" s="1430" t="s">
        <v>1776</v>
      </c>
      <c r="G37" s="1454">
        <v>172</v>
      </c>
      <c r="H37" s="1430">
        <f t="shared" si="2"/>
        <v>5.1450792701166623</v>
      </c>
      <c r="I37" s="1454">
        <v>446</v>
      </c>
      <c r="J37" s="1430">
        <f t="shared" si="3"/>
        <v>13.341310200418786</v>
      </c>
      <c r="K37" s="1454">
        <v>1011</v>
      </c>
      <c r="L37" s="1430">
        <f t="shared" si="4"/>
        <v>30.242297337720608</v>
      </c>
      <c r="M37" s="1454">
        <v>1016</v>
      </c>
      <c r="N37" s="1430">
        <f t="shared" si="5"/>
        <v>30.391863595572836</v>
      </c>
      <c r="O37" s="1454">
        <v>464</v>
      </c>
      <c r="P37" s="1430">
        <f t="shared" si="6"/>
        <v>13.879748728686808</v>
      </c>
      <c r="Q37" s="1454">
        <v>198</v>
      </c>
      <c r="R37" s="1430">
        <f t="shared" si="7"/>
        <v>5.9228238109482501</v>
      </c>
      <c r="S37" s="1454">
        <v>35</v>
      </c>
      <c r="T37" s="1430">
        <f t="shared" si="8"/>
        <v>1.0469638049655998</v>
      </c>
      <c r="U37" s="1454">
        <v>1</v>
      </c>
      <c r="V37" s="1431">
        <f>U37/C37*100</f>
        <v>2.9913251570445706E-2</v>
      </c>
    </row>
    <row r="38" spans="1:22">
      <c r="A38" s="1456" t="s">
        <v>846</v>
      </c>
      <c r="B38" s="1457"/>
      <c r="C38" s="1458"/>
      <c r="E38" s="1459"/>
    </row>
    <row r="39" spans="1:22">
      <c r="E39" s="1459"/>
    </row>
    <row r="40" spans="1:22">
      <c r="E40" s="1459"/>
    </row>
  </sheetData>
  <mergeCells count="14">
    <mergeCell ref="A32:A34"/>
    <mergeCell ref="A35:A37"/>
    <mergeCell ref="A14:A16"/>
    <mergeCell ref="A17:A19"/>
    <mergeCell ref="A20:A22"/>
    <mergeCell ref="A23:A25"/>
    <mergeCell ref="A26:A28"/>
    <mergeCell ref="A29:A31"/>
    <mergeCell ref="A11:A13"/>
    <mergeCell ref="A1:V1"/>
    <mergeCell ref="A3:B7"/>
    <mergeCell ref="C3:C7"/>
    <mergeCell ref="U3:U7"/>
    <mergeCell ref="A8:A10"/>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48" orientation="landscape" r:id="rId1"/>
  <headerFooter differentOddEven="1" scaleWithDoc="0">
    <oddHeader>&amp;L&amp;"Times New Roman,標準"&amp;8 107&amp;"標楷體,標準"年犯罪狀況及其分析</oddHeader>
    <evenHeader>&amp;R&amp;"標楷體,標準"&amp;8第二篇　犯罪之處理</even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P37"/>
  <sheetViews>
    <sheetView showGridLines="0" zoomScale="62" zoomScaleNormal="80" workbookViewId="0">
      <pane xSplit="1" topLeftCell="B1" activePane="topRight" state="frozen"/>
      <selection activeCell="T16" sqref="T16"/>
      <selection pane="topRight" activeCell="G42" sqref="G42"/>
    </sheetView>
  </sheetViews>
  <sheetFormatPr defaultColWidth="8.875" defaultRowHeight="15.75"/>
  <cols>
    <col min="1" max="1" width="22.625" style="28" customWidth="1"/>
    <col min="2" max="16" width="17.625" style="28" customWidth="1"/>
    <col min="17" max="16384" width="8.875" style="28"/>
  </cols>
  <sheetData>
    <row r="1" spans="1:16" ht="35.1" customHeight="1">
      <c r="A1" s="2856" t="s">
        <v>275</v>
      </c>
      <c r="B1" s="2856"/>
      <c r="C1" s="2856"/>
      <c r="D1" s="2856"/>
      <c r="E1" s="2856"/>
      <c r="F1" s="2856"/>
      <c r="G1" s="2856"/>
      <c r="H1" s="2856"/>
      <c r="I1" s="2856"/>
      <c r="J1" s="2856"/>
      <c r="K1" s="2856"/>
      <c r="L1" s="2856"/>
      <c r="M1" s="2856"/>
      <c r="N1" s="2856"/>
      <c r="O1" s="2856"/>
      <c r="P1" s="2856"/>
    </row>
    <row r="2" spans="1:16" ht="19.5">
      <c r="A2" s="218"/>
      <c r="B2" s="219"/>
      <c r="C2" s="219"/>
      <c r="D2" s="220"/>
      <c r="E2" s="220"/>
      <c r="F2" s="219"/>
      <c r="G2" s="219"/>
      <c r="H2" s="220"/>
      <c r="I2" s="220"/>
      <c r="J2" s="220"/>
      <c r="K2" s="220"/>
      <c r="L2" s="220"/>
      <c r="M2" s="220"/>
      <c r="N2" s="220"/>
      <c r="O2" s="2857" t="s">
        <v>235</v>
      </c>
      <c r="P2" s="2857"/>
    </row>
    <row r="3" spans="1:16" ht="30" customHeight="1">
      <c r="A3" s="2862"/>
      <c r="B3" s="2858" t="s">
        <v>276</v>
      </c>
      <c r="C3" s="2859"/>
      <c r="D3" s="2861"/>
      <c r="E3" s="2858" t="s">
        <v>277</v>
      </c>
      <c r="F3" s="2859"/>
      <c r="G3" s="2861"/>
      <c r="H3" s="2858" t="s">
        <v>278</v>
      </c>
      <c r="I3" s="2859"/>
      <c r="J3" s="2859"/>
      <c r="K3" s="2858" t="s">
        <v>279</v>
      </c>
      <c r="L3" s="2859"/>
      <c r="M3" s="2859"/>
      <c r="N3" s="2864" t="s">
        <v>280</v>
      </c>
      <c r="O3" s="2865"/>
      <c r="P3" s="2865"/>
    </row>
    <row r="4" spans="1:16" ht="30" customHeight="1">
      <c r="A4" s="2863"/>
      <c r="B4" s="221" t="s">
        <v>241</v>
      </c>
      <c r="C4" s="307" t="s">
        <v>242</v>
      </c>
      <c r="D4" s="306" t="s">
        <v>243</v>
      </c>
      <c r="E4" s="221" t="s">
        <v>241</v>
      </c>
      <c r="F4" s="307" t="s">
        <v>242</v>
      </c>
      <c r="G4" s="306" t="s">
        <v>243</v>
      </c>
      <c r="H4" s="221" t="s">
        <v>241</v>
      </c>
      <c r="I4" s="307" t="s">
        <v>242</v>
      </c>
      <c r="J4" s="306" t="s">
        <v>243</v>
      </c>
      <c r="K4" s="221" t="s">
        <v>241</v>
      </c>
      <c r="L4" s="307" t="s">
        <v>242</v>
      </c>
      <c r="M4" s="306" t="s">
        <v>243</v>
      </c>
      <c r="N4" s="221" t="s">
        <v>241</v>
      </c>
      <c r="O4" s="307" t="s">
        <v>242</v>
      </c>
      <c r="P4" s="306" t="s">
        <v>243</v>
      </c>
    </row>
    <row r="5" spans="1:16" ht="30" customHeight="1">
      <c r="A5" s="330" t="s">
        <v>244</v>
      </c>
      <c r="B5" s="223">
        <v>184810</v>
      </c>
      <c r="C5" s="223">
        <v>151993</v>
      </c>
      <c r="D5" s="223">
        <v>32817</v>
      </c>
      <c r="E5" s="223">
        <v>183411</v>
      </c>
      <c r="F5" s="223">
        <v>150087</v>
      </c>
      <c r="G5" s="223">
        <v>33324</v>
      </c>
      <c r="H5" s="223">
        <v>191862</v>
      </c>
      <c r="I5" s="223">
        <v>156296</v>
      </c>
      <c r="J5" s="223">
        <v>35566</v>
      </c>
      <c r="K5" s="223">
        <v>195965</v>
      </c>
      <c r="L5" s="223">
        <v>158289</v>
      </c>
      <c r="M5" s="233">
        <v>37676</v>
      </c>
      <c r="N5" s="223">
        <v>195498</v>
      </c>
      <c r="O5" s="223">
        <v>157053</v>
      </c>
      <c r="P5" s="233">
        <v>38445</v>
      </c>
    </row>
    <row r="6" spans="1:16" ht="30" customHeight="1">
      <c r="A6" s="330" t="s">
        <v>245</v>
      </c>
      <c r="B6" s="231">
        <v>70305</v>
      </c>
      <c r="C6" s="232">
        <v>63821</v>
      </c>
      <c r="D6" s="232">
        <v>6484</v>
      </c>
      <c r="E6" s="227">
        <v>67654</v>
      </c>
      <c r="F6" s="227">
        <v>61095</v>
      </c>
      <c r="G6" s="228">
        <v>6559</v>
      </c>
      <c r="H6" s="231">
        <v>67874</v>
      </c>
      <c r="I6" s="232">
        <v>61083</v>
      </c>
      <c r="J6" s="232">
        <v>6791</v>
      </c>
      <c r="K6" s="231">
        <v>65176</v>
      </c>
      <c r="L6" s="232">
        <v>58394</v>
      </c>
      <c r="M6" s="232">
        <v>6782</v>
      </c>
      <c r="N6" s="231">
        <v>59918</v>
      </c>
      <c r="O6" s="232">
        <v>53563</v>
      </c>
      <c r="P6" s="232">
        <v>6355</v>
      </c>
    </row>
    <row r="7" spans="1:16" ht="30" customHeight="1">
      <c r="A7" s="330" t="s">
        <v>246</v>
      </c>
      <c r="B7" s="225">
        <v>33913</v>
      </c>
      <c r="C7" s="226">
        <v>27603</v>
      </c>
      <c r="D7" s="226">
        <v>6310</v>
      </c>
      <c r="E7" s="227">
        <v>31543</v>
      </c>
      <c r="F7" s="227">
        <v>25487</v>
      </c>
      <c r="G7" s="228">
        <v>6056</v>
      </c>
      <c r="H7" s="225">
        <v>32204</v>
      </c>
      <c r="I7" s="226">
        <v>25725</v>
      </c>
      <c r="J7" s="226">
        <v>6479</v>
      </c>
      <c r="K7" s="225">
        <v>32028</v>
      </c>
      <c r="L7" s="226">
        <v>25164</v>
      </c>
      <c r="M7" s="226">
        <v>6864</v>
      </c>
      <c r="N7" s="225">
        <v>31398</v>
      </c>
      <c r="O7" s="226">
        <v>24687</v>
      </c>
      <c r="P7" s="226">
        <v>6711</v>
      </c>
    </row>
    <row r="8" spans="1:16" ht="30" customHeight="1">
      <c r="A8" s="330" t="s">
        <v>247</v>
      </c>
      <c r="B8" s="225">
        <v>17283</v>
      </c>
      <c r="C8" s="226">
        <v>11880</v>
      </c>
      <c r="D8" s="226">
        <v>5403</v>
      </c>
      <c r="E8" s="227">
        <v>20321</v>
      </c>
      <c r="F8" s="227">
        <v>14350</v>
      </c>
      <c r="G8" s="228">
        <v>5971</v>
      </c>
      <c r="H8" s="225">
        <v>24330</v>
      </c>
      <c r="I8" s="226">
        <v>17239</v>
      </c>
      <c r="J8" s="226">
        <v>7091</v>
      </c>
      <c r="K8" s="225">
        <v>27237</v>
      </c>
      <c r="L8" s="226">
        <v>19034</v>
      </c>
      <c r="M8" s="226">
        <v>8203</v>
      </c>
      <c r="N8" s="225">
        <v>29581</v>
      </c>
      <c r="O8" s="226">
        <v>20497</v>
      </c>
      <c r="P8" s="226">
        <v>9084</v>
      </c>
    </row>
    <row r="9" spans="1:16" ht="30" customHeight="1">
      <c r="A9" s="330" t="s">
        <v>248</v>
      </c>
      <c r="B9" s="225">
        <v>13278</v>
      </c>
      <c r="C9" s="226">
        <v>10835</v>
      </c>
      <c r="D9" s="226">
        <v>2443</v>
      </c>
      <c r="E9" s="227">
        <v>15052</v>
      </c>
      <c r="F9" s="227">
        <v>12370</v>
      </c>
      <c r="G9" s="228">
        <v>2682</v>
      </c>
      <c r="H9" s="225">
        <v>15442</v>
      </c>
      <c r="I9" s="226">
        <v>12813</v>
      </c>
      <c r="J9" s="226">
        <v>2629</v>
      </c>
      <c r="K9" s="225">
        <v>16111</v>
      </c>
      <c r="L9" s="226">
        <v>13281</v>
      </c>
      <c r="M9" s="226">
        <v>2830</v>
      </c>
      <c r="N9" s="225">
        <v>18330</v>
      </c>
      <c r="O9" s="226">
        <v>15269</v>
      </c>
      <c r="P9" s="226">
        <v>3061</v>
      </c>
    </row>
    <row r="10" spans="1:16" ht="30" customHeight="1">
      <c r="A10" s="330" t="s">
        <v>250</v>
      </c>
      <c r="B10" s="229">
        <v>6420</v>
      </c>
      <c r="C10" s="230">
        <v>5260</v>
      </c>
      <c r="D10" s="230">
        <v>1160</v>
      </c>
      <c r="E10" s="229">
        <v>7442</v>
      </c>
      <c r="F10" s="229">
        <v>6186</v>
      </c>
      <c r="G10" s="235">
        <v>1256</v>
      </c>
      <c r="H10" s="229">
        <v>8535</v>
      </c>
      <c r="I10" s="230">
        <v>7064</v>
      </c>
      <c r="J10" s="230">
        <v>1471</v>
      </c>
      <c r="K10" s="229">
        <v>9731</v>
      </c>
      <c r="L10" s="230">
        <v>8109</v>
      </c>
      <c r="M10" s="230">
        <v>1622</v>
      </c>
      <c r="N10" s="229">
        <v>10921</v>
      </c>
      <c r="O10" s="230">
        <v>9093</v>
      </c>
      <c r="P10" s="230">
        <v>1828</v>
      </c>
    </row>
    <row r="11" spans="1:16" ht="30" customHeight="1">
      <c r="A11" s="330" t="s">
        <v>249</v>
      </c>
      <c r="B11" s="225">
        <v>13366</v>
      </c>
      <c r="C11" s="226">
        <v>9412</v>
      </c>
      <c r="D11" s="226">
        <v>3954</v>
      </c>
      <c r="E11" s="227">
        <v>11251</v>
      </c>
      <c r="F11" s="227">
        <v>7437</v>
      </c>
      <c r="G11" s="228">
        <v>3814</v>
      </c>
      <c r="H11" s="225">
        <v>11038</v>
      </c>
      <c r="I11" s="226">
        <v>7527</v>
      </c>
      <c r="J11" s="226">
        <v>3511</v>
      </c>
      <c r="K11" s="225">
        <v>9988</v>
      </c>
      <c r="L11" s="226">
        <v>7374</v>
      </c>
      <c r="M11" s="226">
        <v>2614</v>
      </c>
      <c r="N11" s="225">
        <v>9792</v>
      </c>
      <c r="O11" s="226">
        <v>7184</v>
      </c>
      <c r="P11" s="226">
        <v>2608</v>
      </c>
    </row>
    <row r="12" spans="1:16" ht="30" customHeight="1">
      <c r="A12" s="330" t="s">
        <v>251</v>
      </c>
      <c r="B12" s="229">
        <v>4030</v>
      </c>
      <c r="C12" s="230">
        <v>2634</v>
      </c>
      <c r="D12" s="230">
        <v>1396</v>
      </c>
      <c r="E12" s="229">
        <v>4617</v>
      </c>
      <c r="F12" s="229">
        <v>2964</v>
      </c>
      <c r="G12" s="235">
        <v>1653</v>
      </c>
      <c r="H12" s="229">
        <v>5957</v>
      </c>
      <c r="I12" s="230">
        <v>3827</v>
      </c>
      <c r="J12" s="230">
        <v>2130</v>
      </c>
      <c r="K12" s="229">
        <v>6849</v>
      </c>
      <c r="L12" s="230">
        <v>4542</v>
      </c>
      <c r="M12" s="230">
        <v>2307</v>
      </c>
      <c r="N12" s="229">
        <v>7302</v>
      </c>
      <c r="O12" s="230">
        <v>4678</v>
      </c>
      <c r="P12" s="230">
        <v>2624</v>
      </c>
    </row>
    <row r="13" spans="1:16" ht="30" customHeight="1">
      <c r="A13" s="330" t="s">
        <v>252</v>
      </c>
      <c r="B13" s="225">
        <v>3283</v>
      </c>
      <c r="C13" s="226">
        <v>2174</v>
      </c>
      <c r="D13" s="226">
        <v>1109</v>
      </c>
      <c r="E13" s="227">
        <v>3716</v>
      </c>
      <c r="F13" s="227">
        <v>2586</v>
      </c>
      <c r="G13" s="228">
        <v>1130</v>
      </c>
      <c r="H13" s="225">
        <v>4237</v>
      </c>
      <c r="I13" s="226">
        <v>2905</v>
      </c>
      <c r="J13" s="226">
        <v>1332</v>
      </c>
      <c r="K13" s="225">
        <v>5154</v>
      </c>
      <c r="L13" s="226">
        <v>3609</v>
      </c>
      <c r="M13" s="226">
        <v>1545</v>
      </c>
      <c r="N13" s="225">
        <v>5639</v>
      </c>
      <c r="O13" s="226">
        <v>3896</v>
      </c>
      <c r="P13" s="226">
        <v>1743</v>
      </c>
    </row>
    <row r="14" spans="1:16" ht="30" customHeight="1">
      <c r="A14" s="330" t="s">
        <v>253</v>
      </c>
      <c r="B14" s="229">
        <v>2845</v>
      </c>
      <c r="C14" s="230">
        <v>2381</v>
      </c>
      <c r="D14" s="230">
        <v>464</v>
      </c>
      <c r="E14" s="229">
        <v>3396</v>
      </c>
      <c r="F14" s="229">
        <v>2835</v>
      </c>
      <c r="G14" s="235">
        <v>561</v>
      </c>
      <c r="H14" s="229">
        <v>3872</v>
      </c>
      <c r="I14" s="230">
        <v>3271</v>
      </c>
      <c r="J14" s="230">
        <v>601</v>
      </c>
      <c r="K14" s="229">
        <v>4367</v>
      </c>
      <c r="L14" s="230">
        <v>3685</v>
      </c>
      <c r="M14" s="230">
        <v>682</v>
      </c>
      <c r="N14" s="229">
        <v>4838</v>
      </c>
      <c r="O14" s="230">
        <v>4052</v>
      </c>
      <c r="P14" s="230">
        <v>786</v>
      </c>
    </row>
    <row r="15" spans="1:16" ht="30" customHeight="1">
      <c r="A15" s="330" t="s">
        <v>254</v>
      </c>
      <c r="B15" s="225">
        <v>2744</v>
      </c>
      <c r="C15" s="226">
        <v>2688</v>
      </c>
      <c r="D15" s="226">
        <v>56</v>
      </c>
      <c r="E15" s="227">
        <v>2827</v>
      </c>
      <c r="F15" s="227">
        <v>2747</v>
      </c>
      <c r="G15" s="228">
        <v>80</v>
      </c>
      <c r="H15" s="225">
        <v>2617</v>
      </c>
      <c r="I15" s="226">
        <v>2562</v>
      </c>
      <c r="J15" s="226">
        <v>55</v>
      </c>
      <c r="K15" s="225">
        <v>2706</v>
      </c>
      <c r="L15" s="226">
        <v>2646</v>
      </c>
      <c r="M15" s="226">
        <v>60</v>
      </c>
      <c r="N15" s="225">
        <v>2827</v>
      </c>
      <c r="O15" s="226">
        <v>2763</v>
      </c>
      <c r="P15" s="226">
        <v>64</v>
      </c>
    </row>
    <row r="16" spans="1:16" ht="30" customHeight="1">
      <c r="A16" s="330" t="s">
        <v>255</v>
      </c>
      <c r="B16" s="229">
        <v>2531</v>
      </c>
      <c r="C16" s="230">
        <v>1683</v>
      </c>
      <c r="D16" s="230">
        <v>848</v>
      </c>
      <c r="E16" s="229">
        <v>2653</v>
      </c>
      <c r="F16" s="229">
        <v>1742</v>
      </c>
      <c r="G16" s="235">
        <v>911</v>
      </c>
      <c r="H16" s="229">
        <v>2820</v>
      </c>
      <c r="I16" s="230">
        <v>1885</v>
      </c>
      <c r="J16" s="230">
        <v>935</v>
      </c>
      <c r="K16" s="229">
        <v>2668</v>
      </c>
      <c r="L16" s="230">
        <v>1715</v>
      </c>
      <c r="M16" s="230">
        <v>953</v>
      </c>
      <c r="N16" s="229">
        <v>2671</v>
      </c>
      <c r="O16" s="230">
        <v>1734</v>
      </c>
      <c r="P16" s="230">
        <v>937</v>
      </c>
    </row>
    <row r="17" spans="1:16" ht="30" customHeight="1">
      <c r="A17" s="330" t="s">
        <v>257</v>
      </c>
      <c r="B17" s="229">
        <v>1277</v>
      </c>
      <c r="C17" s="230">
        <v>1117</v>
      </c>
      <c r="D17" s="230">
        <v>160</v>
      </c>
      <c r="E17" s="229">
        <v>1432</v>
      </c>
      <c r="F17" s="229">
        <v>1283</v>
      </c>
      <c r="G17" s="235">
        <v>149</v>
      </c>
      <c r="H17" s="229">
        <v>1534</v>
      </c>
      <c r="I17" s="230">
        <v>1368</v>
      </c>
      <c r="J17" s="230">
        <v>166</v>
      </c>
      <c r="K17" s="229">
        <v>1585</v>
      </c>
      <c r="L17" s="230">
        <v>1398</v>
      </c>
      <c r="M17" s="230">
        <v>187</v>
      </c>
      <c r="N17" s="229">
        <v>1565</v>
      </c>
      <c r="O17" s="230">
        <v>1357</v>
      </c>
      <c r="P17" s="230">
        <v>208</v>
      </c>
    </row>
    <row r="18" spans="1:16" ht="30" customHeight="1">
      <c r="A18" s="330" t="s">
        <v>256</v>
      </c>
      <c r="B18" s="229">
        <v>2483</v>
      </c>
      <c r="C18" s="230">
        <v>1665</v>
      </c>
      <c r="D18" s="230">
        <v>818</v>
      </c>
      <c r="E18" s="229">
        <v>1801</v>
      </c>
      <c r="F18" s="229">
        <v>1228</v>
      </c>
      <c r="G18" s="235">
        <v>573</v>
      </c>
      <c r="H18" s="229">
        <v>1682</v>
      </c>
      <c r="I18" s="230">
        <v>1132</v>
      </c>
      <c r="J18" s="230">
        <v>550</v>
      </c>
      <c r="K18" s="229">
        <v>1743</v>
      </c>
      <c r="L18" s="230">
        <v>1246</v>
      </c>
      <c r="M18" s="230">
        <v>497</v>
      </c>
      <c r="N18" s="229">
        <v>1372</v>
      </c>
      <c r="O18" s="230">
        <v>946</v>
      </c>
      <c r="P18" s="230">
        <v>426</v>
      </c>
    </row>
    <row r="19" spans="1:16" ht="30" customHeight="1">
      <c r="A19" s="330" t="s">
        <v>258</v>
      </c>
      <c r="B19" s="225">
        <v>1150</v>
      </c>
      <c r="C19" s="226">
        <v>1006</v>
      </c>
      <c r="D19" s="226">
        <v>144</v>
      </c>
      <c r="E19" s="227">
        <v>1153</v>
      </c>
      <c r="F19" s="227">
        <v>1024</v>
      </c>
      <c r="G19" s="228">
        <v>129</v>
      </c>
      <c r="H19" s="225">
        <v>1217</v>
      </c>
      <c r="I19" s="226">
        <v>1103</v>
      </c>
      <c r="J19" s="226">
        <v>114</v>
      </c>
      <c r="K19" s="225">
        <v>1150</v>
      </c>
      <c r="L19" s="226">
        <v>1020</v>
      </c>
      <c r="M19" s="226">
        <v>130</v>
      </c>
      <c r="N19" s="225">
        <v>992</v>
      </c>
      <c r="O19" s="226">
        <v>874</v>
      </c>
      <c r="P19" s="226">
        <v>118</v>
      </c>
    </row>
    <row r="20" spans="1:16" ht="30" customHeight="1">
      <c r="A20" s="330" t="s">
        <v>264</v>
      </c>
      <c r="B20" s="225">
        <v>1967</v>
      </c>
      <c r="C20" s="226">
        <v>1668</v>
      </c>
      <c r="D20" s="226">
        <v>299</v>
      </c>
      <c r="E20" s="227">
        <v>1587</v>
      </c>
      <c r="F20" s="227">
        <v>1370</v>
      </c>
      <c r="G20" s="228">
        <v>217</v>
      </c>
      <c r="H20" s="225">
        <v>1230</v>
      </c>
      <c r="I20" s="226">
        <v>1068</v>
      </c>
      <c r="J20" s="226">
        <v>162</v>
      </c>
      <c r="K20" s="225">
        <v>621</v>
      </c>
      <c r="L20" s="226">
        <v>543</v>
      </c>
      <c r="M20" s="226">
        <v>78</v>
      </c>
      <c r="N20" s="225">
        <v>963</v>
      </c>
      <c r="O20" s="226">
        <v>828</v>
      </c>
      <c r="P20" s="226">
        <v>134</v>
      </c>
    </row>
    <row r="21" spans="1:16" ht="30" customHeight="1">
      <c r="A21" s="330" t="s">
        <v>259</v>
      </c>
      <c r="B21" s="225">
        <v>605</v>
      </c>
      <c r="C21" s="226">
        <v>376</v>
      </c>
      <c r="D21" s="226">
        <v>229</v>
      </c>
      <c r="E21" s="227">
        <v>684</v>
      </c>
      <c r="F21" s="227">
        <v>466</v>
      </c>
      <c r="G21" s="228">
        <v>218</v>
      </c>
      <c r="H21" s="225">
        <v>774</v>
      </c>
      <c r="I21" s="226">
        <v>555</v>
      </c>
      <c r="J21" s="226">
        <v>219</v>
      </c>
      <c r="K21" s="225">
        <v>932</v>
      </c>
      <c r="L21" s="226">
        <v>629</v>
      </c>
      <c r="M21" s="226">
        <v>303</v>
      </c>
      <c r="N21" s="225">
        <v>888</v>
      </c>
      <c r="O21" s="226">
        <v>622</v>
      </c>
      <c r="P21" s="226">
        <v>226</v>
      </c>
    </row>
    <row r="22" spans="1:16" ht="30" customHeight="1">
      <c r="A22" s="330" t="s">
        <v>261</v>
      </c>
      <c r="B22" s="229">
        <v>728</v>
      </c>
      <c r="C22" s="230">
        <v>412</v>
      </c>
      <c r="D22" s="230">
        <v>316</v>
      </c>
      <c r="E22" s="229">
        <v>773</v>
      </c>
      <c r="F22" s="229">
        <v>440</v>
      </c>
      <c r="G22" s="235">
        <v>333</v>
      </c>
      <c r="H22" s="229">
        <v>743</v>
      </c>
      <c r="I22" s="230">
        <v>396</v>
      </c>
      <c r="J22" s="230">
        <v>347</v>
      </c>
      <c r="K22" s="229">
        <v>795</v>
      </c>
      <c r="L22" s="230">
        <v>435</v>
      </c>
      <c r="M22" s="230">
        <v>360</v>
      </c>
      <c r="N22" s="229">
        <v>849</v>
      </c>
      <c r="O22" s="230">
        <v>465</v>
      </c>
      <c r="P22" s="230">
        <v>384</v>
      </c>
    </row>
    <row r="23" spans="1:16" ht="30" customHeight="1">
      <c r="A23" s="330" t="s">
        <v>260</v>
      </c>
      <c r="B23" s="229">
        <v>961</v>
      </c>
      <c r="C23" s="230">
        <v>722</v>
      </c>
      <c r="D23" s="230">
        <v>239</v>
      </c>
      <c r="E23" s="229">
        <v>879</v>
      </c>
      <c r="F23" s="229">
        <v>655</v>
      </c>
      <c r="G23" s="235">
        <v>224</v>
      </c>
      <c r="H23" s="229">
        <v>787</v>
      </c>
      <c r="I23" s="230">
        <v>579</v>
      </c>
      <c r="J23" s="230">
        <v>208</v>
      </c>
      <c r="K23" s="229">
        <v>838</v>
      </c>
      <c r="L23" s="230">
        <v>602</v>
      </c>
      <c r="M23" s="230">
        <v>236</v>
      </c>
      <c r="N23" s="229">
        <v>704</v>
      </c>
      <c r="O23" s="230">
        <v>498</v>
      </c>
      <c r="P23" s="230">
        <v>206</v>
      </c>
    </row>
    <row r="24" spans="1:16" ht="30" customHeight="1">
      <c r="A24" s="330" t="s">
        <v>262</v>
      </c>
      <c r="B24" s="225">
        <v>794</v>
      </c>
      <c r="C24" s="225">
        <v>750</v>
      </c>
      <c r="D24" s="225">
        <v>44</v>
      </c>
      <c r="E24" s="227">
        <v>766</v>
      </c>
      <c r="F24" s="227">
        <v>710</v>
      </c>
      <c r="G24" s="227">
        <v>56</v>
      </c>
      <c r="H24" s="225">
        <v>765</v>
      </c>
      <c r="I24" s="225">
        <v>715</v>
      </c>
      <c r="J24" s="225">
        <v>50</v>
      </c>
      <c r="K24" s="225">
        <v>760</v>
      </c>
      <c r="L24" s="225">
        <v>719</v>
      </c>
      <c r="M24" s="226">
        <v>41</v>
      </c>
      <c r="N24" s="225">
        <v>695</v>
      </c>
      <c r="O24" s="225">
        <v>653</v>
      </c>
      <c r="P24" s="226">
        <v>42</v>
      </c>
    </row>
    <row r="25" spans="1:16" ht="30" customHeight="1">
      <c r="A25" s="330" t="s">
        <v>263</v>
      </c>
      <c r="B25" s="229">
        <v>134</v>
      </c>
      <c r="C25" s="229">
        <v>119</v>
      </c>
      <c r="D25" s="229">
        <v>15</v>
      </c>
      <c r="E25" s="229">
        <v>144</v>
      </c>
      <c r="F25" s="229">
        <v>128</v>
      </c>
      <c r="G25" s="229">
        <v>16</v>
      </c>
      <c r="H25" s="229">
        <v>559</v>
      </c>
      <c r="I25" s="229">
        <v>521</v>
      </c>
      <c r="J25" s="229">
        <v>38</v>
      </c>
      <c r="K25" s="229">
        <v>725</v>
      </c>
      <c r="L25" s="229">
        <v>675</v>
      </c>
      <c r="M25" s="230">
        <v>50</v>
      </c>
      <c r="N25" s="229">
        <v>680</v>
      </c>
      <c r="O25" s="229">
        <v>633</v>
      </c>
      <c r="P25" s="230">
        <v>47</v>
      </c>
    </row>
    <row r="26" spans="1:16" ht="30" customHeight="1">
      <c r="A26" s="330" t="s">
        <v>265</v>
      </c>
      <c r="B26" s="229">
        <v>488</v>
      </c>
      <c r="C26" s="229">
        <v>386</v>
      </c>
      <c r="D26" s="229">
        <v>102</v>
      </c>
      <c r="E26" s="229">
        <v>491</v>
      </c>
      <c r="F26" s="229">
        <v>393</v>
      </c>
      <c r="G26" s="229">
        <v>98</v>
      </c>
      <c r="H26" s="229">
        <v>536</v>
      </c>
      <c r="I26" s="229">
        <v>438</v>
      </c>
      <c r="J26" s="229">
        <v>98</v>
      </c>
      <c r="K26" s="229">
        <v>574</v>
      </c>
      <c r="L26" s="229">
        <v>465</v>
      </c>
      <c r="M26" s="230">
        <v>109</v>
      </c>
      <c r="N26" s="229">
        <v>678</v>
      </c>
      <c r="O26" s="229">
        <v>563</v>
      </c>
      <c r="P26" s="230">
        <v>115</v>
      </c>
    </row>
    <row r="27" spans="1:16" ht="30" customHeight="1">
      <c r="A27" s="330" t="s">
        <v>267</v>
      </c>
      <c r="B27" s="225">
        <v>451</v>
      </c>
      <c r="C27" s="225">
        <v>326</v>
      </c>
      <c r="D27" s="225">
        <v>125</v>
      </c>
      <c r="E27" s="227">
        <v>410</v>
      </c>
      <c r="F27" s="227">
        <v>293</v>
      </c>
      <c r="G27" s="227">
        <v>117</v>
      </c>
      <c r="H27" s="225">
        <v>447</v>
      </c>
      <c r="I27" s="225">
        <v>344</v>
      </c>
      <c r="J27" s="225">
        <v>103</v>
      </c>
      <c r="K27" s="225">
        <v>446</v>
      </c>
      <c r="L27" s="225">
        <v>319</v>
      </c>
      <c r="M27" s="226">
        <v>127</v>
      </c>
      <c r="N27" s="225">
        <v>553</v>
      </c>
      <c r="O27" s="225">
        <v>432</v>
      </c>
      <c r="P27" s="226">
        <v>121</v>
      </c>
    </row>
    <row r="28" spans="1:16" ht="30" customHeight="1">
      <c r="A28" s="330" t="s">
        <v>266</v>
      </c>
      <c r="B28" s="229">
        <v>426</v>
      </c>
      <c r="C28" s="229">
        <v>256</v>
      </c>
      <c r="D28" s="229">
        <v>170</v>
      </c>
      <c r="E28" s="229">
        <v>428</v>
      </c>
      <c r="F28" s="229">
        <v>277</v>
      </c>
      <c r="G28" s="229">
        <v>151</v>
      </c>
      <c r="H28" s="229">
        <v>424</v>
      </c>
      <c r="I28" s="229">
        <v>260</v>
      </c>
      <c r="J28" s="229">
        <v>164</v>
      </c>
      <c r="K28" s="229">
        <v>453</v>
      </c>
      <c r="L28" s="229">
        <v>279</v>
      </c>
      <c r="M28" s="230">
        <v>174</v>
      </c>
      <c r="N28" s="229">
        <v>435</v>
      </c>
      <c r="O28" s="229">
        <v>266</v>
      </c>
      <c r="P28" s="230">
        <v>169</v>
      </c>
    </row>
    <row r="29" spans="1:16" ht="30" customHeight="1">
      <c r="A29" s="330" t="s">
        <v>268</v>
      </c>
      <c r="B29" s="225">
        <v>552</v>
      </c>
      <c r="C29" s="225">
        <v>514</v>
      </c>
      <c r="D29" s="225">
        <v>38</v>
      </c>
      <c r="E29" s="227">
        <v>493</v>
      </c>
      <c r="F29" s="227">
        <v>454</v>
      </c>
      <c r="G29" s="227">
        <v>39</v>
      </c>
      <c r="H29" s="225">
        <v>463</v>
      </c>
      <c r="I29" s="225">
        <v>432</v>
      </c>
      <c r="J29" s="225">
        <v>31</v>
      </c>
      <c r="K29" s="225">
        <v>362</v>
      </c>
      <c r="L29" s="225">
        <v>328</v>
      </c>
      <c r="M29" s="226">
        <v>34</v>
      </c>
      <c r="N29" s="225">
        <v>325</v>
      </c>
      <c r="O29" s="225">
        <v>302</v>
      </c>
      <c r="P29" s="226">
        <v>23</v>
      </c>
    </row>
    <row r="30" spans="1:16" ht="30" customHeight="1">
      <c r="A30" s="330" t="s">
        <v>269</v>
      </c>
      <c r="B30" s="225">
        <v>676</v>
      </c>
      <c r="C30" s="225">
        <v>668</v>
      </c>
      <c r="D30" s="225">
        <v>8</v>
      </c>
      <c r="E30" s="227">
        <v>497</v>
      </c>
      <c r="F30" s="227">
        <v>493</v>
      </c>
      <c r="G30" s="227">
        <v>4</v>
      </c>
      <c r="H30" s="225">
        <v>352</v>
      </c>
      <c r="I30" s="225">
        <v>343</v>
      </c>
      <c r="J30" s="225">
        <v>9</v>
      </c>
      <c r="K30" s="225">
        <v>234</v>
      </c>
      <c r="L30" s="225">
        <v>233</v>
      </c>
      <c r="M30" s="226">
        <v>1</v>
      </c>
      <c r="N30" s="225">
        <v>200</v>
      </c>
      <c r="O30" s="225">
        <v>198</v>
      </c>
      <c r="P30" s="226">
        <v>2</v>
      </c>
    </row>
    <row r="31" spans="1:16" ht="30" customHeight="1">
      <c r="A31" s="330" t="s">
        <v>270</v>
      </c>
      <c r="B31" s="225">
        <v>304</v>
      </c>
      <c r="C31" s="225">
        <v>286</v>
      </c>
      <c r="D31" s="225">
        <v>18</v>
      </c>
      <c r="E31" s="227">
        <v>313</v>
      </c>
      <c r="F31" s="227">
        <v>294</v>
      </c>
      <c r="G31" s="227">
        <v>19</v>
      </c>
      <c r="H31" s="225">
        <v>244</v>
      </c>
      <c r="I31" s="225">
        <v>232</v>
      </c>
      <c r="J31" s="225">
        <v>12</v>
      </c>
      <c r="K31" s="225">
        <v>198</v>
      </c>
      <c r="L31" s="225">
        <v>189</v>
      </c>
      <c r="M31" s="226">
        <v>9</v>
      </c>
      <c r="N31" s="225">
        <v>151</v>
      </c>
      <c r="O31" s="225">
        <v>141</v>
      </c>
      <c r="P31" s="226">
        <v>10</v>
      </c>
    </row>
    <row r="32" spans="1:16" ht="30" customHeight="1">
      <c r="A32" s="330" t="s">
        <v>271</v>
      </c>
      <c r="B32" s="225">
        <v>117</v>
      </c>
      <c r="C32" s="225">
        <v>115</v>
      </c>
      <c r="D32" s="225">
        <v>2</v>
      </c>
      <c r="E32" s="227">
        <v>91</v>
      </c>
      <c r="F32" s="227">
        <v>90</v>
      </c>
      <c r="G32" s="227">
        <v>1</v>
      </c>
      <c r="H32" s="225">
        <v>224</v>
      </c>
      <c r="I32" s="225">
        <v>220</v>
      </c>
      <c r="J32" s="225">
        <v>4</v>
      </c>
      <c r="K32" s="225">
        <v>183</v>
      </c>
      <c r="L32" s="225">
        <v>175</v>
      </c>
      <c r="M32" s="226">
        <v>8</v>
      </c>
      <c r="N32" s="225">
        <v>145</v>
      </c>
      <c r="O32" s="225">
        <v>140</v>
      </c>
      <c r="P32" s="226">
        <v>5</v>
      </c>
    </row>
    <row r="33" spans="1:16" ht="30" customHeight="1">
      <c r="A33" s="330" t="s">
        <v>272</v>
      </c>
      <c r="B33" s="225">
        <v>685</v>
      </c>
      <c r="C33" s="225">
        <v>539</v>
      </c>
      <c r="D33" s="225">
        <v>146</v>
      </c>
      <c r="E33" s="227">
        <v>251</v>
      </c>
      <c r="F33" s="227">
        <v>201</v>
      </c>
      <c r="G33" s="227">
        <v>50</v>
      </c>
      <c r="H33" s="225">
        <v>261</v>
      </c>
      <c r="I33" s="225">
        <v>207</v>
      </c>
      <c r="J33" s="225">
        <v>54</v>
      </c>
      <c r="K33" s="225">
        <v>175</v>
      </c>
      <c r="L33" s="225">
        <v>133</v>
      </c>
      <c r="M33" s="226">
        <v>42</v>
      </c>
      <c r="N33" s="225">
        <v>121</v>
      </c>
      <c r="O33" s="225">
        <v>105</v>
      </c>
      <c r="P33" s="226">
        <v>16</v>
      </c>
    </row>
    <row r="34" spans="1:16" ht="30" customHeight="1">
      <c r="A34" s="330" t="s">
        <v>273</v>
      </c>
      <c r="B34" s="229">
        <v>107</v>
      </c>
      <c r="C34" s="229">
        <v>53</v>
      </c>
      <c r="D34" s="229">
        <v>54</v>
      </c>
      <c r="E34" s="229">
        <v>122</v>
      </c>
      <c r="F34" s="229">
        <v>63</v>
      </c>
      <c r="G34" s="229">
        <v>59</v>
      </c>
      <c r="H34" s="229">
        <v>118</v>
      </c>
      <c r="I34" s="229">
        <v>58</v>
      </c>
      <c r="J34" s="229">
        <v>60</v>
      </c>
      <c r="K34" s="229">
        <v>116</v>
      </c>
      <c r="L34" s="229">
        <v>61</v>
      </c>
      <c r="M34" s="230">
        <v>55</v>
      </c>
      <c r="N34" s="229">
        <v>102</v>
      </c>
      <c r="O34" s="229">
        <v>48</v>
      </c>
      <c r="P34" s="230">
        <v>54</v>
      </c>
    </row>
    <row r="35" spans="1:16" ht="30" customHeight="1">
      <c r="A35" s="330" t="s">
        <v>274</v>
      </c>
      <c r="B35" s="225">
        <v>46</v>
      </c>
      <c r="C35" s="225">
        <v>42</v>
      </c>
      <c r="D35" s="225">
        <v>4</v>
      </c>
      <c r="E35" s="227">
        <v>34</v>
      </c>
      <c r="F35" s="227">
        <v>30</v>
      </c>
      <c r="G35" s="227">
        <v>4</v>
      </c>
      <c r="H35" s="225">
        <v>63</v>
      </c>
      <c r="I35" s="225">
        <v>55</v>
      </c>
      <c r="J35" s="225">
        <v>8</v>
      </c>
      <c r="K35" s="225">
        <v>69</v>
      </c>
      <c r="L35" s="225">
        <v>62</v>
      </c>
      <c r="M35" s="226">
        <v>7</v>
      </c>
      <c r="N35" s="225">
        <v>51</v>
      </c>
      <c r="O35" s="225">
        <v>47</v>
      </c>
      <c r="P35" s="226">
        <v>4</v>
      </c>
    </row>
    <row r="36" spans="1:16" ht="30" customHeight="1">
      <c r="A36" s="391" t="s">
        <v>392</v>
      </c>
      <c r="B36" s="234">
        <v>861</v>
      </c>
      <c r="C36" s="234">
        <v>602</v>
      </c>
      <c r="D36" s="234">
        <v>259</v>
      </c>
      <c r="E36" s="234">
        <v>590</v>
      </c>
      <c r="F36" s="234">
        <v>396</v>
      </c>
      <c r="G36" s="234">
        <v>194</v>
      </c>
      <c r="H36" s="234">
        <v>513</v>
      </c>
      <c r="I36" s="234">
        <v>369</v>
      </c>
      <c r="J36" s="234">
        <v>144</v>
      </c>
      <c r="K36" s="234">
        <v>1991</v>
      </c>
      <c r="L36" s="234">
        <v>1225</v>
      </c>
      <c r="M36" s="234">
        <v>766</v>
      </c>
      <c r="N36" s="234">
        <v>812</v>
      </c>
      <c r="O36" s="234">
        <v>519</v>
      </c>
      <c r="P36" s="236">
        <v>334</v>
      </c>
    </row>
    <row r="37" spans="1:16" ht="19.5">
      <c r="A37" s="394" t="s">
        <v>391</v>
      </c>
      <c r="B37" s="6"/>
      <c r="C37" s="6"/>
      <c r="D37" s="6"/>
      <c r="E37" s="6"/>
      <c r="F37" s="6"/>
      <c r="G37" s="6"/>
      <c r="H37" s="6"/>
      <c r="I37" s="6"/>
      <c r="J37" s="6"/>
      <c r="K37" s="6"/>
      <c r="L37" s="6"/>
      <c r="M37" s="6"/>
      <c r="N37" s="6"/>
      <c r="O37" s="6"/>
      <c r="P37" s="6"/>
    </row>
  </sheetData>
  <sortState ref="A6:P35">
    <sortCondition descending="1" ref="N6:N35"/>
  </sortState>
  <mergeCells count="8">
    <mergeCell ref="H3:J3"/>
    <mergeCell ref="K3:M3"/>
    <mergeCell ref="N3:P3"/>
    <mergeCell ref="A1:P1"/>
    <mergeCell ref="O2:P2"/>
    <mergeCell ref="A3:A4"/>
    <mergeCell ref="B3:D3"/>
    <mergeCell ref="E3:G3"/>
  </mergeCells>
  <phoneticPr fontId="61" type="noConversion"/>
  <printOptions horizontalCentered="1" verticalCentered="1"/>
  <pageMargins left="0.70866141732283472" right="0.70866141732283472" top="0.74803149606299213" bottom="0.74803149606299213" header="0.31496062992125984" footer="0.31496062992125984"/>
  <pageSetup paperSize="11" scale="30" orientation="landscape" r:id="rId1"/>
  <headerFooter differentOddEven="1" scaleWithDoc="0">
    <oddHeader>&amp;L&amp;"Times New Roman,標準"&amp;8 107&amp;"標楷體,標準"年犯罪狀況及其分析</oddHeader>
    <evenHeader>&amp;R&amp;"標楷體,標準"&amp;8第一篇　&amp;"Times New Roman,標準"107&amp;"標楷體,標準"年犯罪狀況及近&amp;"Times New Roman,標準"10&amp;"標楷體,標準"年犯罪趨勢分析</even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U39"/>
  <sheetViews>
    <sheetView showGridLines="0" workbookViewId="0">
      <selection activeCell="B16" sqref="B16"/>
    </sheetView>
  </sheetViews>
  <sheetFormatPr defaultColWidth="15.875" defaultRowHeight="15"/>
  <cols>
    <col min="1" max="1" width="5.75" style="1479" customWidth="1"/>
    <col min="2" max="2" width="11.5" style="1479" bestFit="1" customWidth="1"/>
    <col min="3" max="5" width="6.75" style="1479" customWidth="1"/>
    <col min="6" max="6" width="11.5" style="1479" bestFit="1" customWidth="1"/>
    <col min="7" max="9" width="6.75" style="1479" customWidth="1"/>
    <col min="10" max="10" width="11.5" style="1479" bestFit="1" customWidth="1"/>
    <col min="11" max="13" width="6.75" style="1479" customWidth="1"/>
    <col min="14" max="14" width="11.5" style="1479" bestFit="1" customWidth="1"/>
    <col min="15" max="17" width="6.75" style="1479" customWidth="1"/>
    <col min="18" max="18" width="11.5" style="1479" bestFit="1" customWidth="1"/>
    <col min="19" max="21" width="6.75" style="1479" customWidth="1"/>
    <col min="22" max="16384" width="15.875" style="1479"/>
  </cols>
  <sheetData>
    <row r="1" spans="1:21" s="1461" customFormat="1" ht="27" customHeight="1">
      <c r="A1" s="3445" t="s">
        <v>1780</v>
      </c>
      <c r="B1" s="3455"/>
      <c r="C1" s="3455"/>
      <c r="D1" s="3455"/>
      <c r="E1" s="3455"/>
      <c r="F1" s="3455"/>
      <c r="G1" s="3455"/>
      <c r="H1" s="3455"/>
      <c r="I1" s="3455"/>
      <c r="J1" s="3455"/>
      <c r="K1" s="3455"/>
      <c r="L1" s="3455"/>
      <c r="M1" s="3455"/>
      <c r="N1" s="3455"/>
      <c r="O1" s="3455"/>
      <c r="P1" s="3455"/>
      <c r="Q1" s="3455"/>
      <c r="R1" s="3455"/>
      <c r="S1" s="3455"/>
      <c r="T1" s="3455"/>
      <c r="U1" s="3455"/>
    </row>
    <row r="2" spans="1:21" s="1462" customFormat="1" ht="30.6" customHeight="1">
      <c r="A2" s="3430" t="s">
        <v>1781</v>
      </c>
      <c r="B2" s="3458" t="s">
        <v>1782</v>
      </c>
      <c r="C2" s="3459"/>
      <c r="D2" s="3459"/>
      <c r="E2" s="3459"/>
      <c r="F2" s="3458" t="s">
        <v>1064</v>
      </c>
      <c r="G2" s="3459"/>
      <c r="H2" s="3459"/>
      <c r="I2" s="3459"/>
      <c r="J2" s="3458" t="s">
        <v>1065</v>
      </c>
      <c r="K2" s="3459"/>
      <c r="L2" s="3459"/>
      <c r="M2" s="3459"/>
      <c r="N2" s="3458" t="s">
        <v>1066</v>
      </c>
      <c r="O2" s="3459"/>
      <c r="P2" s="3459"/>
      <c r="Q2" s="3459"/>
      <c r="R2" s="3458" t="s">
        <v>1067</v>
      </c>
      <c r="S2" s="3459"/>
      <c r="T2" s="3459"/>
      <c r="U2" s="3459"/>
    </row>
    <row r="3" spans="1:21" s="1462" customFormat="1" ht="30.6" customHeight="1">
      <c r="A3" s="3456"/>
      <c r="B3" s="3460" t="s">
        <v>1783</v>
      </c>
      <c r="C3" s="3458" t="s">
        <v>1784</v>
      </c>
      <c r="D3" s="3459"/>
      <c r="E3" s="3459"/>
      <c r="F3" s="3460" t="s">
        <v>1785</v>
      </c>
      <c r="G3" s="3458" t="s">
        <v>1784</v>
      </c>
      <c r="H3" s="3459"/>
      <c r="I3" s="3459"/>
      <c r="J3" s="3460" t="s">
        <v>1783</v>
      </c>
      <c r="K3" s="3458" t="s">
        <v>1786</v>
      </c>
      <c r="L3" s="3459"/>
      <c r="M3" s="3459"/>
      <c r="N3" s="3460" t="s">
        <v>1787</v>
      </c>
      <c r="O3" s="3458" t="s">
        <v>1784</v>
      </c>
      <c r="P3" s="3459"/>
      <c r="Q3" s="3459"/>
      <c r="R3" s="3460" t="s">
        <v>1788</v>
      </c>
      <c r="S3" s="3458" t="s">
        <v>1786</v>
      </c>
      <c r="T3" s="3459"/>
      <c r="U3" s="3459"/>
    </row>
    <row r="4" spans="1:21" s="1462" customFormat="1" ht="30.6" customHeight="1">
      <c r="A4" s="3457"/>
      <c r="B4" s="3461"/>
      <c r="C4" s="1463" t="s">
        <v>1424</v>
      </c>
      <c r="D4" s="1463" t="s">
        <v>957</v>
      </c>
      <c r="E4" s="1464" t="s">
        <v>1779</v>
      </c>
      <c r="F4" s="3461"/>
      <c r="G4" s="1463" t="s">
        <v>1424</v>
      </c>
      <c r="H4" s="1463" t="s">
        <v>1425</v>
      </c>
      <c r="I4" s="1464" t="s">
        <v>959</v>
      </c>
      <c r="J4" s="3461"/>
      <c r="K4" s="1463" t="s">
        <v>1424</v>
      </c>
      <c r="L4" s="1463" t="s">
        <v>957</v>
      </c>
      <c r="M4" s="1464" t="s">
        <v>959</v>
      </c>
      <c r="N4" s="3461"/>
      <c r="O4" s="1463" t="s">
        <v>1424</v>
      </c>
      <c r="P4" s="1463" t="s">
        <v>1778</v>
      </c>
      <c r="Q4" s="1464" t="s">
        <v>1428</v>
      </c>
      <c r="R4" s="3461"/>
      <c r="S4" s="1463" t="s">
        <v>1789</v>
      </c>
      <c r="T4" s="1463" t="s">
        <v>957</v>
      </c>
      <c r="U4" s="1464" t="s">
        <v>1428</v>
      </c>
    </row>
    <row r="5" spans="1:21" s="1469" customFormat="1" ht="32.450000000000003" customHeight="1">
      <c r="A5" s="1465">
        <v>1</v>
      </c>
      <c r="B5" s="1466" t="s">
        <v>1790</v>
      </c>
      <c r="C5" s="1467">
        <f t="shared" ref="C5:C14" si="0">D5+E5</f>
        <v>10216</v>
      </c>
      <c r="D5" s="1468">
        <v>9784</v>
      </c>
      <c r="E5" s="1468">
        <v>432</v>
      </c>
      <c r="F5" s="1466" t="s">
        <v>1791</v>
      </c>
      <c r="G5" s="1467">
        <f t="shared" ref="G5:G14" si="1">H5+I5</f>
        <v>11005</v>
      </c>
      <c r="H5" s="1468">
        <v>9698</v>
      </c>
      <c r="I5" s="1468">
        <v>1307</v>
      </c>
      <c r="J5" s="1466" t="s">
        <v>1791</v>
      </c>
      <c r="K5" s="1467">
        <f t="shared" ref="K5:K14" si="2">SUM(L5,M5)</f>
        <v>11797</v>
      </c>
      <c r="L5" s="1468">
        <v>10285</v>
      </c>
      <c r="M5" s="1468">
        <v>1512</v>
      </c>
      <c r="N5" s="1466" t="s">
        <v>1791</v>
      </c>
      <c r="O5" s="1467">
        <f t="shared" ref="O5:O14" si="3">P5+Q5</f>
        <v>11060</v>
      </c>
      <c r="P5" s="1468">
        <v>9625</v>
      </c>
      <c r="Q5" s="1468">
        <v>1435</v>
      </c>
      <c r="R5" s="1466" t="s">
        <v>1791</v>
      </c>
      <c r="S5" s="1467">
        <f t="shared" ref="S5:S14" si="4">T5+U5</f>
        <v>10598</v>
      </c>
      <c r="T5" s="1468">
        <v>9236</v>
      </c>
      <c r="U5" s="1468">
        <v>1362</v>
      </c>
    </row>
    <row r="6" spans="1:21" s="1469" customFormat="1" ht="32.450000000000003" customHeight="1">
      <c r="A6" s="1470">
        <v>2</v>
      </c>
      <c r="B6" s="1471" t="s">
        <v>1791</v>
      </c>
      <c r="C6" s="1472">
        <f t="shared" si="0"/>
        <v>9803</v>
      </c>
      <c r="D6" s="1473">
        <v>8624</v>
      </c>
      <c r="E6" s="1473">
        <v>1179</v>
      </c>
      <c r="F6" s="1471" t="s">
        <v>1790</v>
      </c>
      <c r="G6" s="1472">
        <f t="shared" si="1"/>
        <v>9775</v>
      </c>
      <c r="H6" s="1473">
        <v>9311</v>
      </c>
      <c r="I6" s="1473">
        <v>464</v>
      </c>
      <c r="J6" s="1471" t="s">
        <v>1790</v>
      </c>
      <c r="K6" s="1472">
        <f t="shared" si="2"/>
        <v>9753</v>
      </c>
      <c r="L6" s="1473">
        <v>9311</v>
      </c>
      <c r="M6" s="1473">
        <v>442</v>
      </c>
      <c r="N6" s="1471" t="s">
        <v>1790</v>
      </c>
      <c r="O6" s="1472">
        <f t="shared" si="3"/>
        <v>9921</v>
      </c>
      <c r="P6" s="1473">
        <v>9447</v>
      </c>
      <c r="Q6" s="1473">
        <v>474</v>
      </c>
      <c r="R6" s="1471" t="s">
        <v>1790</v>
      </c>
      <c r="S6" s="1472">
        <f t="shared" si="4"/>
        <v>9416</v>
      </c>
      <c r="T6" s="1473">
        <v>8973</v>
      </c>
      <c r="U6" s="1473">
        <v>443</v>
      </c>
    </row>
    <row r="7" spans="1:21" s="1469" customFormat="1" ht="32.450000000000003" customHeight="1">
      <c r="A7" s="1470">
        <v>3</v>
      </c>
      <c r="B7" s="1471" t="s">
        <v>1792</v>
      </c>
      <c r="C7" s="1472">
        <f t="shared" si="0"/>
        <v>4398</v>
      </c>
      <c r="D7" s="1473">
        <v>4010</v>
      </c>
      <c r="E7" s="1473">
        <v>388</v>
      </c>
      <c r="F7" s="1471" t="s">
        <v>1792</v>
      </c>
      <c r="G7" s="1472">
        <f t="shared" si="1"/>
        <v>4164</v>
      </c>
      <c r="H7" s="1473">
        <v>3753</v>
      </c>
      <c r="I7" s="1473">
        <v>411</v>
      </c>
      <c r="J7" s="1471" t="s">
        <v>1792</v>
      </c>
      <c r="K7" s="1472">
        <f t="shared" si="2"/>
        <v>4324</v>
      </c>
      <c r="L7" s="1473">
        <v>3863</v>
      </c>
      <c r="M7" s="1473">
        <v>461</v>
      </c>
      <c r="N7" s="1471" t="s">
        <v>1792</v>
      </c>
      <c r="O7" s="1472">
        <f t="shared" si="3"/>
        <v>4387</v>
      </c>
      <c r="P7" s="1473">
        <v>3919</v>
      </c>
      <c r="Q7" s="1473">
        <v>468</v>
      </c>
      <c r="R7" s="1471" t="s">
        <v>1792</v>
      </c>
      <c r="S7" s="1472">
        <f t="shared" si="4"/>
        <v>4190</v>
      </c>
      <c r="T7" s="1473">
        <v>3761</v>
      </c>
      <c r="U7" s="1473">
        <v>429</v>
      </c>
    </row>
    <row r="8" spans="1:21" s="1469" customFormat="1" ht="32.450000000000003" customHeight="1">
      <c r="A8" s="1470">
        <v>4</v>
      </c>
      <c r="B8" s="1471" t="s">
        <v>1793</v>
      </c>
      <c r="C8" s="1472">
        <f t="shared" si="0"/>
        <v>1617</v>
      </c>
      <c r="D8" s="1473">
        <v>1358</v>
      </c>
      <c r="E8" s="1473">
        <v>259</v>
      </c>
      <c r="F8" s="1471" t="s">
        <v>1793</v>
      </c>
      <c r="G8" s="1472">
        <f t="shared" si="1"/>
        <v>1921</v>
      </c>
      <c r="H8" s="1473">
        <v>1626</v>
      </c>
      <c r="I8" s="1473">
        <v>295</v>
      </c>
      <c r="J8" s="1471" t="s">
        <v>1793</v>
      </c>
      <c r="K8" s="1472">
        <f t="shared" si="2"/>
        <v>2503</v>
      </c>
      <c r="L8" s="1473">
        <v>2173</v>
      </c>
      <c r="M8" s="1473">
        <v>330</v>
      </c>
      <c r="N8" s="1471" t="s">
        <v>1793</v>
      </c>
      <c r="O8" s="1472">
        <f t="shared" si="3"/>
        <v>2892</v>
      </c>
      <c r="P8" s="1473">
        <v>2474</v>
      </c>
      <c r="Q8" s="1473">
        <v>418</v>
      </c>
      <c r="R8" s="1471" t="s">
        <v>1793</v>
      </c>
      <c r="S8" s="1472">
        <f t="shared" si="4"/>
        <v>2940</v>
      </c>
      <c r="T8" s="1473">
        <v>2495</v>
      </c>
      <c r="U8" s="1473">
        <v>445</v>
      </c>
    </row>
    <row r="9" spans="1:21" s="1469" customFormat="1" ht="32.450000000000003" customHeight="1">
      <c r="A9" s="1470">
        <v>5</v>
      </c>
      <c r="B9" s="1471" t="s">
        <v>1794</v>
      </c>
      <c r="C9" s="1472">
        <f t="shared" si="0"/>
        <v>889</v>
      </c>
      <c r="D9" s="1473">
        <v>831</v>
      </c>
      <c r="E9" s="1473">
        <v>58</v>
      </c>
      <c r="F9" s="1471" t="s">
        <v>1794</v>
      </c>
      <c r="G9" s="1472">
        <f t="shared" si="1"/>
        <v>993</v>
      </c>
      <c r="H9" s="1473">
        <v>929</v>
      </c>
      <c r="I9" s="1473">
        <v>64</v>
      </c>
      <c r="J9" s="1471" t="s">
        <v>1794</v>
      </c>
      <c r="K9" s="1472">
        <f t="shared" si="2"/>
        <v>1080</v>
      </c>
      <c r="L9" s="1473">
        <v>1003</v>
      </c>
      <c r="M9" s="1473">
        <v>77</v>
      </c>
      <c r="N9" s="1471" t="s">
        <v>1794</v>
      </c>
      <c r="O9" s="1472">
        <f t="shared" si="3"/>
        <v>1120</v>
      </c>
      <c r="P9" s="1473">
        <v>1014</v>
      </c>
      <c r="Q9" s="1473">
        <v>106</v>
      </c>
      <c r="R9" s="1471" t="s">
        <v>1794</v>
      </c>
      <c r="S9" s="1472">
        <f t="shared" si="4"/>
        <v>1137</v>
      </c>
      <c r="T9" s="1473">
        <v>1044</v>
      </c>
      <c r="U9" s="1473">
        <v>93</v>
      </c>
    </row>
    <row r="10" spans="1:21" s="1469" customFormat="1" ht="32.450000000000003" customHeight="1">
      <c r="A10" s="1470">
        <v>6</v>
      </c>
      <c r="B10" s="1471" t="s">
        <v>1795</v>
      </c>
      <c r="C10" s="1472">
        <f t="shared" si="0"/>
        <v>847</v>
      </c>
      <c r="D10" s="1473">
        <v>838</v>
      </c>
      <c r="E10" s="1473">
        <v>9</v>
      </c>
      <c r="F10" s="1471" t="s">
        <v>1796</v>
      </c>
      <c r="G10" s="1472">
        <f t="shared" si="1"/>
        <v>857</v>
      </c>
      <c r="H10" s="1473">
        <v>848</v>
      </c>
      <c r="I10" s="1473">
        <v>9</v>
      </c>
      <c r="J10" s="1471" t="s">
        <v>1796</v>
      </c>
      <c r="K10" s="1472">
        <f t="shared" si="2"/>
        <v>893</v>
      </c>
      <c r="L10" s="1473">
        <v>886</v>
      </c>
      <c r="M10" s="1473">
        <v>7</v>
      </c>
      <c r="N10" s="1471" t="s">
        <v>1796</v>
      </c>
      <c r="O10" s="1472">
        <f t="shared" si="3"/>
        <v>887</v>
      </c>
      <c r="P10" s="1473">
        <v>880</v>
      </c>
      <c r="Q10" s="1473">
        <v>7</v>
      </c>
      <c r="R10" s="1471" t="s">
        <v>1796</v>
      </c>
      <c r="S10" s="1472">
        <f t="shared" si="4"/>
        <v>962</v>
      </c>
      <c r="T10" s="1473">
        <v>952</v>
      </c>
      <c r="U10" s="1473">
        <v>10</v>
      </c>
    </row>
    <row r="11" spans="1:21" s="1469" customFormat="1" ht="32.450000000000003" customHeight="1">
      <c r="A11" s="1470">
        <v>7</v>
      </c>
      <c r="B11" s="1471" t="s">
        <v>1796</v>
      </c>
      <c r="C11" s="1472">
        <f t="shared" si="0"/>
        <v>845</v>
      </c>
      <c r="D11" s="1473">
        <v>834</v>
      </c>
      <c r="E11" s="1473">
        <v>11</v>
      </c>
      <c r="F11" s="1471" t="s">
        <v>1795</v>
      </c>
      <c r="G11" s="1472">
        <f t="shared" si="1"/>
        <v>695</v>
      </c>
      <c r="H11" s="1473">
        <v>691</v>
      </c>
      <c r="I11" s="1473">
        <v>4</v>
      </c>
      <c r="J11" s="1471" t="s">
        <v>1795</v>
      </c>
      <c r="K11" s="1472">
        <f t="shared" si="2"/>
        <v>749</v>
      </c>
      <c r="L11" s="1473">
        <v>745</v>
      </c>
      <c r="M11" s="1473">
        <v>4</v>
      </c>
      <c r="N11" s="1471" t="s">
        <v>1795</v>
      </c>
      <c r="O11" s="1472">
        <f t="shared" si="3"/>
        <v>711</v>
      </c>
      <c r="P11" s="1473">
        <v>709</v>
      </c>
      <c r="Q11" s="1473">
        <v>2</v>
      </c>
      <c r="R11" s="1471" t="s">
        <v>1795</v>
      </c>
      <c r="S11" s="1472">
        <f t="shared" si="4"/>
        <v>662</v>
      </c>
      <c r="T11" s="1473">
        <v>659</v>
      </c>
      <c r="U11" s="1473">
        <v>3</v>
      </c>
    </row>
    <row r="12" spans="1:21" s="1469" customFormat="1" ht="32.450000000000003" customHeight="1">
      <c r="A12" s="1470">
        <v>8</v>
      </c>
      <c r="B12" s="1471" t="s">
        <v>1797</v>
      </c>
      <c r="C12" s="1472">
        <f t="shared" si="0"/>
        <v>589</v>
      </c>
      <c r="D12" s="1473">
        <v>475</v>
      </c>
      <c r="E12" s="1473">
        <v>114</v>
      </c>
      <c r="F12" s="1471" t="s">
        <v>1797</v>
      </c>
      <c r="G12" s="1472">
        <f t="shared" si="1"/>
        <v>511</v>
      </c>
      <c r="H12" s="1473">
        <v>405</v>
      </c>
      <c r="I12" s="1473">
        <v>106</v>
      </c>
      <c r="J12" s="1471" t="s">
        <v>1797</v>
      </c>
      <c r="K12" s="1472">
        <f t="shared" si="2"/>
        <v>478</v>
      </c>
      <c r="L12" s="1473">
        <v>379</v>
      </c>
      <c r="M12" s="1473">
        <v>99</v>
      </c>
      <c r="N12" s="1471" t="s">
        <v>1798</v>
      </c>
      <c r="O12" s="1472">
        <f t="shared" si="3"/>
        <v>525</v>
      </c>
      <c r="P12" s="1473">
        <v>447</v>
      </c>
      <c r="Q12" s="1473">
        <v>78</v>
      </c>
      <c r="R12" s="1471" t="s">
        <v>1798</v>
      </c>
      <c r="S12" s="1472">
        <f t="shared" si="4"/>
        <v>534</v>
      </c>
      <c r="T12" s="1473">
        <v>444</v>
      </c>
      <c r="U12" s="1473">
        <v>90</v>
      </c>
    </row>
    <row r="13" spans="1:21" s="1469" customFormat="1" ht="34.9" customHeight="1">
      <c r="A13" s="1470">
        <v>9</v>
      </c>
      <c r="B13" s="1471" t="s">
        <v>1798</v>
      </c>
      <c r="C13" s="1472">
        <f t="shared" si="0"/>
        <v>469</v>
      </c>
      <c r="D13" s="1473">
        <v>395</v>
      </c>
      <c r="E13" s="1473">
        <v>74</v>
      </c>
      <c r="F13" s="1471" t="s">
        <v>1798</v>
      </c>
      <c r="G13" s="1472">
        <f t="shared" si="1"/>
        <v>470</v>
      </c>
      <c r="H13" s="1473">
        <v>400</v>
      </c>
      <c r="I13" s="1473">
        <v>70</v>
      </c>
      <c r="J13" s="1471" t="s">
        <v>1798</v>
      </c>
      <c r="K13" s="1472">
        <f t="shared" si="2"/>
        <v>478</v>
      </c>
      <c r="L13" s="1473">
        <v>410</v>
      </c>
      <c r="M13" s="1473">
        <v>68</v>
      </c>
      <c r="N13" s="1471" t="s">
        <v>1797</v>
      </c>
      <c r="O13" s="1472">
        <f t="shared" si="3"/>
        <v>449</v>
      </c>
      <c r="P13" s="1473">
        <v>346</v>
      </c>
      <c r="Q13" s="1473">
        <v>103</v>
      </c>
      <c r="R13" s="1471" t="s">
        <v>1799</v>
      </c>
      <c r="S13" s="1472">
        <f t="shared" si="4"/>
        <v>435</v>
      </c>
      <c r="T13" s="1473">
        <v>412</v>
      </c>
      <c r="U13" s="1473">
        <v>23</v>
      </c>
    </row>
    <row r="14" spans="1:21" s="1469" customFormat="1" ht="32.450000000000003" customHeight="1">
      <c r="A14" s="1474">
        <v>10</v>
      </c>
      <c r="B14" s="1475" t="s">
        <v>1799</v>
      </c>
      <c r="C14" s="1476">
        <f t="shared" si="0"/>
        <v>415</v>
      </c>
      <c r="D14" s="1477">
        <v>400</v>
      </c>
      <c r="E14" s="1477">
        <v>15</v>
      </c>
      <c r="F14" s="1475" t="s">
        <v>1799</v>
      </c>
      <c r="G14" s="1476">
        <f t="shared" si="1"/>
        <v>395</v>
      </c>
      <c r="H14" s="1477">
        <v>373</v>
      </c>
      <c r="I14" s="1477">
        <v>22</v>
      </c>
      <c r="J14" s="1475" t="s">
        <v>1799</v>
      </c>
      <c r="K14" s="1476">
        <f t="shared" si="2"/>
        <v>436</v>
      </c>
      <c r="L14" s="1477">
        <v>415</v>
      </c>
      <c r="M14" s="1477">
        <v>21</v>
      </c>
      <c r="N14" s="1475" t="s">
        <v>1799</v>
      </c>
      <c r="O14" s="1476">
        <f t="shared" si="3"/>
        <v>417</v>
      </c>
      <c r="P14" s="1477">
        <v>405</v>
      </c>
      <c r="Q14" s="1477">
        <v>12</v>
      </c>
      <c r="R14" s="1475" t="s">
        <v>1797</v>
      </c>
      <c r="S14" s="1476">
        <f t="shared" si="4"/>
        <v>370</v>
      </c>
      <c r="T14" s="1477">
        <v>274</v>
      </c>
      <c r="U14" s="1477">
        <v>96</v>
      </c>
    </row>
    <row r="15" spans="1:21" s="1386" customFormat="1" ht="14.25">
      <c r="A15" s="1386" t="s">
        <v>1800</v>
      </c>
    </row>
    <row r="16" spans="1:21" s="1478" customFormat="1" ht="16.5" customHeight="1">
      <c r="A16" s="1386" t="s">
        <v>1801</v>
      </c>
    </row>
    <row r="17" spans="1:5" s="1397" customFormat="1">
      <c r="A17" s="3462" t="s">
        <v>1802</v>
      </c>
      <c r="B17" s="3462"/>
      <c r="C17" s="3462"/>
      <c r="D17" s="3462"/>
      <c r="E17" s="3462"/>
    </row>
    <row r="18" spans="1:5" s="1397" customFormat="1"/>
    <row r="19" spans="1:5" s="1397" customFormat="1"/>
    <row r="20" spans="1:5" s="1397" customFormat="1"/>
    <row r="21" spans="1:5" s="1397" customFormat="1"/>
    <row r="22" spans="1:5" s="1397" customFormat="1"/>
    <row r="23" spans="1:5" s="1397" customFormat="1"/>
    <row r="24" spans="1:5" s="1397" customFormat="1"/>
    <row r="25" spans="1:5" s="1397" customFormat="1"/>
    <row r="26" spans="1:5" s="1397" customFormat="1"/>
    <row r="27" spans="1:5" s="1397" customFormat="1"/>
    <row r="28" spans="1:5" s="1397" customFormat="1"/>
    <row r="29" spans="1:5" s="1397" customFormat="1"/>
    <row r="30" spans="1:5" s="1397" customFormat="1"/>
    <row r="31" spans="1:5" s="1397" customFormat="1"/>
    <row r="32" spans="1:5" s="1397" customFormat="1"/>
    <row r="33" s="1397" customFormat="1"/>
    <row r="34" s="1397" customFormat="1"/>
    <row r="35" s="1397" customFormat="1"/>
    <row r="36" s="1397" customFormat="1"/>
    <row r="37" s="1397" customFormat="1"/>
    <row r="38" s="1397" customFormat="1"/>
    <row r="39" s="1397" customFormat="1"/>
  </sheetData>
  <mergeCells count="18">
    <mergeCell ref="A17:E17"/>
    <mergeCell ref="G3:I3"/>
    <mergeCell ref="J3:J4"/>
    <mergeCell ref="K3:M3"/>
    <mergeCell ref="N3:N4"/>
    <mergeCell ref="A1:U1"/>
    <mergeCell ref="A2:A4"/>
    <mergeCell ref="B2:E2"/>
    <mergeCell ref="F2:I2"/>
    <mergeCell ref="J2:M2"/>
    <mergeCell ref="N2:Q2"/>
    <mergeCell ref="R2:U2"/>
    <mergeCell ref="B3:B4"/>
    <mergeCell ref="C3:E3"/>
    <mergeCell ref="F3:F4"/>
    <mergeCell ref="S3:U3"/>
    <mergeCell ref="O3:Q3"/>
    <mergeCell ref="R3:R4"/>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57"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T35"/>
  <sheetViews>
    <sheetView showGridLines="0" zoomScale="90" zoomScaleNormal="90" workbookViewId="0">
      <selection activeCell="B16" sqref="B16"/>
    </sheetView>
  </sheetViews>
  <sheetFormatPr defaultColWidth="8.875" defaultRowHeight="15.75"/>
  <cols>
    <col min="1" max="1" width="28.125" style="1498" customWidth="1"/>
    <col min="2" max="2" width="7.25" style="1498" customWidth="1"/>
    <col min="3" max="17" width="8.125" style="1498" customWidth="1"/>
    <col min="18" max="16384" width="8.875" style="1498"/>
  </cols>
  <sheetData>
    <row r="1" spans="1:20" s="1394" customFormat="1" ht="29.25" customHeight="1">
      <c r="A1" s="3464" t="s">
        <v>1803</v>
      </c>
      <c r="B1" s="3464"/>
      <c r="C1" s="3464"/>
      <c r="D1" s="3464"/>
      <c r="E1" s="3464"/>
      <c r="F1" s="3464"/>
      <c r="G1" s="3464"/>
      <c r="H1" s="3464"/>
      <c r="I1" s="3464"/>
      <c r="J1" s="3464"/>
      <c r="K1" s="3464"/>
      <c r="L1" s="3464"/>
      <c r="M1" s="3464"/>
      <c r="N1" s="3464"/>
      <c r="O1" s="3464"/>
      <c r="P1" s="3464"/>
      <c r="Q1" s="3464"/>
      <c r="R1" s="1480"/>
      <c r="S1" s="1480"/>
      <c r="T1" s="1480"/>
    </row>
    <row r="2" spans="1:20" s="1482" customFormat="1" ht="41.25" customHeight="1">
      <c r="A2" s="3465"/>
      <c r="B2" s="1481"/>
      <c r="C2" s="3467" t="s">
        <v>1599</v>
      </c>
      <c r="D2" s="3468"/>
      <c r="E2" s="3469"/>
      <c r="F2" s="3470" t="s">
        <v>361</v>
      </c>
      <c r="G2" s="3467"/>
      <c r="H2" s="3471"/>
      <c r="I2" s="3470" t="s">
        <v>362</v>
      </c>
      <c r="J2" s="3467"/>
      <c r="K2" s="3471"/>
      <c r="L2" s="3470" t="s">
        <v>363</v>
      </c>
      <c r="M2" s="3467"/>
      <c r="N2" s="3471"/>
      <c r="O2" s="3470" t="s">
        <v>765</v>
      </c>
      <c r="P2" s="3467"/>
      <c r="Q2" s="3467"/>
    </row>
    <row r="3" spans="1:20" s="1482" customFormat="1" ht="29.25" customHeight="1">
      <c r="A3" s="3466"/>
      <c r="B3" s="1483"/>
      <c r="C3" s="1484" t="s">
        <v>1804</v>
      </c>
      <c r="D3" s="1485" t="s">
        <v>1805</v>
      </c>
      <c r="E3" s="1486" t="s">
        <v>1806</v>
      </c>
      <c r="F3" s="1485" t="s">
        <v>1804</v>
      </c>
      <c r="G3" s="1485" t="s">
        <v>1805</v>
      </c>
      <c r="H3" s="1485" t="s">
        <v>1806</v>
      </c>
      <c r="I3" s="1484" t="s">
        <v>1804</v>
      </c>
      <c r="J3" s="1485" t="s">
        <v>1805</v>
      </c>
      <c r="K3" s="1486" t="s">
        <v>1806</v>
      </c>
      <c r="L3" s="1485" t="s">
        <v>1804</v>
      </c>
      <c r="M3" s="1485" t="s">
        <v>1805</v>
      </c>
      <c r="N3" s="1485" t="s">
        <v>1806</v>
      </c>
      <c r="O3" s="1485" t="s">
        <v>1804</v>
      </c>
      <c r="P3" s="1485" t="s">
        <v>1805</v>
      </c>
      <c r="Q3" s="1486" t="s">
        <v>1806</v>
      </c>
    </row>
    <row r="4" spans="1:20" s="1482" customFormat="1" ht="20.100000000000001" customHeight="1">
      <c r="A4" s="1487" t="s">
        <v>1807</v>
      </c>
      <c r="B4" s="1487"/>
      <c r="C4" s="1488">
        <f t="shared" ref="C4:Q4" si="0">SUM(C5,C8,C17,C18,C19,C21:C28)</f>
        <v>33951</v>
      </c>
      <c r="D4" s="1489">
        <f t="shared" si="0"/>
        <v>31036</v>
      </c>
      <c r="E4" s="1489">
        <f t="shared" si="0"/>
        <v>2915</v>
      </c>
      <c r="F4" s="1488">
        <f t="shared" si="0"/>
        <v>34586</v>
      </c>
      <c r="G4" s="1489">
        <f t="shared" si="0"/>
        <v>31492</v>
      </c>
      <c r="H4" s="1489">
        <f t="shared" si="0"/>
        <v>3094</v>
      </c>
      <c r="I4" s="1488">
        <f t="shared" si="0"/>
        <v>36298</v>
      </c>
      <c r="J4" s="1489">
        <f t="shared" si="0"/>
        <v>32901</v>
      </c>
      <c r="K4" s="1489">
        <f t="shared" si="0"/>
        <v>3397</v>
      </c>
      <c r="L4" s="1488">
        <f t="shared" si="0"/>
        <v>36161</v>
      </c>
      <c r="M4" s="1489">
        <f t="shared" si="0"/>
        <v>32692</v>
      </c>
      <c r="N4" s="1489">
        <f t="shared" si="0"/>
        <v>3469</v>
      </c>
      <c r="O4" s="1488">
        <f t="shared" si="0"/>
        <v>34771</v>
      </c>
      <c r="P4" s="1489">
        <f t="shared" si="0"/>
        <v>31428</v>
      </c>
      <c r="Q4" s="1489">
        <f t="shared" si="0"/>
        <v>3343</v>
      </c>
    </row>
    <row r="5" spans="1:20" s="1482" customFormat="1" ht="20.100000000000001" customHeight="1">
      <c r="A5" s="1490" t="s">
        <v>1808</v>
      </c>
      <c r="B5" s="1491"/>
      <c r="C5" s="1492">
        <v>9803</v>
      </c>
      <c r="D5" s="1493">
        <v>8624</v>
      </c>
      <c r="E5" s="1494">
        <v>1179</v>
      </c>
      <c r="F5" s="1492">
        <v>11005</v>
      </c>
      <c r="G5" s="1493">
        <v>9698</v>
      </c>
      <c r="H5" s="1494">
        <v>1307</v>
      </c>
      <c r="I5" s="1492">
        <v>11797</v>
      </c>
      <c r="J5" s="1493">
        <v>10285</v>
      </c>
      <c r="K5" s="1494">
        <v>1512</v>
      </c>
      <c r="L5" s="1492">
        <v>11060</v>
      </c>
      <c r="M5" s="1493">
        <v>9625</v>
      </c>
      <c r="N5" s="1494">
        <v>1435</v>
      </c>
      <c r="O5" s="1492">
        <v>10598</v>
      </c>
      <c r="P5" s="1493">
        <v>9236</v>
      </c>
      <c r="Q5" s="1493">
        <v>1362</v>
      </c>
    </row>
    <row r="6" spans="1:20" s="1482" customFormat="1" ht="20.100000000000001" customHeight="1">
      <c r="A6" s="1495"/>
      <c r="B6" s="1496" t="s">
        <v>1809</v>
      </c>
      <c r="C6" s="1492">
        <v>7345</v>
      </c>
      <c r="D6" s="1493">
        <v>6444</v>
      </c>
      <c r="E6" s="1494">
        <v>901</v>
      </c>
      <c r="F6" s="1492">
        <v>8694</v>
      </c>
      <c r="G6" s="1493">
        <v>7657</v>
      </c>
      <c r="H6" s="1494">
        <v>1037</v>
      </c>
      <c r="I6" s="1492">
        <v>9426</v>
      </c>
      <c r="J6" s="1493">
        <v>8182</v>
      </c>
      <c r="K6" s="1494">
        <v>1244</v>
      </c>
      <c r="L6" s="1492">
        <v>8534</v>
      </c>
      <c r="M6" s="1493">
        <v>7409</v>
      </c>
      <c r="N6" s="1494">
        <v>1125</v>
      </c>
      <c r="O6" s="1492">
        <v>7895</v>
      </c>
      <c r="P6" s="1493">
        <v>6842</v>
      </c>
      <c r="Q6" s="1493">
        <v>1053</v>
      </c>
    </row>
    <row r="7" spans="1:20" s="1482" customFormat="1" ht="20.100000000000001" customHeight="1">
      <c r="A7" s="1490" t="s">
        <v>1810</v>
      </c>
      <c r="B7" s="1491"/>
      <c r="C7" s="1492"/>
      <c r="D7" s="1493"/>
      <c r="E7" s="1494"/>
      <c r="F7" s="1492"/>
      <c r="G7" s="1493"/>
      <c r="H7" s="1494"/>
      <c r="I7" s="1492"/>
      <c r="J7" s="1493"/>
      <c r="K7" s="1494"/>
      <c r="L7" s="1492"/>
      <c r="M7" s="1493"/>
      <c r="N7" s="1494"/>
      <c r="O7" s="1492"/>
      <c r="P7" s="1493"/>
      <c r="Q7" s="1493"/>
    </row>
    <row r="8" spans="1:20" ht="20.100000000000001" customHeight="1">
      <c r="A8" s="1497"/>
      <c r="B8" s="1496" t="s">
        <v>1811</v>
      </c>
      <c r="C8" s="1492">
        <v>1438</v>
      </c>
      <c r="D8" s="1493">
        <v>1369</v>
      </c>
      <c r="E8" s="1494">
        <v>69</v>
      </c>
      <c r="F8" s="1492">
        <v>1249</v>
      </c>
      <c r="G8" s="1493">
        <v>1197</v>
      </c>
      <c r="H8" s="1494">
        <v>52</v>
      </c>
      <c r="I8" s="1492">
        <v>1227</v>
      </c>
      <c r="J8" s="1493">
        <v>1177</v>
      </c>
      <c r="K8" s="1494">
        <v>50</v>
      </c>
      <c r="L8" s="1492">
        <v>1161</v>
      </c>
      <c r="M8" s="1493">
        <v>1119</v>
      </c>
      <c r="N8" s="1494">
        <v>42</v>
      </c>
      <c r="O8" s="1492">
        <v>1076</v>
      </c>
      <c r="P8" s="1493">
        <v>1036</v>
      </c>
      <c r="Q8" s="1493">
        <v>40</v>
      </c>
    </row>
    <row r="9" spans="1:20" ht="20.100000000000001" customHeight="1">
      <c r="A9" s="1497"/>
      <c r="B9" s="1496" t="s">
        <v>1812</v>
      </c>
      <c r="C9" s="1492">
        <v>215</v>
      </c>
      <c r="D9" s="1493">
        <v>203</v>
      </c>
      <c r="E9" s="1494">
        <v>12</v>
      </c>
      <c r="F9" s="1492">
        <v>206</v>
      </c>
      <c r="G9" s="1493">
        <v>188</v>
      </c>
      <c r="H9" s="1494">
        <v>18</v>
      </c>
      <c r="I9" s="1492">
        <v>192</v>
      </c>
      <c r="J9" s="1493">
        <v>175</v>
      </c>
      <c r="K9" s="1494">
        <v>17</v>
      </c>
      <c r="L9" s="1492">
        <v>185</v>
      </c>
      <c r="M9" s="1493">
        <v>177</v>
      </c>
      <c r="N9" s="1494">
        <v>8</v>
      </c>
      <c r="O9" s="1492">
        <v>182</v>
      </c>
      <c r="P9" s="1493">
        <v>167</v>
      </c>
      <c r="Q9" s="1493">
        <v>15</v>
      </c>
    </row>
    <row r="10" spans="1:20" s="1482" customFormat="1" ht="20.100000000000001" customHeight="1">
      <c r="A10" s="1495"/>
      <c r="B10" s="1496" t="s">
        <v>1813</v>
      </c>
      <c r="C10" s="1492">
        <v>156</v>
      </c>
      <c r="D10" s="1493">
        <v>150</v>
      </c>
      <c r="E10" s="1494">
        <v>6</v>
      </c>
      <c r="F10" s="1492">
        <v>103</v>
      </c>
      <c r="G10" s="1493">
        <v>98</v>
      </c>
      <c r="H10" s="1494">
        <v>5</v>
      </c>
      <c r="I10" s="1492">
        <v>129</v>
      </c>
      <c r="J10" s="1493">
        <v>119</v>
      </c>
      <c r="K10" s="1494">
        <v>10</v>
      </c>
      <c r="L10" s="1492">
        <v>155</v>
      </c>
      <c r="M10" s="1493">
        <v>144</v>
      </c>
      <c r="N10" s="1494">
        <v>11</v>
      </c>
      <c r="O10" s="1492">
        <v>132</v>
      </c>
      <c r="P10" s="1493">
        <v>127</v>
      </c>
      <c r="Q10" s="1493">
        <v>5</v>
      </c>
    </row>
    <row r="11" spans="1:20" s="1482" customFormat="1" ht="20.100000000000001" customHeight="1">
      <c r="A11" s="1495"/>
      <c r="B11" s="1496" t="s">
        <v>1814</v>
      </c>
      <c r="C11" s="1492">
        <v>398</v>
      </c>
      <c r="D11" s="1493">
        <v>391</v>
      </c>
      <c r="E11" s="1494">
        <v>7</v>
      </c>
      <c r="F11" s="1492">
        <v>334</v>
      </c>
      <c r="G11" s="1493">
        <v>331</v>
      </c>
      <c r="H11" s="1494">
        <v>3</v>
      </c>
      <c r="I11" s="1492">
        <v>361</v>
      </c>
      <c r="J11" s="1493">
        <v>358</v>
      </c>
      <c r="K11" s="1494">
        <v>3</v>
      </c>
      <c r="L11" s="1492">
        <v>332</v>
      </c>
      <c r="M11" s="1493">
        <v>332</v>
      </c>
      <c r="N11" s="1494" t="s">
        <v>1</v>
      </c>
      <c r="O11" s="1492">
        <v>303</v>
      </c>
      <c r="P11" s="1493">
        <v>301</v>
      </c>
      <c r="Q11" s="1493">
        <v>2</v>
      </c>
    </row>
    <row r="12" spans="1:20" s="1500" customFormat="1" ht="20.100000000000001" customHeight="1">
      <c r="A12" s="1499"/>
      <c r="B12" s="1496" t="s">
        <v>1815</v>
      </c>
      <c r="C12" s="1492">
        <v>245</v>
      </c>
      <c r="D12" s="1493">
        <v>231</v>
      </c>
      <c r="E12" s="1494">
        <v>14</v>
      </c>
      <c r="F12" s="1492">
        <v>211</v>
      </c>
      <c r="G12" s="1493">
        <v>199</v>
      </c>
      <c r="H12" s="1494">
        <v>12</v>
      </c>
      <c r="I12" s="1492">
        <v>240</v>
      </c>
      <c r="J12" s="1493">
        <v>234</v>
      </c>
      <c r="K12" s="1494">
        <v>6</v>
      </c>
      <c r="L12" s="1492">
        <v>212</v>
      </c>
      <c r="M12" s="1493">
        <v>204</v>
      </c>
      <c r="N12" s="1494">
        <v>8</v>
      </c>
      <c r="O12" s="1492">
        <v>190</v>
      </c>
      <c r="P12" s="1493">
        <v>185</v>
      </c>
      <c r="Q12" s="1493">
        <v>5</v>
      </c>
    </row>
    <row r="13" spans="1:20" ht="20.100000000000001" customHeight="1">
      <c r="A13" s="1497"/>
      <c r="B13" s="1496" t="s">
        <v>1816</v>
      </c>
      <c r="C13" s="1492">
        <v>188</v>
      </c>
      <c r="D13" s="1493">
        <v>177</v>
      </c>
      <c r="E13" s="1494">
        <v>11</v>
      </c>
      <c r="F13" s="1492">
        <v>156</v>
      </c>
      <c r="G13" s="1493">
        <v>151</v>
      </c>
      <c r="H13" s="1494">
        <v>5</v>
      </c>
      <c r="I13" s="1492">
        <v>119</v>
      </c>
      <c r="J13" s="1493">
        <v>115</v>
      </c>
      <c r="K13" s="1494">
        <v>4</v>
      </c>
      <c r="L13" s="1492">
        <v>102</v>
      </c>
      <c r="M13" s="1493">
        <v>97</v>
      </c>
      <c r="N13" s="1494">
        <v>5</v>
      </c>
      <c r="O13" s="1492">
        <v>85</v>
      </c>
      <c r="P13" s="1493">
        <v>83</v>
      </c>
      <c r="Q13" s="1493">
        <v>2</v>
      </c>
    </row>
    <row r="14" spans="1:20" ht="20.100000000000001" customHeight="1">
      <c r="A14" s="1497"/>
      <c r="B14" s="1496" t="s">
        <v>1817</v>
      </c>
      <c r="C14" s="1492">
        <v>221</v>
      </c>
      <c r="D14" s="1493">
        <v>203</v>
      </c>
      <c r="E14" s="1494">
        <v>18</v>
      </c>
      <c r="F14" s="1492">
        <v>232</v>
      </c>
      <c r="G14" s="1493">
        <v>223</v>
      </c>
      <c r="H14" s="1494">
        <v>9</v>
      </c>
      <c r="I14" s="1492">
        <v>168</v>
      </c>
      <c r="J14" s="1493">
        <v>158</v>
      </c>
      <c r="K14" s="1494">
        <v>10</v>
      </c>
      <c r="L14" s="1492">
        <v>170</v>
      </c>
      <c r="M14" s="1493">
        <v>160</v>
      </c>
      <c r="N14" s="1494">
        <v>10</v>
      </c>
      <c r="O14" s="1492">
        <v>181</v>
      </c>
      <c r="P14" s="1493">
        <v>170</v>
      </c>
      <c r="Q14" s="1493">
        <v>11</v>
      </c>
    </row>
    <row r="15" spans="1:20" ht="20.100000000000001" customHeight="1">
      <c r="A15" s="1497"/>
      <c r="B15" s="1496" t="s">
        <v>1818</v>
      </c>
      <c r="C15" s="1492">
        <v>13</v>
      </c>
      <c r="D15" s="1493">
        <v>12</v>
      </c>
      <c r="E15" s="1494">
        <v>1</v>
      </c>
      <c r="F15" s="1492">
        <v>7</v>
      </c>
      <c r="G15" s="1493">
        <v>7</v>
      </c>
      <c r="H15" s="1501" t="s">
        <v>1</v>
      </c>
      <c r="I15" s="1492">
        <v>18</v>
      </c>
      <c r="J15" s="1493">
        <v>18</v>
      </c>
      <c r="K15" s="1501" t="s">
        <v>1</v>
      </c>
      <c r="L15" s="1492">
        <v>5</v>
      </c>
      <c r="M15" s="1493">
        <v>5</v>
      </c>
      <c r="N15" s="1501" t="s">
        <v>1</v>
      </c>
      <c r="O15" s="1492">
        <v>3</v>
      </c>
      <c r="P15" s="1493">
        <v>3</v>
      </c>
      <c r="Q15" s="1502" t="s">
        <v>1</v>
      </c>
    </row>
    <row r="16" spans="1:20" ht="20.100000000000001" customHeight="1">
      <c r="A16" s="1497"/>
      <c r="B16" s="1496" t="s">
        <v>1819</v>
      </c>
      <c r="C16" s="1492">
        <v>2</v>
      </c>
      <c r="D16" s="1493">
        <v>2</v>
      </c>
      <c r="E16" s="1501" t="s">
        <v>1</v>
      </c>
      <c r="F16" s="1503" t="s">
        <v>1</v>
      </c>
      <c r="G16" s="1502" t="s">
        <v>1</v>
      </c>
      <c r="H16" s="1501" t="s">
        <v>1</v>
      </c>
      <c r="I16" s="1503" t="s">
        <v>1</v>
      </c>
      <c r="J16" s="1502" t="s">
        <v>1</v>
      </c>
      <c r="K16" s="1501" t="s">
        <v>1</v>
      </c>
      <c r="L16" s="1503" t="s">
        <v>1</v>
      </c>
      <c r="M16" s="1502" t="s">
        <v>1</v>
      </c>
      <c r="N16" s="1501" t="s">
        <v>1</v>
      </c>
      <c r="O16" s="1503" t="s">
        <v>1</v>
      </c>
      <c r="P16" s="1502" t="s">
        <v>1</v>
      </c>
      <c r="Q16" s="1502" t="s">
        <v>1</v>
      </c>
    </row>
    <row r="17" spans="1:18" ht="20.100000000000001" customHeight="1">
      <c r="A17" s="1490" t="s">
        <v>1820</v>
      </c>
      <c r="B17" s="1491"/>
      <c r="C17" s="1492">
        <v>19</v>
      </c>
      <c r="D17" s="1493">
        <v>18</v>
      </c>
      <c r="E17" s="1494">
        <v>1</v>
      </c>
      <c r="F17" s="1492">
        <v>10</v>
      </c>
      <c r="G17" s="1493">
        <v>7</v>
      </c>
      <c r="H17" s="1494">
        <v>3</v>
      </c>
      <c r="I17" s="1492">
        <v>10</v>
      </c>
      <c r="J17" s="1493">
        <v>7</v>
      </c>
      <c r="K17" s="1494">
        <v>3</v>
      </c>
      <c r="L17" s="1492">
        <v>5</v>
      </c>
      <c r="M17" s="1493">
        <v>4</v>
      </c>
      <c r="N17" s="1494">
        <v>1</v>
      </c>
      <c r="O17" s="1492">
        <v>6</v>
      </c>
      <c r="P17" s="1493">
        <v>6</v>
      </c>
      <c r="Q17" s="1502" t="s">
        <v>1</v>
      </c>
    </row>
    <row r="18" spans="1:18" ht="20.100000000000001" customHeight="1">
      <c r="A18" s="1490" t="s">
        <v>1821</v>
      </c>
      <c r="B18" s="1491"/>
      <c r="C18" s="1492">
        <v>8</v>
      </c>
      <c r="D18" s="1493">
        <v>7</v>
      </c>
      <c r="E18" s="1494">
        <v>1</v>
      </c>
      <c r="F18" s="1492">
        <v>4</v>
      </c>
      <c r="G18" s="1493">
        <v>3</v>
      </c>
      <c r="H18" s="1494">
        <v>1</v>
      </c>
      <c r="I18" s="1492">
        <v>7</v>
      </c>
      <c r="J18" s="1493">
        <v>6</v>
      </c>
      <c r="K18" s="1494">
        <v>1</v>
      </c>
      <c r="L18" s="1492">
        <v>7</v>
      </c>
      <c r="M18" s="1493">
        <v>6</v>
      </c>
      <c r="N18" s="1494">
        <v>1</v>
      </c>
      <c r="O18" s="1492">
        <v>6</v>
      </c>
      <c r="P18" s="1493">
        <v>6</v>
      </c>
      <c r="Q18" s="1502" t="s">
        <v>1</v>
      </c>
    </row>
    <row r="19" spans="1:18" ht="20.100000000000001" customHeight="1">
      <c r="A19" s="1490" t="s">
        <v>1822</v>
      </c>
      <c r="B19" s="1491"/>
      <c r="C19" s="1492">
        <v>10216</v>
      </c>
      <c r="D19" s="1493">
        <v>9784</v>
      </c>
      <c r="E19" s="1494">
        <v>432</v>
      </c>
      <c r="F19" s="1492">
        <v>9775</v>
      </c>
      <c r="G19" s="1493">
        <v>9311</v>
      </c>
      <c r="H19" s="1494">
        <v>464</v>
      </c>
      <c r="I19" s="1492">
        <v>9753</v>
      </c>
      <c r="J19" s="1493">
        <v>9311</v>
      </c>
      <c r="K19" s="1494">
        <v>442</v>
      </c>
      <c r="L19" s="1492">
        <v>9921</v>
      </c>
      <c r="M19" s="1493">
        <v>9447</v>
      </c>
      <c r="N19" s="1494">
        <v>474</v>
      </c>
      <c r="O19" s="1492">
        <v>9416</v>
      </c>
      <c r="P19" s="1493">
        <v>8973</v>
      </c>
      <c r="Q19" s="1493">
        <v>443</v>
      </c>
    </row>
    <row r="20" spans="1:18" ht="20.100000000000001" customHeight="1">
      <c r="A20" s="1497"/>
      <c r="B20" s="1504" t="s">
        <v>1823</v>
      </c>
      <c r="C20" s="1492">
        <v>9602</v>
      </c>
      <c r="D20" s="1493">
        <v>9199</v>
      </c>
      <c r="E20" s="1494">
        <v>403</v>
      </c>
      <c r="F20" s="1492">
        <v>9127</v>
      </c>
      <c r="G20" s="1493">
        <v>8694</v>
      </c>
      <c r="H20" s="1494">
        <v>433</v>
      </c>
      <c r="I20" s="1492">
        <v>9032</v>
      </c>
      <c r="J20" s="1493">
        <v>8625</v>
      </c>
      <c r="K20" s="1494">
        <v>407</v>
      </c>
      <c r="L20" s="1492">
        <v>9165</v>
      </c>
      <c r="M20" s="1493">
        <v>8736</v>
      </c>
      <c r="N20" s="1494">
        <v>429</v>
      </c>
      <c r="O20" s="1492">
        <v>8765</v>
      </c>
      <c r="P20" s="1493">
        <v>8355</v>
      </c>
      <c r="Q20" s="1493">
        <v>410</v>
      </c>
    </row>
    <row r="21" spans="1:18" ht="20.100000000000001" customHeight="1">
      <c r="A21" s="1505" t="s">
        <v>1824</v>
      </c>
      <c r="B21" s="1506"/>
      <c r="C21" s="1492">
        <v>589</v>
      </c>
      <c r="D21" s="1493">
        <v>475</v>
      </c>
      <c r="E21" s="1494">
        <v>114</v>
      </c>
      <c r="F21" s="1492">
        <v>511</v>
      </c>
      <c r="G21" s="1493">
        <v>405</v>
      </c>
      <c r="H21" s="1494">
        <v>106</v>
      </c>
      <c r="I21" s="1492">
        <v>478</v>
      </c>
      <c r="J21" s="1493">
        <v>379</v>
      </c>
      <c r="K21" s="1494">
        <v>99</v>
      </c>
      <c r="L21" s="1492">
        <v>449</v>
      </c>
      <c r="M21" s="1493">
        <v>346</v>
      </c>
      <c r="N21" s="1494">
        <v>103</v>
      </c>
      <c r="O21" s="1492">
        <v>370</v>
      </c>
      <c r="P21" s="1493">
        <v>274</v>
      </c>
      <c r="Q21" s="1493">
        <v>96</v>
      </c>
    </row>
    <row r="22" spans="1:18" ht="20.100000000000001" customHeight="1">
      <c r="A22" s="1505" t="s">
        <v>1825</v>
      </c>
      <c r="B22" s="1506"/>
      <c r="C22" s="1492">
        <f>365-215</f>
        <v>150</v>
      </c>
      <c r="D22" s="1493">
        <f>339-203</f>
        <v>136</v>
      </c>
      <c r="E22" s="1494">
        <f>26-12</f>
        <v>14</v>
      </c>
      <c r="F22" s="1492">
        <f>344-206</f>
        <v>138</v>
      </c>
      <c r="G22" s="1493">
        <f>318-188</f>
        <v>130</v>
      </c>
      <c r="H22" s="1494">
        <f>26-18</f>
        <v>8</v>
      </c>
      <c r="I22" s="1492">
        <f>309-192</f>
        <v>117</v>
      </c>
      <c r="J22" s="1493">
        <f>283-175</f>
        <v>108</v>
      </c>
      <c r="K22" s="1494">
        <f>26-17</f>
        <v>9</v>
      </c>
      <c r="L22" s="1492">
        <f>333-185</f>
        <v>148</v>
      </c>
      <c r="M22" s="1493">
        <f>311-177</f>
        <v>134</v>
      </c>
      <c r="N22" s="1494">
        <f>22-8</f>
        <v>14</v>
      </c>
      <c r="O22" s="1492">
        <f>327-182</f>
        <v>145</v>
      </c>
      <c r="P22" s="1493">
        <f>296-167</f>
        <v>129</v>
      </c>
      <c r="Q22" s="1493">
        <v>16</v>
      </c>
    </row>
    <row r="23" spans="1:18" ht="20.100000000000001" customHeight="1">
      <c r="A23" s="1505" t="s">
        <v>1826</v>
      </c>
      <c r="B23" s="1506"/>
      <c r="C23" s="1492">
        <f>889-156</f>
        <v>733</v>
      </c>
      <c r="D23" s="1493">
        <f>831-150</f>
        <v>681</v>
      </c>
      <c r="E23" s="1494">
        <f>58-6</f>
        <v>52</v>
      </c>
      <c r="F23" s="1492">
        <f>993-103</f>
        <v>890</v>
      </c>
      <c r="G23" s="1493">
        <f>929-98</f>
        <v>831</v>
      </c>
      <c r="H23" s="1494">
        <f>64-5</f>
        <v>59</v>
      </c>
      <c r="I23" s="1492">
        <f>1080-129</f>
        <v>951</v>
      </c>
      <c r="J23" s="1493">
        <f>1003-119</f>
        <v>884</v>
      </c>
      <c r="K23" s="1494">
        <f>77-10</f>
        <v>67</v>
      </c>
      <c r="L23" s="1492">
        <f>1120-155</f>
        <v>965</v>
      </c>
      <c r="M23" s="1493">
        <f>1014-144</f>
        <v>870</v>
      </c>
      <c r="N23" s="1494">
        <f>106-11</f>
        <v>95</v>
      </c>
      <c r="O23" s="1492">
        <f>1137-132</f>
        <v>1005</v>
      </c>
      <c r="P23" s="1493">
        <f>1044-127</f>
        <v>917</v>
      </c>
      <c r="Q23" s="1493">
        <v>88</v>
      </c>
    </row>
    <row r="24" spans="1:18" ht="20.100000000000001" customHeight="1">
      <c r="A24" s="1490" t="s">
        <v>1827</v>
      </c>
      <c r="B24" s="1491"/>
      <c r="C24" s="1492">
        <v>4398</v>
      </c>
      <c r="D24" s="1493">
        <v>4010</v>
      </c>
      <c r="E24" s="1494">
        <v>388</v>
      </c>
      <c r="F24" s="1492">
        <v>4164</v>
      </c>
      <c r="G24" s="1493">
        <v>3753</v>
      </c>
      <c r="H24" s="1494">
        <v>411</v>
      </c>
      <c r="I24" s="1492">
        <v>4324</v>
      </c>
      <c r="J24" s="1493">
        <v>3863</v>
      </c>
      <c r="K24" s="1494">
        <v>461</v>
      </c>
      <c r="L24" s="1492">
        <v>4387</v>
      </c>
      <c r="M24" s="1493">
        <v>3919</v>
      </c>
      <c r="N24" s="1494">
        <v>468</v>
      </c>
      <c r="O24" s="1492">
        <v>4190</v>
      </c>
      <c r="P24" s="1493">
        <v>3761</v>
      </c>
      <c r="Q24" s="1493">
        <v>429</v>
      </c>
    </row>
    <row r="25" spans="1:18" ht="20.100000000000001" customHeight="1">
      <c r="A25" s="1490" t="s">
        <v>1828</v>
      </c>
      <c r="B25" s="1491"/>
      <c r="C25" s="1492">
        <v>1617</v>
      </c>
      <c r="D25" s="1493">
        <v>1358</v>
      </c>
      <c r="E25" s="1494">
        <v>259</v>
      </c>
      <c r="F25" s="1492">
        <v>1921</v>
      </c>
      <c r="G25" s="1493">
        <v>1626</v>
      </c>
      <c r="H25" s="1494">
        <v>295</v>
      </c>
      <c r="I25" s="1492">
        <v>2503</v>
      </c>
      <c r="J25" s="1493">
        <v>2173</v>
      </c>
      <c r="K25" s="1494">
        <v>330</v>
      </c>
      <c r="L25" s="1492">
        <v>2892</v>
      </c>
      <c r="M25" s="1493">
        <v>2474</v>
      </c>
      <c r="N25" s="1494">
        <v>418</v>
      </c>
      <c r="O25" s="1492">
        <v>2940</v>
      </c>
      <c r="P25" s="1493">
        <v>2495</v>
      </c>
      <c r="Q25" s="1493">
        <v>445</v>
      </c>
    </row>
    <row r="26" spans="1:18" ht="20.100000000000001" customHeight="1">
      <c r="A26" s="1490" t="s">
        <v>1829</v>
      </c>
      <c r="B26" s="1491"/>
      <c r="C26" s="1492">
        <f>847-398</f>
        <v>449</v>
      </c>
      <c r="D26" s="1493">
        <f>838-391</f>
        <v>447</v>
      </c>
      <c r="E26" s="1494">
        <v>2</v>
      </c>
      <c r="F26" s="1492">
        <f>695-334</f>
        <v>361</v>
      </c>
      <c r="G26" s="1493">
        <f>691-331</f>
        <v>360</v>
      </c>
      <c r="H26" s="1494">
        <v>1</v>
      </c>
      <c r="I26" s="1492">
        <f>749-361</f>
        <v>388</v>
      </c>
      <c r="J26" s="1493">
        <f>745-358</f>
        <v>387</v>
      </c>
      <c r="K26" s="1494">
        <v>1</v>
      </c>
      <c r="L26" s="1492">
        <f>711-332</f>
        <v>379</v>
      </c>
      <c r="M26" s="1493">
        <f>709-332</f>
        <v>377</v>
      </c>
      <c r="N26" s="1494">
        <v>2</v>
      </c>
      <c r="O26" s="1492">
        <f>662-303</f>
        <v>359</v>
      </c>
      <c r="P26" s="1493">
        <f>659-301</f>
        <v>358</v>
      </c>
      <c r="Q26" s="1493">
        <v>1</v>
      </c>
    </row>
    <row r="27" spans="1:18" ht="20.100000000000001" customHeight="1">
      <c r="A27" s="1505" t="s">
        <v>1830</v>
      </c>
      <c r="B27" s="1506"/>
      <c r="C27" s="1492">
        <v>845</v>
      </c>
      <c r="D27" s="1493">
        <v>834</v>
      </c>
      <c r="E27" s="1494">
        <v>11</v>
      </c>
      <c r="F27" s="1492">
        <v>857</v>
      </c>
      <c r="G27" s="1493">
        <v>848</v>
      </c>
      <c r="H27" s="1494">
        <v>9</v>
      </c>
      <c r="I27" s="1492">
        <v>893</v>
      </c>
      <c r="J27" s="1493">
        <v>886</v>
      </c>
      <c r="K27" s="1494">
        <v>7</v>
      </c>
      <c r="L27" s="1492">
        <v>887</v>
      </c>
      <c r="M27" s="1493">
        <v>880</v>
      </c>
      <c r="N27" s="1494">
        <v>7</v>
      </c>
      <c r="O27" s="1492">
        <v>962</v>
      </c>
      <c r="P27" s="1493">
        <v>952</v>
      </c>
      <c r="Q27" s="1493">
        <v>10</v>
      </c>
    </row>
    <row r="28" spans="1:18" s="1500" customFormat="1" ht="20.100000000000001" customHeight="1">
      <c r="A28" s="1507" t="s">
        <v>1831</v>
      </c>
      <c r="B28" s="1508"/>
      <c r="C28" s="1509">
        <v>3686</v>
      </c>
      <c r="D28" s="1510">
        <v>3293</v>
      </c>
      <c r="E28" s="1511">
        <v>393</v>
      </c>
      <c r="F28" s="1509">
        <v>3701</v>
      </c>
      <c r="G28" s="1510">
        <v>3323</v>
      </c>
      <c r="H28" s="1511">
        <v>378</v>
      </c>
      <c r="I28" s="1509">
        <v>3850</v>
      </c>
      <c r="J28" s="1510">
        <v>3435</v>
      </c>
      <c r="K28" s="1511">
        <v>415</v>
      </c>
      <c r="L28" s="1509">
        <v>3900</v>
      </c>
      <c r="M28" s="1510">
        <v>3491</v>
      </c>
      <c r="N28" s="1511">
        <v>409</v>
      </c>
      <c r="O28" s="1509">
        <v>3698</v>
      </c>
      <c r="P28" s="1510">
        <v>3285</v>
      </c>
      <c r="Q28" s="1510">
        <v>413</v>
      </c>
    </row>
    <row r="29" spans="1:18" s="1514" customFormat="1" ht="14.85" customHeight="1">
      <c r="A29" s="1512" t="s">
        <v>1832</v>
      </c>
      <c r="B29" s="1512"/>
      <c r="C29" s="1513"/>
      <c r="D29" s="1513"/>
      <c r="E29" s="1513"/>
      <c r="F29" s="1513"/>
      <c r="G29" s="1513"/>
      <c r="H29" s="1513"/>
    </row>
    <row r="30" spans="1:18" s="1516" customFormat="1" ht="14.85" customHeight="1">
      <c r="A30" s="1515" t="s">
        <v>1833</v>
      </c>
      <c r="B30" s="1515"/>
      <c r="C30" s="1515"/>
      <c r="D30" s="1515"/>
      <c r="E30" s="1515"/>
      <c r="F30" s="1515"/>
      <c r="G30" s="1515"/>
      <c r="H30" s="1515"/>
      <c r="I30" s="1515"/>
      <c r="J30" s="1515"/>
      <c r="K30" s="1515"/>
      <c r="L30" s="1515"/>
      <c r="M30" s="1515"/>
      <c r="N30" s="1515"/>
      <c r="O30" s="1515"/>
      <c r="P30" s="1515"/>
      <c r="Q30" s="1515"/>
      <c r="R30" s="1515"/>
    </row>
    <row r="31" spans="1:18" s="1516" customFormat="1" ht="30" customHeight="1">
      <c r="A31" s="3463" t="s">
        <v>1834</v>
      </c>
      <c r="B31" s="3463"/>
      <c r="C31" s="3463"/>
      <c r="D31" s="3463"/>
      <c r="E31" s="3463"/>
      <c r="F31" s="3463"/>
      <c r="G31" s="3463"/>
      <c r="H31" s="3463"/>
      <c r="I31" s="3463"/>
      <c r="J31" s="3463"/>
      <c r="K31" s="3463"/>
      <c r="L31" s="3463"/>
      <c r="M31" s="3463"/>
      <c r="N31" s="3463"/>
      <c r="O31" s="3463"/>
      <c r="P31" s="3463"/>
      <c r="Q31" s="3463"/>
      <c r="R31" s="1517"/>
    </row>
    <row r="32" spans="1:18" s="1516" customFormat="1" ht="16.5" customHeight="1">
      <c r="A32" s="1515" t="s">
        <v>1835</v>
      </c>
      <c r="B32" s="1515"/>
      <c r="C32" s="1515"/>
      <c r="D32" s="1515"/>
      <c r="E32" s="1515"/>
      <c r="F32" s="1515"/>
      <c r="G32" s="1515"/>
      <c r="H32" s="1515"/>
      <c r="I32" s="1515"/>
      <c r="J32" s="1515"/>
      <c r="K32" s="1515"/>
      <c r="L32" s="1515"/>
      <c r="M32" s="1515"/>
      <c r="N32" s="1515"/>
      <c r="O32" s="1515"/>
      <c r="P32" s="1517"/>
      <c r="Q32" s="1517"/>
      <c r="R32" s="1517"/>
    </row>
    <row r="33" spans="1:17">
      <c r="A33" s="1515" t="s">
        <v>1836</v>
      </c>
      <c r="B33" s="1515"/>
      <c r="C33" s="1515"/>
      <c r="D33" s="1515"/>
      <c r="E33" s="1515"/>
      <c r="F33" s="1515"/>
      <c r="G33" s="1515"/>
      <c r="H33" s="1515"/>
      <c r="I33" s="1515"/>
      <c r="J33" s="1515"/>
      <c r="K33" s="1515"/>
      <c r="L33" s="1515"/>
      <c r="M33" s="1515"/>
      <c r="N33" s="1515"/>
      <c r="O33" s="1515"/>
    </row>
    <row r="35" spans="1:17">
      <c r="C35" s="1518"/>
      <c r="D35" s="1518"/>
      <c r="E35" s="1518"/>
      <c r="F35" s="1518"/>
      <c r="G35" s="1518"/>
      <c r="H35" s="1518"/>
      <c r="I35" s="1518"/>
      <c r="J35" s="1518"/>
      <c r="K35" s="1518"/>
      <c r="L35" s="1518"/>
      <c r="M35" s="1518"/>
      <c r="N35" s="1518"/>
      <c r="O35" s="1518"/>
      <c r="P35" s="1518"/>
      <c r="Q35" s="1518"/>
    </row>
  </sheetData>
  <mergeCells count="8">
    <mergeCell ref="A31:Q31"/>
    <mergeCell ref="A1:Q1"/>
    <mergeCell ref="A2:A3"/>
    <mergeCell ref="C2:E2"/>
    <mergeCell ref="F2:H2"/>
    <mergeCell ref="I2:K2"/>
    <mergeCell ref="L2:N2"/>
    <mergeCell ref="O2:Q2"/>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47"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W27"/>
  <sheetViews>
    <sheetView showGridLines="0" workbookViewId="0">
      <selection activeCell="B16" sqref="B16"/>
    </sheetView>
  </sheetViews>
  <sheetFormatPr defaultColWidth="8.75" defaultRowHeight="15.75"/>
  <cols>
    <col min="1" max="1" width="6.75" style="1402" customWidth="1"/>
    <col min="2" max="3" width="8.875" style="1402" customWidth="1"/>
    <col min="4" max="23" width="8.875" style="1399" customWidth="1"/>
    <col min="24" max="16384" width="8.75" style="1399"/>
  </cols>
  <sheetData>
    <row r="1" spans="1:23" s="1394" customFormat="1" ht="31.5" customHeight="1">
      <c r="A1" s="3436" t="s">
        <v>1837</v>
      </c>
      <c r="B1" s="3436"/>
      <c r="C1" s="3436"/>
      <c r="D1" s="3436"/>
      <c r="E1" s="3436"/>
      <c r="F1" s="3472"/>
      <c r="G1" s="3472"/>
      <c r="H1" s="3472"/>
      <c r="I1" s="3472"/>
      <c r="J1" s="3472"/>
      <c r="K1" s="3472"/>
      <c r="L1" s="3472"/>
      <c r="M1" s="3472"/>
      <c r="N1" s="3472"/>
      <c r="O1" s="3472"/>
      <c r="P1" s="3472"/>
      <c r="Q1" s="3472"/>
      <c r="R1" s="3472"/>
      <c r="S1" s="3472"/>
      <c r="T1" s="3472"/>
      <c r="U1" s="3472"/>
      <c r="V1" s="3472"/>
      <c r="W1" s="3472"/>
    </row>
    <row r="2" spans="1:23" ht="18" customHeight="1">
      <c r="A2" s="3446"/>
      <c r="B2" s="3473" t="s">
        <v>1838</v>
      </c>
      <c r="C2" s="3473"/>
      <c r="D2" s="3473"/>
      <c r="E2" s="3474"/>
      <c r="F2" s="3475" t="s">
        <v>1839</v>
      </c>
      <c r="G2" s="3474"/>
      <c r="H2" s="3475" t="s">
        <v>1840</v>
      </c>
      <c r="I2" s="3474"/>
      <c r="J2" s="3475" t="s">
        <v>1841</v>
      </c>
      <c r="K2" s="3474"/>
      <c r="L2" s="3475" t="s">
        <v>1842</v>
      </c>
      <c r="M2" s="3474"/>
      <c r="N2" s="3475" t="s">
        <v>1843</v>
      </c>
      <c r="O2" s="3474"/>
      <c r="P2" s="3475" t="s">
        <v>1844</v>
      </c>
      <c r="Q2" s="3474"/>
      <c r="R2" s="3475" t="s">
        <v>1845</v>
      </c>
      <c r="S2" s="3474"/>
      <c r="T2" s="3475" t="s">
        <v>1846</v>
      </c>
      <c r="U2" s="3474"/>
      <c r="V2" s="3475" t="s">
        <v>1847</v>
      </c>
      <c r="W2" s="3473"/>
    </row>
    <row r="3" spans="1:23" ht="19.899999999999999" customHeight="1">
      <c r="A3" s="3448"/>
      <c r="B3" s="3474" t="s">
        <v>1672</v>
      </c>
      <c r="C3" s="3476"/>
      <c r="D3" s="3476" t="s">
        <v>0</v>
      </c>
      <c r="E3" s="3476"/>
      <c r="F3" s="1519" t="s">
        <v>1672</v>
      </c>
      <c r="G3" s="1400" t="s">
        <v>0</v>
      </c>
      <c r="H3" s="1400" t="s">
        <v>1672</v>
      </c>
      <c r="I3" s="1400" t="s">
        <v>0</v>
      </c>
      <c r="J3" s="1400" t="s">
        <v>1672</v>
      </c>
      <c r="K3" s="1400" t="s">
        <v>0</v>
      </c>
      <c r="L3" s="1400" t="s">
        <v>1672</v>
      </c>
      <c r="M3" s="1400" t="s">
        <v>0</v>
      </c>
      <c r="N3" s="1400" t="s">
        <v>1672</v>
      </c>
      <c r="O3" s="1400" t="s">
        <v>0</v>
      </c>
      <c r="P3" s="1400" t="s">
        <v>1672</v>
      </c>
      <c r="Q3" s="1400" t="s">
        <v>0</v>
      </c>
      <c r="R3" s="1400" t="s">
        <v>1672</v>
      </c>
      <c r="S3" s="1400" t="s">
        <v>0</v>
      </c>
      <c r="T3" s="1400" t="s">
        <v>1672</v>
      </c>
      <c r="U3" s="1400" t="s">
        <v>0</v>
      </c>
      <c r="V3" s="1400" t="s">
        <v>1672</v>
      </c>
      <c r="W3" s="1400" t="s">
        <v>0</v>
      </c>
    </row>
    <row r="4" spans="1:23" ht="19.350000000000001" customHeight="1">
      <c r="A4" s="1520" t="s">
        <v>1677</v>
      </c>
      <c r="B4" s="3477">
        <f t="shared" ref="B4:B11" si="0">SUM(J17,D17,H4,P4,N17,J4,V4,F17,T17,F4,B17,P17,L4,N4,T4,H17,R17,L17,R4,V17)</f>
        <v>37179</v>
      </c>
      <c r="C4" s="3478"/>
      <c r="D4" s="3479">
        <f t="shared" ref="D4:D13" si="1">SUM(K17,E17,I4,Q4,O17,K4,W4,G17,U17,G4,C17,Q17,M4,O4,U4,I17,S17,M17,S4,W17)</f>
        <v>100</v>
      </c>
      <c r="E4" s="3480"/>
      <c r="F4" s="1422">
        <v>7989</v>
      </c>
      <c r="G4" s="1521">
        <f t="shared" ref="G4:G13" si="2">F4/B4*100</f>
        <v>21.487936738481402</v>
      </c>
      <c r="H4" s="1422">
        <v>9495</v>
      </c>
      <c r="I4" s="1522">
        <f t="shared" ref="I4:I13" si="3">H4/B4*100</f>
        <v>25.53861050593077</v>
      </c>
      <c r="J4" s="1422">
        <v>11238</v>
      </c>
      <c r="K4" s="1522">
        <f t="shared" ref="K4:K13" si="4">J4/B4*100</f>
        <v>30.226740902122167</v>
      </c>
      <c r="L4" s="1422">
        <v>2285</v>
      </c>
      <c r="M4" s="1521">
        <f t="shared" ref="M4:M13" si="5">L4/B4*100</f>
        <v>6.1459426020065093</v>
      </c>
      <c r="N4" s="1422">
        <v>840</v>
      </c>
      <c r="O4" s="1521">
        <f t="shared" ref="O4:O13" si="6">N4/B4*100</f>
        <v>2.2593399499717584</v>
      </c>
      <c r="P4" s="1422">
        <v>377</v>
      </c>
      <c r="Q4" s="1522">
        <f t="shared" ref="Q4:Q13" si="7">P4/B4*100</f>
        <v>1.0140132870706582</v>
      </c>
      <c r="R4" s="1422">
        <v>1947</v>
      </c>
      <c r="S4" s="1522">
        <f t="shared" ref="S4:S13" si="8">R4/B4*100</f>
        <v>5.2368272411845398</v>
      </c>
      <c r="T4" s="1422">
        <v>656</v>
      </c>
      <c r="U4" s="1521">
        <f t="shared" ref="U4:U13" si="9">T4/B4*100</f>
        <v>1.7644369133112778</v>
      </c>
      <c r="V4" s="1422">
        <v>909</v>
      </c>
      <c r="W4" s="1523">
        <f t="shared" ref="W4:W13" si="10">V4/B4*100</f>
        <v>2.4449285887194385</v>
      </c>
    </row>
    <row r="5" spans="1:23" ht="19.149999999999999" customHeight="1">
      <c r="A5" s="1520" t="s">
        <v>794</v>
      </c>
      <c r="B5" s="3477">
        <f t="shared" si="0"/>
        <v>36479</v>
      </c>
      <c r="C5" s="3478"/>
      <c r="D5" s="3481">
        <f t="shared" si="1"/>
        <v>100.00000000000001</v>
      </c>
      <c r="E5" s="3482"/>
      <c r="F5" s="1422">
        <v>7058</v>
      </c>
      <c r="G5" s="1521">
        <f t="shared" si="2"/>
        <v>19.348118095342524</v>
      </c>
      <c r="H5" s="1422">
        <v>9080</v>
      </c>
      <c r="I5" s="1522">
        <f t="shared" si="3"/>
        <v>24.89103319718194</v>
      </c>
      <c r="J5" s="1422">
        <v>10442</v>
      </c>
      <c r="K5" s="1522">
        <f t="shared" si="4"/>
        <v>28.624688176759232</v>
      </c>
      <c r="L5" s="1422">
        <v>2893</v>
      </c>
      <c r="M5" s="1521">
        <f t="shared" si="5"/>
        <v>7.9305902025823078</v>
      </c>
      <c r="N5" s="1422">
        <v>820</v>
      </c>
      <c r="O5" s="1521">
        <f t="shared" si="6"/>
        <v>2.247868636749911</v>
      </c>
      <c r="P5" s="1422">
        <v>509</v>
      </c>
      <c r="Q5" s="1522">
        <f t="shared" si="7"/>
        <v>1.3953233367142741</v>
      </c>
      <c r="R5" s="1422">
        <v>2880</v>
      </c>
      <c r="S5" s="1522">
        <f t="shared" si="8"/>
        <v>7.8949532607801745</v>
      </c>
      <c r="T5" s="1422">
        <v>683</v>
      </c>
      <c r="U5" s="1521">
        <f t="shared" si="9"/>
        <v>1.872310096219743</v>
      </c>
      <c r="V5" s="1422">
        <v>1008</v>
      </c>
      <c r="W5" s="1521">
        <f t="shared" si="10"/>
        <v>2.7632336412730609</v>
      </c>
    </row>
    <row r="6" spans="1:23" ht="19.149999999999999" customHeight="1">
      <c r="A6" s="1520" t="s">
        <v>795</v>
      </c>
      <c r="B6" s="3477">
        <f t="shared" si="0"/>
        <v>35356</v>
      </c>
      <c r="C6" s="3478"/>
      <c r="D6" s="3481">
        <f t="shared" si="1"/>
        <v>100.00000000000001</v>
      </c>
      <c r="E6" s="3482"/>
      <c r="F6" s="1422">
        <v>7549</v>
      </c>
      <c r="G6" s="1521">
        <f t="shared" si="2"/>
        <v>21.351397216879739</v>
      </c>
      <c r="H6" s="1422">
        <v>7852</v>
      </c>
      <c r="I6" s="1522">
        <f t="shared" si="3"/>
        <v>22.208394614775425</v>
      </c>
      <c r="J6" s="1422">
        <v>10246</v>
      </c>
      <c r="K6" s="1522">
        <f t="shared" si="4"/>
        <v>28.979522570426518</v>
      </c>
      <c r="L6" s="1422">
        <v>2556</v>
      </c>
      <c r="M6" s="1521">
        <f t="shared" si="5"/>
        <v>7.2293245842289853</v>
      </c>
      <c r="N6" s="1422">
        <v>742</v>
      </c>
      <c r="O6" s="1521">
        <f t="shared" si="6"/>
        <v>2.0986536938567708</v>
      </c>
      <c r="P6" s="1422">
        <v>247</v>
      </c>
      <c r="Q6" s="1522">
        <f t="shared" si="7"/>
        <v>0.69860843986876342</v>
      </c>
      <c r="R6" s="1422">
        <v>2573</v>
      </c>
      <c r="S6" s="1522">
        <f t="shared" si="8"/>
        <v>7.2774069464871598</v>
      </c>
      <c r="T6" s="1422">
        <v>912</v>
      </c>
      <c r="U6" s="1521">
        <f t="shared" si="9"/>
        <v>2.5794773164385112</v>
      </c>
      <c r="V6" s="1422">
        <v>955</v>
      </c>
      <c r="W6" s="1521">
        <f t="shared" si="10"/>
        <v>2.7010974092091864</v>
      </c>
    </row>
    <row r="7" spans="1:23" ht="19.149999999999999" customHeight="1">
      <c r="A7" s="1520" t="s">
        <v>796</v>
      </c>
      <c r="B7" s="3477">
        <f t="shared" si="0"/>
        <v>34193</v>
      </c>
      <c r="C7" s="3478"/>
      <c r="D7" s="3481">
        <f t="shared" si="1"/>
        <v>99.999999999999986</v>
      </c>
      <c r="E7" s="3482"/>
      <c r="F7" s="1422">
        <v>7180</v>
      </c>
      <c r="G7" s="1521">
        <f t="shared" si="2"/>
        <v>20.998449975141114</v>
      </c>
      <c r="H7" s="1422">
        <v>8400</v>
      </c>
      <c r="I7" s="1522">
        <f t="shared" si="3"/>
        <v>24.56643172579183</v>
      </c>
      <c r="J7" s="1422">
        <v>9180</v>
      </c>
      <c r="K7" s="1522">
        <f t="shared" si="4"/>
        <v>26.847600386043929</v>
      </c>
      <c r="L7" s="1422">
        <v>2897</v>
      </c>
      <c r="M7" s="1521">
        <f t="shared" si="5"/>
        <v>8.4724943701927291</v>
      </c>
      <c r="N7" s="1422">
        <v>696</v>
      </c>
      <c r="O7" s="1521">
        <f t="shared" si="6"/>
        <v>2.0355043429941801</v>
      </c>
      <c r="P7" s="1422">
        <v>223</v>
      </c>
      <c r="Q7" s="1522">
        <f t="shared" si="7"/>
        <v>0.65218027081566399</v>
      </c>
      <c r="R7" s="1422">
        <v>2838</v>
      </c>
      <c r="S7" s="1522">
        <f t="shared" si="8"/>
        <v>8.2999444330710972</v>
      </c>
      <c r="T7" s="1422">
        <v>1023</v>
      </c>
      <c r="U7" s="1521">
        <f t="shared" si="9"/>
        <v>2.9918404351767904</v>
      </c>
      <c r="V7" s="1422">
        <v>608</v>
      </c>
      <c r="W7" s="1521">
        <f t="shared" si="10"/>
        <v>1.7781417249144564</v>
      </c>
    </row>
    <row r="8" spans="1:23" ht="19.149999999999999" customHeight="1">
      <c r="A8" s="1520" t="s">
        <v>797</v>
      </c>
      <c r="B8" s="3477">
        <f t="shared" si="0"/>
        <v>34446</v>
      </c>
      <c r="C8" s="3478"/>
      <c r="D8" s="3481">
        <f t="shared" si="1"/>
        <v>99.999999999999986</v>
      </c>
      <c r="E8" s="3482"/>
      <c r="F8" s="1422">
        <v>7660</v>
      </c>
      <c r="G8" s="1521">
        <f t="shared" si="2"/>
        <v>22.237705393949948</v>
      </c>
      <c r="H8" s="1422">
        <v>8785</v>
      </c>
      <c r="I8" s="1522">
        <f t="shared" si="3"/>
        <v>25.503686930267666</v>
      </c>
      <c r="J8" s="1422">
        <v>8685</v>
      </c>
      <c r="K8" s="1522">
        <f t="shared" si="4"/>
        <v>25.213377460372762</v>
      </c>
      <c r="L8" s="1422">
        <v>2638</v>
      </c>
      <c r="M8" s="1521">
        <f t="shared" si="5"/>
        <v>7.6583638158276717</v>
      </c>
      <c r="N8" s="1422">
        <v>677</v>
      </c>
      <c r="O8" s="1521">
        <f t="shared" si="6"/>
        <v>1.9653951111885271</v>
      </c>
      <c r="P8" s="1422">
        <v>238</v>
      </c>
      <c r="Q8" s="1522">
        <f t="shared" si="7"/>
        <v>0.690936538349881</v>
      </c>
      <c r="R8" s="1422">
        <v>3239</v>
      </c>
      <c r="S8" s="1522">
        <f t="shared" si="8"/>
        <v>9.4031237298960697</v>
      </c>
      <c r="T8" s="1422">
        <v>796</v>
      </c>
      <c r="U8" s="1521">
        <f t="shared" si="9"/>
        <v>2.3108633803634677</v>
      </c>
      <c r="V8" s="1422">
        <v>517</v>
      </c>
      <c r="W8" s="1521">
        <f t="shared" si="10"/>
        <v>1.5008999593566743</v>
      </c>
    </row>
    <row r="9" spans="1:23" ht="19.149999999999999" customHeight="1">
      <c r="A9" s="1520" t="s">
        <v>798</v>
      </c>
      <c r="B9" s="3477">
        <f t="shared" si="0"/>
        <v>33951</v>
      </c>
      <c r="C9" s="3478"/>
      <c r="D9" s="3481">
        <f t="shared" si="1"/>
        <v>100</v>
      </c>
      <c r="E9" s="3482"/>
      <c r="F9" s="1422">
        <v>8771</v>
      </c>
      <c r="G9" s="1521">
        <f t="shared" si="2"/>
        <v>25.834290595269653</v>
      </c>
      <c r="H9" s="1422">
        <v>7903</v>
      </c>
      <c r="I9" s="1522">
        <f t="shared" si="3"/>
        <v>23.277664869959647</v>
      </c>
      <c r="J9" s="1422">
        <v>8207</v>
      </c>
      <c r="K9" s="1522">
        <f t="shared" si="4"/>
        <v>24.173072958086657</v>
      </c>
      <c r="L9" s="1422">
        <v>2119</v>
      </c>
      <c r="M9" s="1521">
        <f t="shared" si="5"/>
        <v>6.2413478248063381</v>
      </c>
      <c r="N9" s="1422">
        <v>662</v>
      </c>
      <c r="O9" s="1521">
        <f t="shared" si="6"/>
        <v>1.9498689287502577</v>
      </c>
      <c r="P9" s="1422">
        <v>492</v>
      </c>
      <c r="Q9" s="1522">
        <f t="shared" si="7"/>
        <v>1.4491473005213396</v>
      </c>
      <c r="R9" s="1422">
        <v>2977</v>
      </c>
      <c r="S9" s="1522">
        <f t="shared" si="8"/>
        <v>8.7685193366911136</v>
      </c>
      <c r="T9" s="1422">
        <v>739</v>
      </c>
      <c r="U9" s="1521">
        <f t="shared" si="9"/>
        <v>2.1766663721245321</v>
      </c>
      <c r="V9" s="1422">
        <v>644</v>
      </c>
      <c r="W9" s="1521">
        <f t="shared" si="10"/>
        <v>1.8968513445848427</v>
      </c>
    </row>
    <row r="10" spans="1:23" ht="19.149999999999999" customHeight="1">
      <c r="A10" s="1520" t="s">
        <v>799</v>
      </c>
      <c r="B10" s="3477">
        <f t="shared" si="0"/>
        <v>34586</v>
      </c>
      <c r="C10" s="3478"/>
      <c r="D10" s="3481">
        <f t="shared" si="1"/>
        <v>100</v>
      </c>
      <c r="E10" s="3482"/>
      <c r="F10" s="1422">
        <v>10681</v>
      </c>
      <c r="G10" s="1521">
        <f t="shared" si="2"/>
        <v>30.882437980685829</v>
      </c>
      <c r="H10" s="1422">
        <v>7561</v>
      </c>
      <c r="I10" s="1522">
        <f t="shared" si="3"/>
        <v>21.861446828196378</v>
      </c>
      <c r="J10" s="1422">
        <v>7375</v>
      </c>
      <c r="K10" s="1522">
        <f t="shared" si="4"/>
        <v>21.32365697102874</v>
      </c>
      <c r="L10" s="1422">
        <v>2937</v>
      </c>
      <c r="M10" s="1521">
        <f t="shared" si="5"/>
        <v>8.4918753252761228</v>
      </c>
      <c r="N10" s="1422">
        <v>866</v>
      </c>
      <c r="O10" s="1521">
        <f t="shared" si="6"/>
        <v>2.5039033134794426</v>
      </c>
      <c r="P10" s="1422">
        <v>648</v>
      </c>
      <c r="Q10" s="1522">
        <f t="shared" si="7"/>
        <v>1.8735904701324235</v>
      </c>
      <c r="R10" s="1422">
        <v>2291</v>
      </c>
      <c r="S10" s="1522">
        <f t="shared" si="8"/>
        <v>6.6240675417799117</v>
      </c>
      <c r="T10" s="1422">
        <v>580</v>
      </c>
      <c r="U10" s="1521">
        <f t="shared" si="9"/>
        <v>1.6769791245012433</v>
      </c>
      <c r="V10" s="1422">
        <v>449</v>
      </c>
      <c r="W10" s="1521">
        <f t="shared" si="10"/>
        <v>1.2982131498294107</v>
      </c>
    </row>
    <row r="11" spans="1:23" ht="19.149999999999999" customHeight="1">
      <c r="A11" s="1520" t="s">
        <v>800</v>
      </c>
      <c r="B11" s="3477">
        <f t="shared" si="0"/>
        <v>36298</v>
      </c>
      <c r="C11" s="3478"/>
      <c r="D11" s="3481">
        <f t="shared" si="1"/>
        <v>99.999999999999986</v>
      </c>
      <c r="E11" s="3482"/>
      <c r="F11" s="1422">
        <v>11068</v>
      </c>
      <c r="G11" s="1521">
        <f t="shared" si="2"/>
        <v>30.492038128822525</v>
      </c>
      <c r="H11" s="1422">
        <v>7812</v>
      </c>
      <c r="I11" s="1522">
        <f t="shared" si="3"/>
        <v>21.521846933715356</v>
      </c>
      <c r="J11" s="1422">
        <v>8031</v>
      </c>
      <c r="K11" s="1522">
        <f t="shared" si="4"/>
        <v>22.125185960658989</v>
      </c>
      <c r="L11" s="1422">
        <v>3768</v>
      </c>
      <c r="M11" s="1521">
        <f t="shared" si="5"/>
        <v>10.380737230701415</v>
      </c>
      <c r="N11" s="1422">
        <v>1134</v>
      </c>
      <c r="O11" s="1521">
        <f t="shared" si="6"/>
        <v>3.1241390710231967</v>
      </c>
      <c r="P11" s="1422">
        <v>751</v>
      </c>
      <c r="Q11" s="1522">
        <f t="shared" si="7"/>
        <v>2.068984517053281</v>
      </c>
      <c r="R11" s="1422">
        <v>1813</v>
      </c>
      <c r="S11" s="1522">
        <f t="shared" si="8"/>
        <v>4.994765551821037</v>
      </c>
      <c r="T11" s="1422">
        <v>689</v>
      </c>
      <c r="U11" s="1521">
        <f t="shared" si="9"/>
        <v>1.8981762080555402</v>
      </c>
      <c r="V11" s="1422">
        <v>433</v>
      </c>
      <c r="W11" s="1521">
        <f t="shared" si="10"/>
        <v>1.1929031902584164</v>
      </c>
    </row>
    <row r="12" spans="1:23" ht="19.149999999999999" customHeight="1">
      <c r="A12" s="1520" t="s">
        <v>801</v>
      </c>
      <c r="B12" s="3483">
        <v>36161</v>
      </c>
      <c r="C12" s="3484"/>
      <c r="D12" s="3481">
        <f t="shared" si="1"/>
        <v>100</v>
      </c>
      <c r="E12" s="3482"/>
      <c r="F12" s="1422">
        <v>11468</v>
      </c>
      <c r="G12" s="1521">
        <f t="shared" si="2"/>
        <v>31.713724731063852</v>
      </c>
      <c r="H12" s="1422">
        <v>7697</v>
      </c>
      <c r="I12" s="1522">
        <f t="shared" si="3"/>
        <v>21.285362683554105</v>
      </c>
      <c r="J12" s="1422">
        <v>7983</v>
      </c>
      <c r="K12" s="1522">
        <f t="shared" si="4"/>
        <v>22.076270014656675</v>
      </c>
      <c r="L12" s="1422">
        <v>3992</v>
      </c>
      <c r="M12" s="1521">
        <f t="shared" si="5"/>
        <v>11.039517712452643</v>
      </c>
      <c r="N12" s="1422">
        <v>1106</v>
      </c>
      <c r="O12" s="1521">
        <f t="shared" si="6"/>
        <v>3.0585437349630817</v>
      </c>
      <c r="P12" s="1422">
        <v>633</v>
      </c>
      <c r="Q12" s="1522">
        <f t="shared" si="7"/>
        <v>1.7505046873703713</v>
      </c>
      <c r="R12" s="1422">
        <v>1357</v>
      </c>
      <c r="S12" s="1522">
        <f t="shared" si="8"/>
        <v>3.7526617073642874</v>
      </c>
      <c r="T12" s="1422">
        <v>664</v>
      </c>
      <c r="U12" s="1521">
        <f t="shared" si="9"/>
        <v>1.8362324050772934</v>
      </c>
      <c r="V12" s="1422">
        <v>565</v>
      </c>
      <c r="W12" s="1521">
        <f t="shared" si="10"/>
        <v>1.5624567904648656</v>
      </c>
    </row>
    <row r="13" spans="1:23" ht="18.75" customHeight="1">
      <c r="A13" s="1520" t="s">
        <v>802</v>
      </c>
      <c r="B13" s="3483">
        <v>34771</v>
      </c>
      <c r="C13" s="3484"/>
      <c r="D13" s="3481">
        <f t="shared" si="1"/>
        <v>100</v>
      </c>
      <c r="E13" s="3482"/>
      <c r="F13" s="1422">
        <v>10164</v>
      </c>
      <c r="G13" s="1522">
        <f t="shared" si="2"/>
        <v>29.231255931667192</v>
      </c>
      <c r="H13" s="1422">
        <v>9066</v>
      </c>
      <c r="I13" s="1522">
        <f t="shared" si="3"/>
        <v>26.073452014609877</v>
      </c>
      <c r="J13" s="1422">
        <v>7312</v>
      </c>
      <c r="K13" s="1522">
        <f t="shared" si="4"/>
        <v>21.02901843490265</v>
      </c>
      <c r="L13" s="1422">
        <v>3714</v>
      </c>
      <c r="M13" s="1522">
        <f t="shared" si="5"/>
        <v>10.681314888844151</v>
      </c>
      <c r="N13" s="1422">
        <v>998</v>
      </c>
      <c r="O13" s="1521">
        <f t="shared" si="6"/>
        <v>2.8702079318972706</v>
      </c>
      <c r="P13" s="1422">
        <v>948</v>
      </c>
      <c r="Q13" s="1522">
        <f t="shared" si="7"/>
        <v>2.726409939317247</v>
      </c>
      <c r="R13" s="1422">
        <v>872</v>
      </c>
      <c r="S13" s="1522">
        <f t="shared" si="8"/>
        <v>2.507836990595611</v>
      </c>
      <c r="T13" s="1422">
        <v>609</v>
      </c>
      <c r="U13" s="1521">
        <f t="shared" si="9"/>
        <v>1.7514595496246872</v>
      </c>
      <c r="V13" s="1422">
        <v>365</v>
      </c>
      <c r="W13" s="1521">
        <f t="shared" si="10"/>
        <v>1.0497253458341722</v>
      </c>
    </row>
    <row r="14" spans="1:23" ht="6" customHeight="1" thickBot="1">
      <c r="A14" s="1524"/>
      <c r="B14" s="1525"/>
      <c r="C14" s="1526"/>
      <c r="D14" s="1527"/>
      <c r="E14" s="1528"/>
      <c r="F14" s="1529"/>
      <c r="G14" s="1530"/>
      <c r="H14" s="1529"/>
      <c r="I14" s="1530"/>
      <c r="J14" s="1529"/>
      <c r="K14" s="1530"/>
      <c r="L14" s="1530"/>
      <c r="M14" s="1530"/>
      <c r="N14" s="1530"/>
      <c r="O14" s="1530"/>
      <c r="P14" s="1529"/>
      <c r="Q14" s="1530"/>
      <c r="R14" s="1530"/>
      <c r="S14" s="1530"/>
      <c r="T14" s="1530"/>
      <c r="U14" s="1530"/>
      <c r="V14" s="1529"/>
      <c r="W14" s="1531"/>
    </row>
    <row r="15" spans="1:23" ht="21.6" customHeight="1" thickTop="1">
      <c r="A15" s="3487"/>
      <c r="B15" s="3486" t="s">
        <v>1848</v>
      </c>
      <c r="C15" s="3488"/>
      <c r="D15" s="3485" t="s">
        <v>1849</v>
      </c>
      <c r="E15" s="3488"/>
      <c r="F15" s="3485" t="s">
        <v>1850</v>
      </c>
      <c r="G15" s="3488"/>
      <c r="H15" s="3485" t="s">
        <v>1851</v>
      </c>
      <c r="I15" s="3488"/>
      <c r="J15" s="3485" t="s">
        <v>1852</v>
      </c>
      <c r="K15" s="3488"/>
      <c r="L15" s="3485" t="s">
        <v>1853</v>
      </c>
      <c r="M15" s="3488"/>
      <c r="N15" s="3485" t="s">
        <v>1854</v>
      </c>
      <c r="O15" s="3488"/>
      <c r="P15" s="3485" t="s">
        <v>1855</v>
      </c>
      <c r="Q15" s="3488"/>
      <c r="R15" s="3485" t="s">
        <v>1856</v>
      </c>
      <c r="S15" s="3488"/>
      <c r="T15" s="3485" t="s">
        <v>1857</v>
      </c>
      <c r="U15" s="3486"/>
      <c r="V15" s="3485" t="s">
        <v>1858</v>
      </c>
      <c r="W15" s="3486" t="s">
        <v>1175</v>
      </c>
    </row>
    <row r="16" spans="1:23" ht="21" customHeight="1">
      <c r="A16" s="3448"/>
      <c r="B16" s="1519" t="s">
        <v>1672</v>
      </c>
      <c r="C16" s="1400" t="s">
        <v>0</v>
      </c>
      <c r="D16" s="1400" t="s">
        <v>1672</v>
      </c>
      <c r="E16" s="1400" t="s">
        <v>0</v>
      </c>
      <c r="F16" s="1400" t="s">
        <v>1672</v>
      </c>
      <c r="G16" s="1400" t="s">
        <v>0</v>
      </c>
      <c r="H16" s="1400" t="s">
        <v>1672</v>
      </c>
      <c r="I16" s="1400" t="s">
        <v>0</v>
      </c>
      <c r="J16" s="1400" t="s">
        <v>1672</v>
      </c>
      <c r="K16" s="1400" t="s">
        <v>0</v>
      </c>
      <c r="L16" s="1400" t="s">
        <v>1672</v>
      </c>
      <c r="M16" s="1400" t="s">
        <v>0</v>
      </c>
      <c r="N16" s="1400" t="s">
        <v>1672</v>
      </c>
      <c r="O16" s="1400" t="s">
        <v>0</v>
      </c>
      <c r="P16" s="1400" t="s">
        <v>1672</v>
      </c>
      <c r="Q16" s="1400" t="s">
        <v>0</v>
      </c>
      <c r="R16" s="1400" t="s">
        <v>1672</v>
      </c>
      <c r="S16" s="1400" t="s">
        <v>0</v>
      </c>
      <c r="T16" s="1400" t="s">
        <v>1672</v>
      </c>
      <c r="U16" s="1400" t="s">
        <v>0</v>
      </c>
      <c r="V16" s="1400" t="s">
        <v>1672</v>
      </c>
      <c r="W16" s="1400" t="s">
        <v>0</v>
      </c>
    </row>
    <row r="17" spans="1:23" ht="19.350000000000001" customHeight="1">
      <c r="A17" s="1520" t="s">
        <v>1677</v>
      </c>
      <c r="B17" s="1422">
        <v>21</v>
      </c>
      <c r="C17" s="1521">
        <f t="shared" ref="C17:C26" si="11">B17/B4*100</f>
        <v>5.648349874929396E-2</v>
      </c>
      <c r="D17" s="1422">
        <v>289</v>
      </c>
      <c r="E17" s="1522">
        <f t="shared" ref="E17:E26" si="12">D17/B4*100</f>
        <v>0.77732053040695015</v>
      </c>
      <c r="F17" s="1422">
        <v>275</v>
      </c>
      <c r="G17" s="1522">
        <f t="shared" ref="G17:G26" si="13">F17/B4*100</f>
        <v>0.73966486457408753</v>
      </c>
      <c r="H17" s="1422">
        <v>57</v>
      </c>
      <c r="I17" s="1521">
        <f t="shared" ref="I17:I26" si="14">H17/B4*100</f>
        <v>0.15331235374808361</v>
      </c>
      <c r="J17" s="1422">
        <v>337</v>
      </c>
      <c r="K17" s="1522">
        <f t="shared" ref="K17:K26" si="15">J17/B4*100</f>
        <v>0.90642567040533639</v>
      </c>
      <c r="L17" s="1422">
        <v>74</v>
      </c>
      <c r="M17" s="1522">
        <f t="shared" ref="M17:M26" si="16">L17/B4*100</f>
        <v>0.19903709083084536</v>
      </c>
      <c r="N17" s="1422">
        <v>127</v>
      </c>
      <c r="O17" s="1522">
        <f t="shared" ref="O17:O26" si="17">N17/B4*100</f>
        <v>0.34159068291239675</v>
      </c>
      <c r="P17" s="1422">
        <v>8</v>
      </c>
      <c r="Q17" s="1521">
        <f t="shared" ref="Q17:Q26" si="18">P17/B4*100</f>
        <v>2.1517523333064364E-2</v>
      </c>
      <c r="R17" s="1422">
        <v>95</v>
      </c>
      <c r="S17" s="1521">
        <f t="shared" ref="S17:S26" si="19">R17/B4*100</f>
        <v>0.25552058958013935</v>
      </c>
      <c r="T17" s="1422">
        <v>3</v>
      </c>
      <c r="U17" s="1521">
        <f t="shared" ref="U17:U26" si="20">T17/B4*100</f>
        <v>8.0690712498991367E-3</v>
      </c>
      <c r="V17" s="1422">
        <v>157</v>
      </c>
      <c r="W17" s="1521">
        <f t="shared" ref="W17:W26" si="21">V17/B4*100</f>
        <v>0.42228139541138815</v>
      </c>
    </row>
    <row r="18" spans="1:23" ht="19.149999999999999" customHeight="1">
      <c r="A18" s="1520" t="s">
        <v>794</v>
      </c>
      <c r="B18" s="1422">
        <v>75</v>
      </c>
      <c r="C18" s="1521">
        <f t="shared" si="11"/>
        <v>0.2055977411661504</v>
      </c>
      <c r="D18" s="1422">
        <v>306</v>
      </c>
      <c r="E18" s="1522">
        <f t="shared" si="12"/>
        <v>0.83883878395789369</v>
      </c>
      <c r="F18" s="1422">
        <v>127</v>
      </c>
      <c r="G18" s="1522">
        <f t="shared" si="13"/>
        <v>0.34814550837468133</v>
      </c>
      <c r="H18" s="1422">
        <v>81</v>
      </c>
      <c r="I18" s="1521">
        <f t="shared" si="14"/>
        <v>0.2220455604594424</v>
      </c>
      <c r="J18" s="1422">
        <v>87</v>
      </c>
      <c r="K18" s="1522">
        <f t="shared" si="15"/>
        <v>0.23849337975273446</v>
      </c>
      <c r="L18" s="1422">
        <v>51</v>
      </c>
      <c r="M18" s="1522">
        <f t="shared" si="16"/>
        <v>0.13980646399298224</v>
      </c>
      <c r="N18" s="1422">
        <v>80</v>
      </c>
      <c r="O18" s="1522">
        <f t="shared" si="17"/>
        <v>0.21930425724389374</v>
      </c>
      <c r="P18" s="1422">
        <v>18</v>
      </c>
      <c r="Q18" s="1521">
        <f t="shared" si="18"/>
        <v>4.9343457879876096E-2</v>
      </c>
      <c r="R18" s="1422">
        <v>189</v>
      </c>
      <c r="S18" s="1521">
        <f t="shared" si="19"/>
        <v>0.51810630773869892</v>
      </c>
      <c r="T18" s="1422">
        <v>11</v>
      </c>
      <c r="U18" s="1521">
        <f t="shared" si="20"/>
        <v>3.0154335371035391E-2</v>
      </c>
      <c r="V18" s="1422">
        <v>81</v>
      </c>
      <c r="W18" s="1521">
        <f t="shared" si="21"/>
        <v>0.2220455604594424</v>
      </c>
    </row>
    <row r="19" spans="1:23" ht="19.149999999999999" customHeight="1">
      <c r="A19" s="1520" t="s">
        <v>795</v>
      </c>
      <c r="B19" s="1422">
        <v>530</v>
      </c>
      <c r="C19" s="1521">
        <f t="shared" si="11"/>
        <v>1.4990383527548365</v>
      </c>
      <c r="D19" s="1422">
        <v>240</v>
      </c>
      <c r="E19" s="1522">
        <f t="shared" si="12"/>
        <v>0.6788098201153977</v>
      </c>
      <c r="F19" s="1422">
        <v>102</v>
      </c>
      <c r="G19" s="1522">
        <f t="shared" si="13"/>
        <v>0.288494173549044</v>
      </c>
      <c r="H19" s="1422">
        <v>71</v>
      </c>
      <c r="I19" s="1521">
        <f t="shared" si="14"/>
        <v>0.20081457178413847</v>
      </c>
      <c r="J19" s="1422">
        <v>86</v>
      </c>
      <c r="K19" s="1522">
        <f t="shared" si="15"/>
        <v>0.24324018554135085</v>
      </c>
      <c r="L19" s="1422">
        <v>43</v>
      </c>
      <c r="M19" s="1522">
        <f t="shared" si="16"/>
        <v>0.12162009277067543</v>
      </c>
      <c r="N19" s="1422">
        <v>88</v>
      </c>
      <c r="O19" s="1522">
        <f t="shared" si="17"/>
        <v>0.24889693404231247</v>
      </c>
      <c r="P19" s="1422">
        <v>41</v>
      </c>
      <c r="Q19" s="1521">
        <f t="shared" si="18"/>
        <v>0.11596334426971376</v>
      </c>
      <c r="R19" s="1422">
        <v>372</v>
      </c>
      <c r="S19" s="1521">
        <f t="shared" si="19"/>
        <v>1.0521552211788665</v>
      </c>
      <c r="T19" s="1422">
        <v>10</v>
      </c>
      <c r="U19" s="1521">
        <f t="shared" si="20"/>
        <v>2.8283742504808237E-2</v>
      </c>
      <c r="V19" s="1422">
        <v>141</v>
      </c>
      <c r="W19" s="1521">
        <f t="shared" si="21"/>
        <v>0.39880076931779612</v>
      </c>
    </row>
    <row r="20" spans="1:23" ht="19.149999999999999" customHeight="1">
      <c r="A20" s="1520" t="s">
        <v>796</v>
      </c>
      <c r="B20" s="1422">
        <v>236</v>
      </c>
      <c r="C20" s="1521">
        <f t="shared" si="11"/>
        <v>0.69019974848653232</v>
      </c>
      <c r="D20" s="1422">
        <v>187</v>
      </c>
      <c r="E20" s="1522">
        <f t="shared" si="12"/>
        <v>0.54689556341941337</v>
      </c>
      <c r="F20" s="1422">
        <v>68</v>
      </c>
      <c r="G20" s="1522">
        <f t="shared" si="13"/>
        <v>0.19887111397069576</v>
      </c>
      <c r="H20" s="1422">
        <v>55</v>
      </c>
      <c r="I20" s="1521">
        <f t="shared" si="14"/>
        <v>0.16085163629982746</v>
      </c>
      <c r="J20" s="1422">
        <v>46</v>
      </c>
      <c r="K20" s="1522">
        <f t="shared" si="15"/>
        <v>0.13453045945076478</v>
      </c>
      <c r="L20" s="1422">
        <v>42</v>
      </c>
      <c r="M20" s="1522">
        <f t="shared" si="16"/>
        <v>0.12283215862895915</v>
      </c>
      <c r="N20" s="1422">
        <v>74</v>
      </c>
      <c r="O20" s="1522">
        <f t="shared" si="17"/>
        <v>0.21641856520340422</v>
      </c>
      <c r="P20" s="1422">
        <v>23</v>
      </c>
      <c r="Q20" s="1521">
        <f t="shared" si="18"/>
        <v>6.7265229725382389E-2</v>
      </c>
      <c r="R20" s="1422">
        <v>299</v>
      </c>
      <c r="S20" s="1521">
        <f t="shared" si="19"/>
        <v>0.87444798642997112</v>
      </c>
      <c r="T20" s="1422">
        <v>28</v>
      </c>
      <c r="U20" s="1521">
        <f t="shared" si="20"/>
        <v>8.1888105752639426E-2</v>
      </c>
      <c r="V20" s="1422">
        <v>90</v>
      </c>
      <c r="W20" s="1521">
        <f t="shared" si="21"/>
        <v>0.26321176849062672</v>
      </c>
    </row>
    <row r="21" spans="1:23" ht="19.149999999999999" customHeight="1">
      <c r="A21" s="1520" t="s">
        <v>797</v>
      </c>
      <c r="B21" s="1422">
        <v>390</v>
      </c>
      <c r="C21" s="1521">
        <f t="shared" si="11"/>
        <v>1.1322069325901412</v>
      </c>
      <c r="D21" s="1422">
        <v>157</v>
      </c>
      <c r="E21" s="1522">
        <f t="shared" si="12"/>
        <v>0.45578586773500551</v>
      </c>
      <c r="F21" s="1422">
        <v>94</v>
      </c>
      <c r="G21" s="1522">
        <f t="shared" si="13"/>
        <v>0.2728909017012135</v>
      </c>
      <c r="H21" s="1422">
        <v>79</v>
      </c>
      <c r="I21" s="1521">
        <f t="shared" si="14"/>
        <v>0.22934448121697729</v>
      </c>
      <c r="J21" s="1422">
        <v>56</v>
      </c>
      <c r="K21" s="1522">
        <f t="shared" si="15"/>
        <v>0.16257330314114846</v>
      </c>
      <c r="L21" s="1422">
        <v>28</v>
      </c>
      <c r="M21" s="1522">
        <f t="shared" si="16"/>
        <v>8.1286651570574228E-2</v>
      </c>
      <c r="N21" s="1422">
        <v>47</v>
      </c>
      <c r="O21" s="1522">
        <f t="shared" si="17"/>
        <v>0.13644545085060675</v>
      </c>
      <c r="P21" s="1422">
        <v>6</v>
      </c>
      <c r="Q21" s="1521">
        <f t="shared" si="18"/>
        <v>1.7418568193694479E-2</v>
      </c>
      <c r="R21" s="1422">
        <v>247</v>
      </c>
      <c r="S21" s="1521">
        <f t="shared" si="19"/>
        <v>0.71706439064042271</v>
      </c>
      <c r="T21" s="1422">
        <v>9</v>
      </c>
      <c r="U21" s="1521">
        <f t="shared" si="20"/>
        <v>2.6127852290541719E-2</v>
      </c>
      <c r="V21" s="1422">
        <v>98</v>
      </c>
      <c r="W21" s="1521">
        <f t="shared" si="21"/>
        <v>0.28450328049700985</v>
      </c>
    </row>
    <row r="22" spans="1:23" ht="19.149999999999999" customHeight="1">
      <c r="A22" s="1520" t="s">
        <v>798</v>
      </c>
      <c r="B22" s="1422">
        <v>177</v>
      </c>
      <c r="C22" s="1521">
        <f t="shared" si="11"/>
        <v>0.52133957762657945</v>
      </c>
      <c r="D22" s="1422">
        <v>168</v>
      </c>
      <c r="E22" s="1522">
        <f t="shared" si="12"/>
        <v>0.49483078554387205</v>
      </c>
      <c r="F22" s="1422">
        <v>110</v>
      </c>
      <c r="G22" s="1522">
        <f t="shared" si="13"/>
        <v>0.32399634767753527</v>
      </c>
      <c r="H22" s="1422">
        <v>503</v>
      </c>
      <c r="I22" s="1521">
        <f t="shared" si="14"/>
        <v>1.4815469352890931</v>
      </c>
      <c r="J22" s="1422">
        <v>144</v>
      </c>
      <c r="K22" s="1522">
        <f t="shared" si="15"/>
        <v>0.4241406733233189</v>
      </c>
      <c r="L22" s="1422">
        <v>38</v>
      </c>
      <c r="M22" s="1522">
        <f t="shared" si="16"/>
        <v>0.11192601101587582</v>
      </c>
      <c r="N22" s="1422">
        <v>52</v>
      </c>
      <c r="O22" s="1522">
        <f t="shared" si="17"/>
        <v>0.15316190981119851</v>
      </c>
      <c r="P22" s="1422">
        <v>4</v>
      </c>
      <c r="Q22" s="1521">
        <f t="shared" si="18"/>
        <v>1.1781685370092191E-2</v>
      </c>
      <c r="R22" s="1422">
        <v>150</v>
      </c>
      <c r="S22" s="1521">
        <f t="shared" si="19"/>
        <v>0.44181320137845714</v>
      </c>
      <c r="T22" s="1422">
        <v>6</v>
      </c>
      <c r="U22" s="1521">
        <f t="shared" si="20"/>
        <v>1.767252805513829E-2</v>
      </c>
      <c r="V22" s="1422">
        <v>85</v>
      </c>
      <c r="W22" s="1521">
        <f t="shared" si="21"/>
        <v>0.2503608141144591</v>
      </c>
    </row>
    <row r="23" spans="1:23" ht="19.149999999999999" customHeight="1">
      <c r="A23" s="1520" t="s">
        <v>799</v>
      </c>
      <c r="B23" s="1422">
        <v>78</v>
      </c>
      <c r="C23" s="1521">
        <f t="shared" si="11"/>
        <v>0.22552477881223618</v>
      </c>
      <c r="D23" s="1422">
        <v>138</v>
      </c>
      <c r="E23" s="1522">
        <f t="shared" si="12"/>
        <v>0.39900537789857166</v>
      </c>
      <c r="F23" s="1422">
        <v>50</v>
      </c>
      <c r="G23" s="1522">
        <f t="shared" si="13"/>
        <v>0.1445671659052796</v>
      </c>
      <c r="H23" s="1422">
        <v>454</v>
      </c>
      <c r="I23" s="1521">
        <f t="shared" si="14"/>
        <v>1.3126698664199388</v>
      </c>
      <c r="J23" s="1422">
        <v>181</v>
      </c>
      <c r="K23" s="1522">
        <f t="shared" si="15"/>
        <v>0.52333314057711211</v>
      </c>
      <c r="L23" s="1422">
        <v>40</v>
      </c>
      <c r="M23" s="1522">
        <f t="shared" si="16"/>
        <v>0.11565373272422368</v>
      </c>
      <c r="N23" s="1422">
        <v>79</v>
      </c>
      <c r="O23" s="1522">
        <f t="shared" si="17"/>
        <v>0.22841612213034176</v>
      </c>
      <c r="P23" s="1422">
        <v>10</v>
      </c>
      <c r="Q23" s="1521">
        <f t="shared" si="18"/>
        <v>2.8913433181055919E-2</v>
      </c>
      <c r="R23" s="1422">
        <v>55</v>
      </c>
      <c r="S23" s="1521">
        <f t="shared" si="19"/>
        <v>0.15902388249580754</v>
      </c>
      <c r="T23" s="1422">
        <v>8</v>
      </c>
      <c r="U23" s="1521">
        <f t="shared" si="20"/>
        <v>2.3130746544844736E-2</v>
      </c>
      <c r="V23" s="1422">
        <v>105</v>
      </c>
      <c r="W23" s="1521">
        <f t="shared" si="21"/>
        <v>0.30359104840108714</v>
      </c>
    </row>
    <row r="24" spans="1:23" ht="19.149999999999999" customHeight="1">
      <c r="A24" s="1520" t="s">
        <v>800</v>
      </c>
      <c r="B24" s="1422">
        <v>31</v>
      </c>
      <c r="C24" s="1521">
        <f t="shared" si="11"/>
        <v>8.5404154498870455E-2</v>
      </c>
      <c r="D24" s="1422">
        <v>86</v>
      </c>
      <c r="E24" s="1522">
        <f t="shared" si="12"/>
        <v>0.23692765441622127</v>
      </c>
      <c r="F24" s="1422">
        <v>60</v>
      </c>
      <c r="G24" s="1522">
        <f t="shared" si="13"/>
        <v>0.16529836354620089</v>
      </c>
      <c r="H24" s="1422">
        <v>310</v>
      </c>
      <c r="I24" s="1521">
        <f t="shared" si="14"/>
        <v>0.85404154498870466</v>
      </c>
      <c r="J24" s="1422">
        <v>126</v>
      </c>
      <c r="K24" s="1522">
        <f t="shared" si="15"/>
        <v>0.34712656344702186</v>
      </c>
      <c r="L24" s="1422">
        <v>41</v>
      </c>
      <c r="M24" s="1522">
        <f t="shared" si="16"/>
        <v>0.11295388175657062</v>
      </c>
      <c r="N24" s="1422">
        <v>58</v>
      </c>
      <c r="O24" s="1522">
        <f t="shared" si="17"/>
        <v>0.15978841809466085</v>
      </c>
      <c r="P24" s="1422">
        <v>1</v>
      </c>
      <c r="Q24" s="1521">
        <f t="shared" si="18"/>
        <v>2.7549727257700149E-3</v>
      </c>
      <c r="R24" s="1422">
        <v>34</v>
      </c>
      <c r="S24" s="1521">
        <f t="shared" si="19"/>
        <v>9.3669072676180506E-2</v>
      </c>
      <c r="T24" s="1422">
        <v>10</v>
      </c>
      <c r="U24" s="1521">
        <f t="shared" si="20"/>
        <v>2.7549727257700149E-2</v>
      </c>
      <c r="V24" s="1422">
        <v>42</v>
      </c>
      <c r="W24" s="1521">
        <f t="shared" si="21"/>
        <v>0.11570885448234064</v>
      </c>
    </row>
    <row r="25" spans="1:23" ht="19.149999999999999" customHeight="1">
      <c r="A25" s="1520" t="s">
        <v>801</v>
      </c>
      <c r="B25" s="1422">
        <v>77</v>
      </c>
      <c r="C25" s="1521">
        <f t="shared" si="11"/>
        <v>0.21293658914299934</v>
      </c>
      <c r="D25" s="1422">
        <v>109</v>
      </c>
      <c r="E25" s="1522">
        <f t="shared" si="12"/>
        <v>0.30142971709853156</v>
      </c>
      <c r="F25" s="1422">
        <v>59</v>
      </c>
      <c r="G25" s="1522">
        <f t="shared" si="13"/>
        <v>0.16315920466801248</v>
      </c>
      <c r="H25" s="1422">
        <v>188</v>
      </c>
      <c r="I25" s="1521">
        <f t="shared" si="14"/>
        <v>0.51989712673875166</v>
      </c>
      <c r="J25" s="1422">
        <v>68</v>
      </c>
      <c r="K25" s="1522">
        <f t="shared" si="15"/>
        <v>0.18804789690550594</v>
      </c>
      <c r="L25" s="1422">
        <v>48</v>
      </c>
      <c r="M25" s="1522">
        <f t="shared" si="16"/>
        <v>0.13273969193329829</v>
      </c>
      <c r="N25" s="1422">
        <v>37</v>
      </c>
      <c r="O25" s="1522">
        <f t="shared" si="17"/>
        <v>0.1023201791985841</v>
      </c>
      <c r="P25" s="1422">
        <v>18</v>
      </c>
      <c r="Q25" s="1521">
        <f t="shared" si="18"/>
        <v>4.9777384474986863E-2</v>
      </c>
      <c r="R25" s="1422">
        <v>28</v>
      </c>
      <c r="S25" s="1521">
        <f t="shared" si="19"/>
        <v>7.7431486961090673E-2</v>
      </c>
      <c r="T25" s="1422">
        <v>9</v>
      </c>
      <c r="U25" s="1521">
        <f t="shared" si="20"/>
        <v>2.4888692237493432E-2</v>
      </c>
      <c r="V25" s="1422">
        <v>55</v>
      </c>
      <c r="W25" s="1521">
        <f t="shared" si="21"/>
        <v>0.15209756367357097</v>
      </c>
    </row>
    <row r="26" spans="1:23" ht="19.149999999999999" customHeight="1">
      <c r="A26" s="1532" t="s">
        <v>802</v>
      </c>
      <c r="B26" s="1533">
        <v>194</v>
      </c>
      <c r="C26" s="1534">
        <f t="shared" si="11"/>
        <v>0.55793621121049153</v>
      </c>
      <c r="D26" s="1533">
        <v>132</v>
      </c>
      <c r="E26" s="1535">
        <f t="shared" si="12"/>
        <v>0.37962670041126223</v>
      </c>
      <c r="F26" s="1533">
        <v>109</v>
      </c>
      <c r="G26" s="1535">
        <f t="shared" si="13"/>
        <v>0.31347962382445138</v>
      </c>
      <c r="H26" s="1533">
        <v>59</v>
      </c>
      <c r="I26" s="1534">
        <f t="shared" si="14"/>
        <v>0.16968163124442781</v>
      </c>
      <c r="J26" s="1533">
        <v>50</v>
      </c>
      <c r="K26" s="1535">
        <f t="shared" si="15"/>
        <v>0.14379799258002357</v>
      </c>
      <c r="L26" s="1533">
        <v>38</v>
      </c>
      <c r="M26" s="1535">
        <f t="shared" si="16"/>
        <v>0.10928647436081793</v>
      </c>
      <c r="N26" s="1533">
        <v>27</v>
      </c>
      <c r="O26" s="1535">
        <f t="shared" si="17"/>
        <v>7.7650915993212735E-2</v>
      </c>
      <c r="P26" s="1533">
        <v>13</v>
      </c>
      <c r="Q26" s="1534">
        <f t="shared" si="18"/>
        <v>3.7387478070806127E-2</v>
      </c>
      <c r="R26" s="1533">
        <v>21</v>
      </c>
      <c r="S26" s="1534">
        <f t="shared" si="19"/>
        <v>6.0395156883609899E-2</v>
      </c>
      <c r="T26" s="1533">
        <v>6</v>
      </c>
      <c r="U26" s="1534">
        <f t="shared" si="20"/>
        <v>1.7255759109602829E-2</v>
      </c>
      <c r="V26" s="1533">
        <v>74</v>
      </c>
      <c r="W26" s="1534">
        <f t="shared" si="21"/>
        <v>0.21282102901843489</v>
      </c>
    </row>
    <row r="27" spans="1:23" s="1386" customFormat="1">
      <c r="A27" s="1386" t="s">
        <v>1859</v>
      </c>
      <c r="B27" s="1527"/>
      <c r="C27" s="1536"/>
    </row>
  </sheetData>
  <mergeCells count="46">
    <mergeCell ref="B13:C13"/>
    <mergeCell ref="D13:E13"/>
    <mergeCell ref="V15:W15"/>
    <mergeCell ref="A15:A16"/>
    <mergeCell ref="B15:C15"/>
    <mergeCell ref="D15:E15"/>
    <mergeCell ref="F15:G15"/>
    <mergeCell ref="H15:I15"/>
    <mergeCell ref="J15:K15"/>
    <mergeCell ref="L15:M15"/>
    <mergeCell ref="N15:O15"/>
    <mergeCell ref="P15:Q15"/>
    <mergeCell ref="R15:S15"/>
    <mergeCell ref="T15:U15"/>
    <mergeCell ref="B10:C10"/>
    <mergeCell ref="D10:E10"/>
    <mergeCell ref="B11:C11"/>
    <mergeCell ref="D11:E11"/>
    <mergeCell ref="B12:C12"/>
    <mergeCell ref="D12:E12"/>
    <mergeCell ref="B7:C7"/>
    <mergeCell ref="D7:E7"/>
    <mergeCell ref="B8:C8"/>
    <mergeCell ref="D8:E8"/>
    <mergeCell ref="B9:C9"/>
    <mergeCell ref="D9:E9"/>
    <mergeCell ref="B4:C4"/>
    <mergeCell ref="D4:E4"/>
    <mergeCell ref="B5:C5"/>
    <mergeCell ref="D5:E5"/>
    <mergeCell ref="B6:C6"/>
    <mergeCell ref="D6:E6"/>
    <mergeCell ref="A1:W1"/>
    <mergeCell ref="A2:A3"/>
    <mergeCell ref="B2:E2"/>
    <mergeCell ref="F2:G2"/>
    <mergeCell ref="H2:I2"/>
    <mergeCell ref="J2:K2"/>
    <mergeCell ref="L2:M2"/>
    <mergeCell ref="N2:O2"/>
    <mergeCell ref="P2:Q2"/>
    <mergeCell ref="R2:S2"/>
    <mergeCell ref="T2:U2"/>
    <mergeCell ref="V2:W2"/>
    <mergeCell ref="B3:C3"/>
    <mergeCell ref="D3:E3"/>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49"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Y71"/>
  <sheetViews>
    <sheetView showGridLines="0" workbookViewId="0">
      <selection activeCell="B16" sqref="B16"/>
    </sheetView>
  </sheetViews>
  <sheetFormatPr defaultColWidth="8.875" defaultRowHeight="15.75"/>
  <cols>
    <col min="1" max="1" width="13.625" style="1538" customWidth="1"/>
    <col min="2" max="14" width="8.125" style="1374" customWidth="1"/>
    <col min="15" max="16384" width="8.875" style="1374"/>
  </cols>
  <sheetData>
    <row r="1" spans="1:25" ht="20.100000000000001" customHeight="1">
      <c r="A1" s="3429" t="s">
        <v>1860</v>
      </c>
      <c r="B1" s="3429"/>
      <c r="C1" s="3429"/>
      <c r="D1" s="3429"/>
      <c r="E1" s="3429"/>
      <c r="F1" s="3429"/>
      <c r="G1" s="3429"/>
      <c r="H1" s="3429"/>
      <c r="I1" s="3429"/>
      <c r="J1" s="3429"/>
      <c r="K1" s="3429"/>
      <c r="L1" s="3429"/>
      <c r="M1" s="3429"/>
      <c r="N1" s="3429"/>
      <c r="Y1" s="1537"/>
    </row>
    <row r="2" spans="1:25" ht="14.1" customHeight="1">
      <c r="N2" s="1388" t="s">
        <v>1861</v>
      </c>
      <c r="Y2" s="1539"/>
    </row>
    <row r="3" spans="1:25" ht="17.100000000000001" customHeight="1">
      <c r="A3" s="3489" t="s">
        <v>1862</v>
      </c>
      <c r="B3" s="3492" t="s">
        <v>1863</v>
      </c>
      <c r="C3" s="3493"/>
      <c r="D3" s="3493"/>
      <c r="E3" s="3493"/>
      <c r="F3" s="3493"/>
      <c r="G3" s="3493"/>
      <c r="H3" s="3493"/>
      <c r="I3" s="3493"/>
      <c r="J3" s="3493"/>
      <c r="K3" s="3493"/>
      <c r="L3" s="3493"/>
      <c r="M3" s="3493"/>
      <c r="N3" s="3493"/>
      <c r="Y3" s="1539"/>
    </row>
    <row r="4" spans="1:25" ht="17.100000000000001" customHeight="1">
      <c r="A4" s="3490"/>
      <c r="B4" s="1540" t="s">
        <v>1164</v>
      </c>
      <c r="C4" s="1541" t="s">
        <v>1864</v>
      </c>
      <c r="D4" s="1541" t="s">
        <v>1865</v>
      </c>
      <c r="E4" s="1542"/>
      <c r="F4" s="1542"/>
      <c r="G4" s="1543" t="s">
        <v>1866</v>
      </c>
      <c r="H4" s="1543" t="s">
        <v>1867</v>
      </c>
      <c r="I4" s="1543" t="s">
        <v>1868</v>
      </c>
      <c r="J4" s="1543" t="s">
        <v>1869</v>
      </c>
      <c r="K4" s="1543"/>
      <c r="L4" s="1542"/>
      <c r="M4" s="1544" t="s">
        <v>1870</v>
      </c>
      <c r="N4" s="3400" t="s">
        <v>1871</v>
      </c>
    </row>
    <row r="5" spans="1:25" ht="17.100000000000001" customHeight="1">
      <c r="A5" s="3490"/>
      <c r="C5" s="1545"/>
      <c r="D5" s="1545"/>
      <c r="E5" s="3423" t="s">
        <v>1872</v>
      </c>
      <c r="F5" s="3423" t="s">
        <v>1873</v>
      </c>
      <c r="G5" s="3423" t="s">
        <v>1874</v>
      </c>
      <c r="H5" s="3397" t="s">
        <v>1875</v>
      </c>
      <c r="I5" s="3423" t="s">
        <v>1876</v>
      </c>
      <c r="J5" s="3423" t="s">
        <v>1877</v>
      </c>
      <c r="K5" s="3423" t="s">
        <v>1878</v>
      </c>
      <c r="L5" s="3423" t="s">
        <v>1879</v>
      </c>
      <c r="M5" s="1546"/>
      <c r="N5" s="3494"/>
    </row>
    <row r="6" spans="1:25" ht="16.899999999999999" customHeight="1">
      <c r="A6" s="3490"/>
      <c r="C6" s="1545"/>
      <c r="D6" s="1545" t="s">
        <v>1867</v>
      </c>
      <c r="E6" s="3496"/>
      <c r="F6" s="3496"/>
      <c r="G6" s="3496"/>
      <c r="H6" s="3398"/>
      <c r="I6" s="3496"/>
      <c r="J6" s="3496"/>
      <c r="K6" s="3496"/>
      <c r="L6" s="3496"/>
      <c r="M6" s="1546"/>
      <c r="N6" s="3494"/>
    </row>
    <row r="7" spans="1:25" ht="16.899999999999999" customHeight="1">
      <c r="A7" s="3490"/>
      <c r="C7" s="1545"/>
      <c r="D7" s="1545"/>
      <c r="E7" s="3496"/>
      <c r="F7" s="3496"/>
      <c r="G7" s="3496"/>
      <c r="H7" s="3398"/>
      <c r="I7" s="3496"/>
      <c r="J7" s="3496"/>
      <c r="K7" s="3496"/>
      <c r="L7" s="3496"/>
      <c r="M7" s="1546"/>
      <c r="N7" s="3494"/>
    </row>
    <row r="8" spans="1:25" ht="16.899999999999999" customHeight="1">
      <c r="A8" s="3490"/>
      <c r="C8" s="1545"/>
      <c r="D8" s="1545" t="s">
        <v>1868</v>
      </c>
      <c r="E8" s="3496"/>
      <c r="F8" s="3496"/>
      <c r="G8" s="3496"/>
      <c r="H8" s="3398"/>
      <c r="I8" s="3496"/>
      <c r="J8" s="3496"/>
      <c r="K8" s="3496"/>
      <c r="L8" s="3496"/>
      <c r="M8" s="1546"/>
      <c r="N8" s="3494"/>
    </row>
    <row r="9" spans="1:25" ht="16.899999999999999" customHeight="1">
      <c r="A9" s="3490"/>
      <c r="C9" s="1545"/>
      <c r="D9" s="1545"/>
      <c r="E9" s="3496"/>
      <c r="F9" s="3496"/>
      <c r="G9" s="3496"/>
      <c r="H9" s="3398"/>
      <c r="I9" s="3496"/>
      <c r="J9" s="3496"/>
      <c r="K9" s="3496"/>
      <c r="L9" s="3496"/>
      <c r="M9" s="1546"/>
      <c r="N9" s="3494"/>
    </row>
    <row r="10" spans="1:25" ht="16.899999999999999" customHeight="1">
      <c r="A10" s="3491"/>
      <c r="B10" s="1547" t="s">
        <v>1172</v>
      </c>
      <c r="C10" s="1548" t="s">
        <v>1869</v>
      </c>
      <c r="D10" s="1548" t="s">
        <v>1869</v>
      </c>
      <c r="E10" s="3497"/>
      <c r="F10" s="3497"/>
      <c r="G10" s="3497"/>
      <c r="H10" s="3399"/>
      <c r="I10" s="3497"/>
      <c r="J10" s="3497"/>
      <c r="K10" s="3497"/>
      <c r="L10" s="3497"/>
      <c r="M10" s="1549" t="s">
        <v>1880</v>
      </c>
      <c r="N10" s="3495"/>
    </row>
    <row r="11" spans="1:25" ht="20.100000000000001" hidden="1" customHeight="1">
      <c r="A11" s="1550" t="s">
        <v>1881</v>
      </c>
      <c r="B11" s="1551">
        <v>34229</v>
      </c>
      <c r="C11" s="1552">
        <v>18</v>
      </c>
      <c r="D11" s="1552">
        <v>176</v>
      </c>
      <c r="E11" s="1552">
        <v>7847</v>
      </c>
      <c r="F11" s="1552">
        <v>8401</v>
      </c>
      <c r="G11" s="1552">
        <v>5492</v>
      </c>
      <c r="H11" s="1552">
        <v>7962</v>
      </c>
      <c r="I11" s="1552">
        <v>2084</v>
      </c>
      <c r="J11" s="1552">
        <v>706</v>
      </c>
      <c r="K11" s="1552">
        <v>676</v>
      </c>
      <c r="L11" s="1552">
        <v>52</v>
      </c>
      <c r="M11" s="1552">
        <v>706</v>
      </c>
      <c r="N11" s="1552">
        <v>109</v>
      </c>
    </row>
    <row r="12" spans="1:25" ht="20.100000000000001" hidden="1" customHeight="1">
      <c r="A12" s="1553" t="s">
        <v>1882</v>
      </c>
      <c r="B12" s="1554">
        <v>36141</v>
      </c>
      <c r="C12" s="1555">
        <v>17</v>
      </c>
      <c r="D12" s="1555">
        <v>177</v>
      </c>
      <c r="E12" s="1555">
        <v>8990</v>
      </c>
      <c r="F12" s="1555">
        <v>7885</v>
      </c>
      <c r="G12" s="1555">
        <v>4874</v>
      </c>
      <c r="H12" s="1555">
        <v>9765</v>
      </c>
      <c r="I12" s="1555">
        <v>1894</v>
      </c>
      <c r="J12" s="1555">
        <v>814</v>
      </c>
      <c r="K12" s="1555">
        <v>855</v>
      </c>
      <c r="L12" s="1555">
        <v>22</v>
      </c>
      <c r="M12" s="1555">
        <v>723</v>
      </c>
      <c r="N12" s="1555">
        <v>125</v>
      </c>
    </row>
    <row r="13" spans="1:25" ht="20.100000000000001" hidden="1" customHeight="1">
      <c r="A13" s="1553" t="s">
        <v>1883</v>
      </c>
      <c r="B13" s="1554">
        <v>31842</v>
      </c>
      <c r="C13" s="1555">
        <v>16</v>
      </c>
      <c r="D13" s="1555">
        <v>145</v>
      </c>
      <c r="E13" s="1555">
        <v>8363</v>
      </c>
      <c r="F13" s="1555">
        <v>6443</v>
      </c>
      <c r="G13" s="1555">
        <v>4420</v>
      </c>
      <c r="H13" s="1555">
        <v>7842</v>
      </c>
      <c r="I13" s="1555">
        <v>1684</v>
      </c>
      <c r="J13" s="1555">
        <v>799</v>
      </c>
      <c r="K13" s="1555">
        <v>803</v>
      </c>
      <c r="L13" s="1555">
        <v>22</v>
      </c>
      <c r="M13" s="1555">
        <v>1123</v>
      </c>
      <c r="N13" s="1555">
        <v>182</v>
      </c>
    </row>
    <row r="14" spans="1:25" ht="20.100000000000001" hidden="1" customHeight="1">
      <c r="A14" s="1553" t="s">
        <v>1884</v>
      </c>
      <c r="B14" s="1554">
        <v>32654</v>
      </c>
      <c r="C14" s="1555">
        <v>22</v>
      </c>
      <c r="D14" s="1555">
        <v>141</v>
      </c>
      <c r="E14" s="1555">
        <v>9678</v>
      </c>
      <c r="F14" s="1555">
        <v>7608</v>
      </c>
      <c r="G14" s="1555">
        <v>4637</v>
      </c>
      <c r="H14" s="1555">
        <v>5782</v>
      </c>
      <c r="I14" s="1555">
        <v>1544</v>
      </c>
      <c r="J14" s="1555">
        <v>832</v>
      </c>
      <c r="K14" s="1555">
        <v>701</v>
      </c>
      <c r="L14" s="1555">
        <v>23</v>
      </c>
      <c r="M14" s="1555">
        <v>1420</v>
      </c>
      <c r="N14" s="1555">
        <v>266</v>
      </c>
    </row>
    <row r="15" spans="1:25" ht="20.100000000000001" hidden="1" customHeight="1">
      <c r="A15" s="1553" t="s">
        <v>1885</v>
      </c>
      <c r="B15" s="1554">
        <v>35405</v>
      </c>
      <c r="C15" s="1555">
        <v>38</v>
      </c>
      <c r="D15" s="1555">
        <v>130</v>
      </c>
      <c r="E15" s="1555">
        <v>11600</v>
      </c>
      <c r="F15" s="1555">
        <v>8005</v>
      </c>
      <c r="G15" s="1555">
        <v>5069</v>
      </c>
      <c r="H15" s="1555">
        <v>5582</v>
      </c>
      <c r="I15" s="1555">
        <v>1466</v>
      </c>
      <c r="J15" s="1555">
        <v>795</v>
      </c>
      <c r="K15" s="1555">
        <v>646</v>
      </c>
      <c r="L15" s="1555">
        <v>18</v>
      </c>
      <c r="M15" s="1555">
        <v>1710</v>
      </c>
      <c r="N15" s="1555">
        <v>346</v>
      </c>
    </row>
    <row r="16" spans="1:25" ht="20.100000000000001" hidden="1" customHeight="1">
      <c r="A16" s="1553" t="s">
        <v>1886</v>
      </c>
      <c r="B16" s="1554">
        <v>28076</v>
      </c>
      <c r="C16" s="1555">
        <v>32</v>
      </c>
      <c r="D16" s="1555">
        <v>124</v>
      </c>
      <c r="E16" s="1555">
        <v>8997</v>
      </c>
      <c r="F16" s="1555">
        <v>6136</v>
      </c>
      <c r="G16" s="1555">
        <v>4440</v>
      </c>
      <c r="H16" s="1555">
        <v>3895</v>
      </c>
      <c r="I16" s="1555">
        <v>1117</v>
      </c>
      <c r="J16" s="1555">
        <v>650</v>
      </c>
      <c r="K16" s="1555">
        <v>482</v>
      </c>
      <c r="L16" s="1555">
        <v>22</v>
      </c>
      <c r="M16" s="1555">
        <v>1788</v>
      </c>
      <c r="N16" s="1555">
        <v>393</v>
      </c>
    </row>
    <row r="17" spans="1:14" ht="20.100000000000001" hidden="1" customHeight="1">
      <c r="A17" s="1553" t="s">
        <v>1887</v>
      </c>
      <c r="B17" s="1554">
        <v>22790</v>
      </c>
      <c r="C17" s="1555">
        <v>24</v>
      </c>
      <c r="D17" s="1555">
        <v>136</v>
      </c>
      <c r="E17" s="1555">
        <v>6893</v>
      </c>
      <c r="F17" s="1555">
        <v>4973</v>
      </c>
      <c r="G17" s="1555">
        <v>4298</v>
      </c>
      <c r="H17" s="1555">
        <v>1859</v>
      </c>
      <c r="I17" s="1555">
        <v>991</v>
      </c>
      <c r="J17" s="1555">
        <v>773</v>
      </c>
      <c r="K17" s="1555">
        <v>510</v>
      </c>
      <c r="L17" s="1555">
        <v>21</v>
      </c>
      <c r="M17" s="1555">
        <v>1737</v>
      </c>
      <c r="N17" s="1555">
        <v>575</v>
      </c>
    </row>
    <row r="18" spans="1:14" ht="20.100000000000001" hidden="1" customHeight="1">
      <c r="A18" s="1553" t="s">
        <v>1888</v>
      </c>
      <c r="B18" s="1554">
        <v>23147</v>
      </c>
      <c r="C18" s="1555">
        <v>17</v>
      </c>
      <c r="D18" s="1555">
        <v>109</v>
      </c>
      <c r="E18" s="1555">
        <v>6789</v>
      </c>
      <c r="F18" s="1555">
        <v>5295</v>
      </c>
      <c r="G18" s="1555">
        <v>4561</v>
      </c>
      <c r="H18" s="1555">
        <v>1355</v>
      </c>
      <c r="I18" s="1555">
        <v>728</v>
      </c>
      <c r="J18" s="1555">
        <v>720</v>
      </c>
      <c r="K18" s="1555">
        <v>393</v>
      </c>
      <c r="L18" s="1555">
        <v>16</v>
      </c>
      <c r="M18" s="1555">
        <v>2068</v>
      </c>
      <c r="N18" s="1555">
        <v>1096</v>
      </c>
    </row>
    <row r="19" spans="1:14" ht="20.100000000000001" hidden="1" customHeight="1">
      <c r="A19" s="1553" t="s">
        <v>1889</v>
      </c>
      <c r="B19" s="1554">
        <v>24760</v>
      </c>
      <c r="C19" s="1555">
        <v>10</v>
      </c>
      <c r="D19" s="1555">
        <v>108</v>
      </c>
      <c r="E19" s="1555">
        <v>6821</v>
      </c>
      <c r="F19" s="1555">
        <v>6039</v>
      </c>
      <c r="G19" s="1555">
        <v>5018</v>
      </c>
      <c r="H19" s="1555">
        <v>1186</v>
      </c>
      <c r="I19" s="1555">
        <v>686</v>
      </c>
      <c r="J19" s="1555">
        <v>815</v>
      </c>
      <c r="K19" s="1555">
        <v>358</v>
      </c>
      <c r="L19" s="1555">
        <v>22</v>
      </c>
      <c r="M19" s="1555">
        <v>2260</v>
      </c>
      <c r="N19" s="1555">
        <v>1437</v>
      </c>
    </row>
    <row r="20" spans="1:14" ht="20.100000000000001" hidden="1" customHeight="1">
      <c r="A20" s="1553" t="s">
        <v>1890</v>
      </c>
      <c r="B20" s="1554">
        <v>27003</v>
      </c>
      <c r="C20" s="1555">
        <v>9</v>
      </c>
      <c r="D20" s="1555">
        <v>100</v>
      </c>
      <c r="E20" s="1555">
        <v>7720</v>
      </c>
      <c r="F20" s="1555">
        <v>6301</v>
      </c>
      <c r="G20" s="1555">
        <v>4928</v>
      </c>
      <c r="H20" s="1555">
        <v>1253</v>
      </c>
      <c r="I20" s="1555">
        <v>642</v>
      </c>
      <c r="J20" s="1555">
        <v>737</v>
      </c>
      <c r="K20" s="1555">
        <v>389</v>
      </c>
      <c r="L20" s="1555">
        <v>19</v>
      </c>
      <c r="M20" s="1555">
        <v>3134</v>
      </c>
      <c r="N20" s="1555">
        <v>1771</v>
      </c>
    </row>
    <row r="21" spans="1:14" ht="20.100000000000001" hidden="1" customHeight="1">
      <c r="A21" s="1553" t="s">
        <v>1891</v>
      </c>
      <c r="B21" s="1554">
        <v>28966</v>
      </c>
      <c r="C21" s="1555">
        <v>7</v>
      </c>
      <c r="D21" s="1555">
        <v>110</v>
      </c>
      <c r="E21" s="1555">
        <v>8026</v>
      </c>
      <c r="F21" s="1555">
        <v>6851</v>
      </c>
      <c r="G21" s="1555">
        <v>5354</v>
      </c>
      <c r="H21" s="1555">
        <v>1298</v>
      </c>
      <c r="I21" s="1555">
        <v>674</v>
      </c>
      <c r="J21" s="1555">
        <v>871</v>
      </c>
      <c r="K21" s="1555">
        <v>445</v>
      </c>
      <c r="L21" s="1555">
        <v>13</v>
      </c>
      <c r="M21" s="1555">
        <v>3626</v>
      </c>
      <c r="N21" s="1555">
        <v>1691</v>
      </c>
    </row>
    <row r="22" spans="1:14" ht="20.100000000000001" hidden="1" customHeight="1">
      <c r="A22" s="1553" t="s">
        <v>1892</v>
      </c>
      <c r="B22" s="1554">
        <v>33346</v>
      </c>
      <c r="C22" s="1555">
        <v>3</v>
      </c>
      <c r="D22" s="1555">
        <v>72</v>
      </c>
      <c r="E22" s="1555">
        <v>9912</v>
      </c>
      <c r="F22" s="1555">
        <v>9511</v>
      </c>
      <c r="G22" s="1555">
        <v>6067</v>
      </c>
      <c r="H22" s="1555">
        <v>1256</v>
      </c>
      <c r="I22" s="1555">
        <v>612</v>
      </c>
      <c r="J22" s="1555">
        <v>838</v>
      </c>
      <c r="K22" s="1555">
        <v>468</v>
      </c>
      <c r="L22" s="1555">
        <v>25</v>
      </c>
      <c r="M22" s="1555">
        <v>3341</v>
      </c>
      <c r="N22" s="1555">
        <v>1241</v>
      </c>
    </row>
    <row r="23" spans="1:14" ht="20.100000000000001" hidden="1" customHeight="1">
      <c r="A23" s="1553" t="s">
        <v>1893</v>
      </c>
      <c r="B23" s="1554">
        <v>33193</v>
      </c>
      <c r="C23" s="1555">
        <v>3</v>
      </c>
      <c r="D23" s="1555">
        <v>71</v>
      </c>
      <c r="E23" s="1555">
        <v>10058</v>
      </c>
      <c r="F23" s="1555">
        <v>9186</v>
      </c>
      <c r="G23" s="1555">
        <v>6107</v>
      </c>
      <c r="H23" s="1555">
        <v>1209</v>
      </c>
      <c r="I23" s="1555">
        <v>645</v>
      </c>
      <c r="J23" s="1555">
        <v>878</v>
      </c>
      <c r="K23" s="1555">
        <v>446</v>
      </c>
      <c r="L23" s="1555">
        <v>12</v>
      </c>
      <c r="M23" s="1555">
        <v>3458</v>
      </c>
      <c r="N23" s="1555">
        <v>1120</v>
      </c>
    </row>
    <row r="24" spans="1:14" ht="20.100000000000001" hidden="1" customHeight="1">
      <c r="A24" s="1553" t="s">
        <v>1894</v>
      </c>
      <c r="B24" s="1554">
        <v>37607</v>
      </c>
      <c r="C24" s="1555" t="s">
        <v>1895</v>
      </c>
      <c r="D24" s="1555">
        <v>109</v>
      </c>
      <c r="E24" s="1555">
        <v>11518</v>
      </c>
      <c r="F24" s="1555">
        <v>10198</v>
      </c>
      <c r="G24" s="1555">
        <v>6797</v>
      </c>
      <c r="H24" s="1555">
        <v>1563</v>
      </c>
      <c r="I24" s="1555">
        <v>698</v>
      </c>
      <c r="J24" s="1555">
        <v>1128</v>
      </c>
      <c r="K24" s="1555">
        <v>583</v>
      </c>
      <c r="L24" s="1555">
        <v>17</v>
      </c>
      <c r="M24" s="1555">
        <v>3643</v>
      </c>
      <c r="N24" s="1555">
        <v>1353</v>
      </c>
    </row>
    <row r="25" spans="1:14" ht="20.100000000000001" hidden="1" customHeight="1">
      <c r="A25" s="1553" t="s">
        <v>1896</v>
      </c>
      <c r="B25" s="1554">
        <v>34991</v>
      </c>
      <c r="C25" s="1555" t="s">
        <v>1895</v>
      </c>
      <c r="D25" s="1555">
        <v>73</v>
      </c>
      <c r="E25" s="1555">
        <v>13720</v>
      </c>
      <c r="F25" s="1555">
        <v>7877</v>
      </c>
      <c r="G25" s="1555">
        <v>4453</v>
      </c>
      <c r="H25" s="1555">
        <v>1604</v>
      </c>
      <c r="I25" s="1555">
        <v>699</v>
      </c>
      <c r="J25" s="1555">
        <v>1098</v>
      </c>
      <c r="K25" s="1555">
        <v>577</v>
      </c>
      <c r="L25" s="1555">
        <v>80</v>
      </c>
      <c r="M25" s="1555">
        <v>3644</v>
      </c>
      <c r="N25" s="1555">
        <v>1166</v>
      </c>
    </row>
    <row r="26" spans="1:14" ht="20.100000000000001" hidden="1" customHeight="1">
      <c r="A26" s="1553" t="s">
        <v>1897</v>
      </c>
      <c r="B26" s="1554">
        <v>48234</v>
      </c>
      <c r="C26" s="1555" t="s">
        <v>1898</v>
      </c>
      <c r="D26" s="1555">
        <v>75</v>
      </c>
      <c r="E26" s="1555">
        <v>20985</v>
      </c>
      <c r="F26" s="1555">
        <v>11033</v>
      </c>
      <c r="G26" s="1555">
        <v>4129</v>
      </c>
      <c r="H26" s="1555">
        <v>1781</v>
      </c>
      <c r="I26" s="1555">
        <v>757</v>
      </c>
      <c r="J26" s="1555">
        <v>1093</v>
      </c>
      <c r="K26" s="1555">
        <v>504</v>
      </c>
      <c r="L26" s="1555">
        <v>248</v>
      </c>
      <c r="M26" s="1555">
        <v>5609</v>
      </c>
      <c r="N26" s="1555">
        <v>2020</v>
      </c>
    </row>
    <row r="27" spans="1:14" ht="20.100000000000001" hidden="1" customHeight="1">
      <c r="A27" s="1553" t="s">
        <v>1899</v>
      </c>
      <c r="B27" s="1554">
        <v>42336</v>
      </c>
      <c r="C27" s="1555" t="s">
        <v>1898</v>
      </c>
      <c r="D27" s="1555">
        <v>58</v>
      </c>
      <c r="E27" s="1555">
        <v>16349</v>
      </c>
      <c r="F27" s="1555">
        <v>10907</v>
      </c>
      <c r="G27" s="1555">
        <v>3399</v>
      </c>
      <c r="H27" s="1555">
        <v>1747</v>
      </c>
      <c r="I27" s="1555">
        <v>701</v>
      </c>
      <c r="J27" s="1555">
        <v>1077</v>
      </c>
      <c r="K27" s="1555">
        <v>429</v>
      </c>
      <c r="L27" s="1555">
        <v>257</v>
      </c>
      <c r="M27" s="1555">
        <v>4757</v>
      </c>
      <c r="N27" s="1555">
        <v>2655</v>
      </c>
    </row>
    <row r="28" spans="1:14" ht="20.100000000000001" hidden="1" customHeight="1">
      <c r="A28" s="1553" t="s">
        <v>1900</v>
      </c>
      <c r="B28" s="1554">
        <v>37159</v>
      </c>
      <c r="C28" s="1555">
        <v>4</v>
      </c>
      <c r="D28" s="1555">
        <v>48</v>
      </c>
      <c r="E28" s="1555">
        <v>14649</v>
      </c>
      <c r="F28" s="1555">
        <v>8644</v>
      </c>
      <c r="G28" s="1555">
        <v>3273</v>
      </c>
      <c r="H28" s="1555">
        <v>1830</v>
      </c>
      <c r="I28" s="1555">
        <v>741</v>
      </c>
      <c r="J28" s="1555">
        <v>1044</v>
      </c>
      <c r="K28" s="1555">
        <v>385</v>
      </c>
      <c r="L28" s="1555">
        <v>267</v>
      </c>
      <c r="M28" s="1555">
        <v>4256</v>
      </c>
      <c r="N28" s="1555">
        <v>2018</v>
      </c>
    </row>
    <row r="29" spans="1:14" ht="20.100000000000001" hidden="1" customHeight="1">
      <c r="A29" s="1553" t="s">
        <v>1901</v>
      </c>
      <c r="B29" s="1554">
        <v>36459</v>
      </c>
      <c r="C29" s="1555">
        <v>5</v>
      </c>
      <c r="D29" s="1555">
        <v>38</v>
      </c>
      <c r="E29" s="1555">
        <v>14538</v>
      </c>
      <c r="F29" s="1555">
        <v>8224</v>
      </c>
      <c r="G29" s="1555">
        <v>3347</v>
      </c>
      <c r="H29" s="1555">
        <v>2015</v>
      </c>
      <c r="I29" s="1555">
        <v>666</v>
      </c>
      <c r="J29" s="1555">
        <v>1066</v>
      </c>
      <c r="K29" s="1555">
        <v>342</v>
      </c>
      <c r="L29" s="1555">
        <v>257</v>
      </c>
      <c r="M29" s="1555">
        <v>3993</v>
      </c>
      <c r="N29" s="1555">
        <v>1968</v>
      </c>
    </row>
    <row r="30" spans="1:14" ht="20.100000000000001" hidden="1" customHeight="1">
      <c r="A30" s="1553" t="s">
        <v>1902</v>
      </c>
      <c r="B30" s="1554">
        <v>35329</v>
      </c>
      <c r="C30" s="1555">
        <v>6</v>
      </c>
      <c r="D30" s="1555">
        <v>47</v>
      </c>
      <c r="E30" s="1555">
        <v>13754</v>
      </c>
      <c r="F30" s="1555">
        <v>7923</v>
      </c>
      <c r="G30" s="1555">
        <v>3684</v>
      </c>
      <c r="H30" s="1555">
        <v>2084</v>
      </c>
      <c r="I30" s="1555">
        <v>689</v>
      </c>
      <c r="J30" s="1555">
        <v>1071</v>
      </c>
      <c r="K30" s="1555">
        <v>324</v>
      </c>
      <c r="L30" s="1555">
        <v>239</v>
      </c>
      <c r="M30" s="1555">
        <v>3738</v>
      </c>
      <c r="N30" s="1555">
        <v>1770</v>
      </c>
    </row>
    <row r="31" spans="1:14" ht="20.100000000000001" customHeight="1">
      <c r="A31" s="1556" t="s">
        <v>1903</v>
      </c>
      <c r="B31" s="1554">
        <f>SUM(C31:N31)</f>
        <v>33951</v>
      </c>
      <c r="C31" s="1555">
        <v>6</v>
      </c>
      <c r="D31" s="1555">
        <v>36</v>
      </c>
      <c r="E31" s="1555">
        <v>17576</v>
      </c>
      <c r="F31" s="1555">
        <v>6507</v>
      </c>
      <c r="G31" s="1555">
        <v>3224</v>
      </c>
      <c r="H31" s="1555">
        <v>1663</v>
      </c>
      <c r="I31" s="1555">
        <v>414</v>
      </c>
      <c r="J31" s="1555">
        <v>731</v>
      </c>
      <c r="K31" s="1555">
        <v>180</v>
      </c>
      <c r="L31" s="1555">
        <v>137</v>
      </c>
      <c r="M31" s="1555">
        <v>2513</v>
      </c>
      <c r="N31" s="1555">
        <v>964</v>
      </c>
    </row>
    <row r="32" spans="1:14" ht="20.100000000000001" customHeight="1">
      <c r="A32" s="1556" t="s">
        <v>1711</v>
      </c>
      <c r="B32" s="1554">
        <f>SUM(C32:N32)</f>
        <v>34586</v>
      </c>
      <c r="C32" s="1555">
        <v>1</v>
      </c>
      <c r="D32" s="1555">
        <v>19</v>
      </c>
      <c r="E32" s="1555">
        <v>18353</v>
      </c>
      <c r="F32" s="1555">
        <v>6428</v>
      </c>
      <c r="G32" s="1555">
        <v>3313</v>
      </c>
      <c r="H32" s="1555">
        <v>1495</v>
      </c>
      <c r="I32" s="1555">
        <v>365</v>
      </c>
      <c r="J32" s="1555">
        <v>664</v>
      </c>
      <c r="K32" s="1555">
        <v>126</v>
      </c>
      <c r="L32" s="1555">
        <v>111</v>
      </c>
      <c r="M32" s="1555">
        <v>2803</v>
      </c>
      <c r="N32" s="1555">
        <v>908</v>
      </c>
    </row>
    <row r="33" spans="1:14" ht="20.100000000000001" customHeight="1">
      <c r="A33" s="1556" t="s">
        <v>1712</v>
      </c>
      <c r="B33" s="1554">
        <f>SUM(C33:N33)</f>
        <v>36298</v>
      </c>
      <c r="C33" s="1555" t="s">
        <v>1904</v>
      </c>
      <c r="D33" s="1555">
        <v>27</v>
      </c>
      <c r="E33" s="1555">
        <v>19186</v>
      </c>
      <c r="F33" s="1555">
        <v>6452</v>
      </c>
      <c r="G33" s="1555">
        <v>3624</v>
      </c>
      <c r="H33" s="1555">
        <v>1659</v>
      </c>
      <c r="I33" s="1555">
        <v>352</v>
      </c>
      <c r="J33" s="1555">
        <v>687</v>
      </c>
      <c r="K33" s="1555">
        <v>130</v>
      </c>
      <c r="L33" s="1555">
        <v>110</v>
      </c>
      <c r="M33" s="1555">
        <v>3180</v>
      </c>
      <c r="N33" s="1555">
        <v>891</v>
      </c>
    </row>
    <row r="34" spans="1:14" ht="20.100000000000001" customHeight="1">
      <c r="A34" s="1556" t="s">
        <v>1713</v>
      </c>
      <c r="B34" s="1554">
        <f>SUM(C34:N34)</f>
        <v>36161</v>
      </c>
      <c r="C34" s="1555">
        <v>1</v>
      </c>
      <c r="D34" s="1555">
        <v>17</v>
      </c>
      <c r="E34" s="1555">
        <v>18686</v>
      </c>
      <c r="F34" s="1555">
        <v>6060</v>
      </c>
      <c r="G34" s="1555">
        <v>4022</v>
      </c>
      <c r="H34" s="1555">
        <v>1782</v>
      </c>
      <c r="I34" s="1555">
        <v>328</v>
      </c>
      <c r="J34" s="1555">
        <v>748</v>
      </c>
      <c r="K34" s="1555">
        <v>125</v>
      </c>
      <c r="L34" s="1555">
        <v>89</v>
      </c>
      <c r="M34" s="1555">
        <v>3455</v>
      </c>
      <c r="N34" s="1555">
        <v>848</v>
      </c>
    </row>
    <row r="35" spans="1:14" ht="20.100000000000001" customHeight="1" thickBot="1">
      <c r="A35" s="1556" t="s">
        <v>1714</v>
      </c>
      <c r="B35" s="1554">
        <f>SUM(C35:N35)</f>
        <v>34771</v>
      </c>
      <c r="C35" s="1557" t="s">
        <v>1905</v>
      </c>
      <c r="D35" s="1557">
        <v>20</v>
      </c>
      <c r="E35" s="1557">
        <v>17291</v>
      </c>
      <c r="F35" s="1557">
        <v>5733</v>
      </c>
      <c r="G35" s="1557">
        <v>4056</v>
      </c>
      <c r="H35" s="1557">
        <v>1752</v>
      </c>
      <c r="I35" s="1557">
        <v>359</v>
      </c>
      <c r="J35" s="1557">
        <v>741</v>
      </c>
      <c r="K35" s="1557">
        <v>112</v>
      </c>
      <c r="L35" s="1557">
        <v>78</v>
      </c>
      <c r="M35" s="1557">
        <v>3562</v>
      </c>
      <c r="N35" s="1557">
        <v>1067</v>
      </c>
    </row>
    <row r="36" spans="1:14" ht="17.100000000000001" customHeight="1" thickTop="1">
      <c r="A36" s="3498" t="s">
        <v>1906</v>
      </c>
      <c r="B36" s="3499" t="s">
        <v>1907</v>
      </c>
      <c r="C36" s="3500"/>
      <c r="D36" s="3500"/>
      <c r="E36" s="3500"/>
      <c r="F36" s="3500"/>
      <c r="G36" s="3500"/>
      <c r="H36" s="3500"/>
      <c r="I36" s="3500"/>
      <c r="J36" s="3500"/>
      <c r="K36" s="3500"/>
      <c r="L36" s="3500"/>
      <c r="M36" s="3500"/>
      <c r="N36" s="3500"/>
    </row>
    <row r="37" spans="1:14" ht="17.100000000000001" customHeight="1">
      <c r="A37" s="3490"/>
      <c r="B37" s="1540" t="s">
        <v>1164</v>
      </c>
      <c r="C37" s="1541" t="s">
        <v>1908</v>
      </c>
      <c r="D37" s="1541" t="s">
        <v>1909</v>
      </c>
      <c r="E37" s="1542"/>
      <c r="F37" s="1542"/>
      <c r="G37" s="1543" t="s">
        <v>1910</v>
      </c>
      <c r="H37" s="1543" t="s">
        <v>1911</v>
      </c>
      <c r="I37" s="1543" t="s">
        <v>1912</v>
      </c>
      <c r="J37" s="1543" t="s">
        <v>1913</v>
      </c>
      <c r="K37" s="1543"/>
      <c r="L37" s="1542"/>
      <c r="M37" s="1544" t="s">
        <v>1914</v>
      </c>
      <c r="N37" s="3400" t="s">
        <v>1915</v>
      </c>
    </row>
    <row r="38" spans="1:14" ht="17.100000000000001" customHeight="1">
      <c r="A38" s="3490"/>
      <c r="C38" s="1545"/>
      <c r="D38" s="1545"/>
      <c r="E38" s="3423" t="s">
        <v>1916</v>
      </c>
      <c r="F38" s="3423" t="s">
        <v>1917</v>
      </c>
      <c r="G38" s="3423" t="s">
        <v>1918</v>
      </c>
      <c r="H38" s="3397" t="s">
        <v>1919</v>
      </c>
      <c r="I38" s="3423" t="s">
        <v>1920</v>
      </c>
      <c r="J38" s="3423" t="s">
        <v>1921</v>
      </c>
      <c r="K38" s="3423" t="s">
        <v>1922</v>
      </c>
      <c r="L38" s="3423" t="s">
        <v>1923</v>
      </c>
      <c r="M38" s="1546"/>
      <c r="N38" s="3494"/>
    </row>
    <row r="39" spans="1:14" ht="17.100000000000001" customHeight="1">
      <c r="A39" s="3490"/>
      <c r="C39" s="1545"/>
      <c r="D39" s="1545" t="s">
        <v>1911</v>
      </c>
      <c r="E39" s="3496"/>
      <c r="F39" s="3496"/>
      <c r="G39" s="3496"/>
      <c r="H39" s="3398"/>
      <c r="I39" s="3496"/>
      <c r="J39" s="3496"/>
      <c r="K39" s="3496"/>
      <c r="L39" s="3496"/>
      <c r="M39" s="1546"/>
      <c r="N39" s="3494"/>
    </row>
    <row r="40" spans="1:14" ht="17.100000000000001" customHeight="1">
      <c r="A40" s="3490"/>
      <c r="C40" s="1545"/>
      <c r="D40" s="1545"/>
      <c r="E40" s="3496"/>
      <c r="F40" s="3496"/>
      <c r="G40" s="3496"/>
      <c r="H40" s="3398"/>
      <c r="I40" s="3496"/>
      <c r="J40" s="3496"/>
      <c r="K40" s="3496"/>
      <c r="L40" s="3496"/>
      <c r="M40" s="1546"/>
      <c r="N40" s="3494"/>
    </row>
    <row r="41" spans="1:14" ht="17.100000000000001" customHeight="1">
      <c r="A41" s="3490"/>
      <c r="C41" s="1545"/>
      <c r="D41" s="1545" t="s">
        <v>1924</v>
      </c>
      <c r="E41" s="3496"/>
      <c r="F41" s="3496"/>
      <c r="G41" s="3496"/>
      <c r="H41" s="3398"/>
      <c r="I41" s="3496"/>
      <c r="J41" s="3496"/>
      <c r="K41" s="3496"/>
      <c r="L41" s="3496"/>
      <c r="M41" s="1546"/>
      <c r="N41" s="3494"/>
    </row>
    <row r="42" spans="1:14" ht="17.100000000000001" customHeight="1">
      <c r="A42" s="3490"/>
      <c r="C42" s="1545"/>
      <c r="D42" s="1545"/>
      <c r="E42" s="3496"/>
      <c r="F42" s="3496"/>
      <c r="G42" s="3496"/>
      <c r="H42" s="3398"/>
      <c r="I42" s="3496"/>
      <c r="J42" s="3496"/>
      <c r="K42" s="3496"/>
      <c r="L42" s="3496"/>
      <c r="M42" s="1546"/>
      <c r="N42" s="3494"/>
    </row>
    <row r="43" spans="1:14" ht="17.100000000000001" customHeight="1">
      <c r="A43" s="3491"/>
      <c r="B43" s="1547" t="s">
        <v>1172</v>
      </c>
      <c r="C43" s="1548" t="s">
        <v>1913</v>
      </c>
      <c r="D43" s="1548" t="s">
        <v>1913</v>
      </c>
      <c r="E43" s="3497"/>
      <c r="F43" s="3497"/>
      <c r="G43" s="3497"/>
      <c r="H43" s="3399"/>
      <c r="I43" s="3497"/>
      <c r="J43" s="3497"/>
      <c r="K43" s="3497"/>
      <c r="L43" s="3497"/>
      <c r="M43" s="1549" t="s">
        <v>1925</v>
      </c>
      <c r="N43" s="3495"/>
    </row>
    <row r="44" spans="1:14" ht="20.100000000000001" hidden="1" customHeight="1">
      <c r="A44" s="1558" t="s">
        <v>1926</v>
      </c>
      <c r="B44" s="1555">
        <v>39946</v>
      </c>
      <c r="C44" s="1555" t="s">
        <v>5</v>
      </c>
      <c r="D44" s="1555">
        <v>999</v>
      </c>
      <c r="E44" s="1555">
        <v>2128</v>
      </c>
      <c r="F44" s="1555">
        <v>4685</v>
      </c>
      <c r="G44" s="1555">
        <v>7389</v>
      </c>
      <c r="H44" s="1555">
        <v>11235</v>
      </c>
      <c r="I44" s="1555">
        <v>5086</v>
      </c>
      <c r="J44" s="1555">
        <v>3449</v>
      </c>
      <c r="K44" s="1555">
        <v>3711</v>
      </c>
      <c r="L44" s="1555">
        <v>1177</v>
      </c>
      <c r="M44" s="1555">
        <v>73</v>
      </c>
      <c r="N44" s="1555">
        <v>14</v>
      </c>
    </row>
    <row r="45" spans="1:14" ht="20.100000000000001" hidden="1" customHeight="1">
      <c r="A45" s="1558" t="s">
        <v>1927</v>
      </c>
      <c r="B45" s="1554">
        <v>42816</v>
      </c>
      <c r="C45" s="1555" t="s">
        <v>5</v>
      </c>
      <c r="D45" s="1555">
        <v>1242</v>
      </c>
      <c r="E45" s="1555">
        <v>2101</v>
      </c>
      <c r="F45" s="1555">
        <v>3924</v>
      </c>
      <c r="G45" s="1555">
        <v>6458</v>
      </c>
      <c r="H45" s="1555">
        <v>12940</v>
      </c>
      <c r="I45" s="1555">
        <v>6128</v>
      </c>
      <c r="J45" s="1555">
        <v>4191</v>
      </c>
      <c r="K45" s="1555">
        <v>4045</v>
      </c>
      <c r="L45" s="1555">
        <v>1690</v>
      </c>
      <c r="M45" s="1555">
        <v>86</v>
      </c>
      <c r="N45" s="1555">
        <v>11</v>
      </c>
    </row>
    <row r="46" spans="1:14" ht="20.100000000000001" hidden="1" customHeight="1">
      <c r="A46" s="1558" t="s">
        <v>1928</v>
      </c>
      <c r="B46" s="1554">
        <v>39917</v>
      </c>
      <c r="C46" s="1555" t="s">
        <v>5</v>
      </c>
      <c r="D46" s="1555">
        <v>1443</v>
      </c>
      <c r="E46" s="1555">
        <v>2131</v>
      </c>
      <c r="F46" s="1555">
        <v>3289</v>
      </c>
      <c r="G46" s="1555">
        <v>5120</v>
      </c>
      <c r="H46" s="1555">
        <v>10260</v>
      </c>
      <c r="I46" s="1555">
        <v>6083</v>
      </c>
      <c r="J46" s="1555">
        <v>4840</v>
      </c>
      <c r="K46" s="1555">
        <v>4464</v>
      </c>
      <c r="L46" s="1555">
        <v>2172</v>
      </c>
      <c r="M46" s="1555">
        <v>103</v>
      </c>
      <c r="N46" s="1555">
        <v>12</v>
      </c>
    </row>
    <row r="47" spans="1:14" ht="20.100000000000001" hidden="1" customHeight="1">
      <c r="A47" s="1558" t="s">
        <v>1929</v>
      </c>
      <c r="B47" s="1554">
        <v>41613</v>
      </c>
      <c r="C47" s="1555" t="s">
        <v>5</v>
      </c>
      <c r="D47" s="1555">
        <v>1630</v>
      </c>
      <c r="E47" s="1555">
        <v>2816</v>
      </c>
      <c r="F47" s="1555">
        <v>4135</v>
      </c>
      <c r="G47" s="1555">
        <v>5839</v>
      </c>
      <c r="H47" s="1555">
        <v>8892</v>
      </c>
      <c r="I47" s="1555">
        <v>5634</v>
      </c>
      <c r="J47" s="1555">
        <v>5016</v>
      </c>
      <c r="K47" s="1555">
        <v>4948</v>
      </c>
      <c r="L47" s="1555">
        <v>2525</v>
      </c>
      <c r="M47" s="1555">
        <v>159</v>
      </c>
      <c r="N47" s="1555">
        <v>19</v>
      </c>
    </row>
    <row r="48" spans="1:14" ht="20.100000000000001" hidden="1" customHeight="1">
      <c r="A48" s="1558" t="s">
        <v>1930</v>
      </c>
      <c r="B48" s="1554">
        <v>45537</v>
      </c>
      <c r="C48" s="1555" t="s">
        <v>5</v>
      </c>
      <c r="D48" s="1555">
        <v>1810</v>
      </c>
      <c r="E48" s="1555">
        <v>3269</v>
      </c>
      <c r="F48" s="1555">
        <v>4219</v>
      </c>
      <c r="G48" s="1555">
        <v>6671</v>
      </c>
      <c r="H48" s="1555">
        <v>8728</v>
      </c>
      <c r="I48" s="1555">
        <v>5970</v>
      </c>
      <c r="J48" s="1555">
        <v>5806</v>
      </c>
      <c r="K48" s="1555">
        <v>5864</v>
      </c>
      <c r="L48" s="1555">
        <v>2999</v>
      </c>
      <c r="M48" s="1555">
        <v>177</v>
      </c>
      <c r="N48" s="1555">
        <v>24</v>
      </c>
    </row>
    <row r="49" spans="1:14" ht="20.100000000000001" hidden="1" customHeight="1">
      <c r="A49" s="1558" t="s">
        <v>1931</v>
      </c>
      <c r="B49" s="1554">
        <v>40815</v>
      </c>
      <c r="C49" s="1555" t="s">
        <v>5</v>
      </c>
      <c r="D49" s="1555">
        <v>1968</v>
      </c>
      <c r="E49" s="1555">
        <v>1951</v>
      </c>
      <c r="F49" s="1555">
        <v>3114</v>
      </c>
      <c r="G49" s="1555">
        <v>5506</v>
      </c>
      <c r="H49" s="1555">
        <v>7572</v>
      </c>
      <c r="I49" s="1555">
        <v>5656</v>
      </c>
      <c r="J49" s="1555">
        <v>5676</v>
      </c>
      <c r="K49" s="1555">
        <v>5909</v>
      </c>
      <c r="L49" s="1555">
        <v>3257</v>
      </c>
      <c r="M49" s="1555">
        <v>175</v>
      </c>
      <c r="N49" s="1555">
        <v>31</v>
      </c>
    </row>
    <row r="50" spans="1:14" ht="20.100000000000001" hidden="1" customHeight="1">
      <c r="A50" s="1558" t="s">
        <v>1932</v>
      </c>
      <c r="B50" s="1554">
        <v>38278</v>
      </c>
      <c r="C50" s="1555" t="s">
        <v>5</v>
      </c>
      <c r="D50" s="1555">
        <v>2110</v>
      </c>
      <c r="E50" s="1555">
        <v>1896</v>
      </c>
      <c r="F50" s="1555">
        <v>2832</v>
      </c>
      <c r="G50" s="1555">
        <v>6088</v>
      </c>
      <c r="H50" s="1555">
        <v>6189</v>
      </c>
      <c r="I50" s="1555">
        <v>4856</v>
      </c>
      <c r="J50" s="1555">
        <v>5322</v>
      </c>
      <c r="K50" s="1555">
        <v>5556</v>
      </c>
      <c r="L50" s="1555">
        <v>3207</v>
      </c>
      <c r="M50" s="1555">
        <v>172</v>
      </c>
      <c r="N50" s="1555">
        <v>50</v>
      </c>
    </row>
    <row r="51" spans="1:14" ht="20.100000000000001" hidden="1" customHeight="1">
      <c r="A51" s="1558" t="s">
        <v>1933</v>
      </c>
      <c r="B51" s="1554">
        <v>37611</v>
      </c>
      <c r="C51" s="1555" t="s">
        <v>5</v>
      </c>
      <c r="D51" s="1555">
        <v>2180</v>
      </c>
      <c r="E51" s="1555">
        <v>2014</v>
      </c>
      <c r="F51" s="1555">
        <v>3094</v>
      </c>
      <c r="G51" s="1555">
        <v>7689</v>
      </c>
      <c r="H51" s="1555">
        <v>5817</v>
      </c>
      <c r="I51" s="1555">
        <v>3884</v>
      </c>
      <c r="J51" s="1555">
        <v>4693</v>
      </c>
      <c r="K51" s="1555">
        <v>4957</v>
      </c>
      <c r="L51" s="1555">
        <v>2964</v>
      </c>
      <c r="M51" s="1555">
        <v>215</v>
      </c>
      <c r="N51" s="1555">
        <v>104</v>
      </c>
    </row>
    <row r="52" spans="1:14" ht="20.100000000000001" hidden="1" customHeight="1">
      <c r="A52" s="1558" t="s">
        <v>1934</v>
      </c>
      <c r="B52" s="1554">
        <v>39253</v>
      </c>
      <c r="C52" s="1555" t="s">
        <v>5</v>
      </c>
      <c r="D52" s="1555">
        <v>2215</v>
      </c>
      <c r="E52" s="1555">
        <v>2145</v>
      </c>
      <c r="F52" s="1555">
        <v>3257</v>
      </c>
      <c r="G52" s="1555">
        <v>9697</v>
      </c>
      <c r="H52" s="1555">
        <v>6510</v>
      </c>
      <c r="I52" s="1555">
        <v>3609</v>
      </c>
      <c r="J52" s="1555">
        <v>4260</v>
      </c>
      <c r="K52" s="1555">
        <v>4388</v>
      </c>
      <c r="L52" s="1555">
        <v>2746</v>
      </c>
      <c r="M52" s="1555">
        <v>242</v>
      </c>
      <c r="N52" s="1555">
        <v>184</v>
      </c>
    </row>
    <row r="53" spans="1:14" ht="20.100000000000001" hidden="1" customHeight="1">
      <c r="A53" s="1558" t="s">
        <v>1935</v>
      </c>
      <c r="B53" s="1554">
        <v>39825</v>
      </c>
      <c r="C53" s="1555" t="s">
        <v>5</v>
      </c>
      <c r="D53" s="1555">
        <v>2174</v>
      </c>
      <c r="E53" s="1555">
        <v>2125</v>
      </c>
      <c r="F53" s="1555">
        <v>3378</v>
      </c>
      <c r="G53" s="1555">
        <v>10218</v>
      </c>
      <c r="H53" s="1555">
        <v>7130</v>
      </c>
      <c r="I53" s="1555">
        <v>3676</v>
      </c>
      <c r="J53" s="1555">
        <v>4240</v>
      </c>
      <c r="K53" s="1555">
        <v>3871</v>
      </c>
      <c r="L53" s="1555">
        <v>2438</v>
      </c>
      <c r="M53" s="1555">
        <v>346</v>
      </c>
      <c r="N53" s="1555">
        <v>229</v>
      </c>
    </row>
    <row r="54" spans="1:14" ht="20.100000000000001" hidden="1" customHeight="1">
      <c r="A54" s="1558" t="s">
        <v>1936</v>
      </c>
      <c r="B54" s="1554">
        <v>41245</v>
      </c>
      <c r="C54" s="1555" t="s">
        <v>5</v>
      </c>
      <c r="D54" s="1555">
        <v>2171</v>
      </c>
      <c r="E54" s="1555">
        <v>2159</v>
      </c>
      <c r="F54" s="1555">
        <v>3529</v>
      </c>
      <c r="G54" s="1555">
        <v>10364</v>
      </c>
      <c r="H54" s="1555">
        <v>7300</v>
      </c>
      <c r="I54" s="1555">
        <v>4114</v>
      </c>
      <c r="J54" s="1555">
        <v>4774</v>
      </c>
      <c r="K54" s="1555">
        <v>3957</v>
      </c>
      <c r="L54" s="1555">
        <v>2371</v>
      </c>
      <c r="M54" s="1555">
        <v>303</v>
      </c>
      <c r="N54" s="1555">
        <v>203</v>
      </c>
    </row>
    <row r="55" spans="1:14" ht="20.100000000000001" hidden="1" customHeight="1">
      <c r="A55" s="1558" t="s">
        <v>1937</v>
      </c>
      <c r="B55" s="1554">
        <v>45955</v>
      </c>
      <c r="C55" s="1555" t="s">
        <v>5</v>
      </c>
      <c r="D55" s="1555">
        <v>2174</v>
      </c>
      <c r="E55" s="1555">
        <v>2633</v>
      </c>
      <c r="F55" s="1555">
        <v>4086</v>
      </c>
      <c r="G55" s="1555">
        <v>12380</v>
      </c>
      <c r="H55" s="1555">
        <v>7468</v>
      </c>
      <c r="I55" s="1555">
        <v>4600</v>
      </c>
      <c r="J55" s="1555">
        <v>5501</v>
      </c>
      <c r="K55" s="1555">
        <v>4273</v>
      </c>
      <c r="L55" s="1555">
        <v>2400</v>
      </c>
      <c r="M55" s="1555">
        <v>311</v>
      </c>
      <c r="N55" s="1555">
        <v>129</v>
      </c>
    </row>
    <row r="56" spans="1:14" ht="20.100000000000001" hidden="1" customHeight="1">
      <c r="A56" s="1558" t="s">
        <v>1938</v>
      </c>
      <c r="B56" s="1554">
        <v>48779</v>
      </c>
      <c r="C56" s="1555" t="s">
        <v>5</v>
      </c>
      <c r="D56" s="1555">
        <v>2129</v>
      </c>
      <c r="E56" s="1555">
        <v>2691</v>
      </c>
      <c r="F56" s="1555">
        <v>4511</v>
      </c>
      <c r="G56" s="1555">
        <v>13238</v>
      </c>
      <c r="H56" s="1555">
        <v>7535</v>
      </c>
      <c r="I56" s="1555">
        <v>4820</v>
      </c>
      <c r="J56" s="1555">
        <v>6203</v>
      </c>
      <c r="K56" s="1555">
        <v>4708</v>
      </c>
      <c r="L56" s="1555">
        <v>2425</v>
      </c>
      <c r="M56" s="1555">
        <v>340</v>
      </c>
      <c r="N56" s="1555">
        <v>179</v>
      </c>
    </row>
    <row r="57" spans="1:14" ht="20.100000000000001" hidden="1" customHeight="1">
      <c r="A57" s="1558" t="s">
        <v>1939</v>
      </c>
      <c r="B57" s="1554">
        <v>51381</v>
      </c>
      <c r="C57" s="1555" t="s">
        <v>5</v>
      </c>
      <c r="D57" s="1555">
        <v>1838</v>
      </c>
      <c r="E57" s="1555">
        <v>3142</v>
      </c>
      <c r="F57" s="1555">
        <v>4758</v>
      </c>
      <c r="G57" s="1555">
        <v>14451</v>
      </c>
      <c r="H57" s="1555">
        <v>7638</v>
      </c>
      <c r="I57" s="1555">
        <v>4794</v>
      </c>
      <c r="J57" s="1555">
        <v>6657</v>
      </c>
      <c r="K57" s="1555">
        <v>5106</v>
      </c>
      <c r="L57" s="1555">
        <v>2375</v>
      </c>
      <c r="M57" s="1555">
        <v>418</v>
      </c>
      <c r="N57" s="1555">
        <v>204</v>
      </c>
    </row>
    <row r="58" spans="1:14" ht="20.100000000000001" hidden="1" customHeight="1">
      <c r="A58" s="1558" t="s">
        <v>1940</v>
      </c>
      <c r="B58" s="1554">
        <v>40461</v>
      </c>
      <c r="C58" s="1555" t="s">
        <v>5</v>
      </c>
      <c r="D58" s="1555">
        <v>1707</v>
      </c>
      <c r="E58" s="1555">
        <v>3635</v>
      </c>
      <c r="F58" s="1555">
        <v>2940</v>
      </c>
      <c r="G58" s="1555">
        <v>7857</v>
      </c>
      <c r="H58" s="1555">
        <v>5562</v>
      </c>
      <c r="I58" s="1555">
        <v>3891</v>
      </c>
      <c r="J58" s="1555">
        <v>6669</v>
      </c>
      <c r="K58" s="1555">
        <v>5260</v>
      </c>
      <c r="L58" s="1555">
        <v>2411</v>
      </c>
      <c r="M58" s="1555">
        <v>366</v>
      </c>
      <c r="N58" s="1555">
        <v>163</v>
      </c>
    </row>
    <row r="59" spans="1:14" ht="20.100000000000001" hidden="1" customHeight="1">
      <c r="A59" s="1558" t="s">
        <v>1941</v>
      </c>
      <c r="B59" s="1554">
        <v>52708</v>
      </c>
      <c r="C59" s="1555" t="s">
        <v>5</v>
      </c>
      <c r="D59" s="1555">
        <v>1611</v>
      </c>
      <c r="E59" s="1555">
        <v>4160</v>
      </c>
      <c r="F59" s="1555">
        <v>5023</v>
      </c>
      <c r="G59" s="1555">
        <v>12681</v>
      </c>
      <c r="H59" s="1555">
        <v>7850</v>
      </c>
      <c r="I59" s="1555">
        <v>4697</v>
      </c>
      <c r="J59" s="1555">
        <v>6940</v>
      </c>
      <c r="K59" s="1555">
        <v>5693</v>
      </c>
      <c r="L59" s="1555">
        <v>3066</v>
      </c>
      <c r="M59" s="1555">
        <v>633</v>
      </c>
      <c r="N59" s="1555">
        <v>354</v>
      </c>
    </row>
    <row r="60" spans="1:14" ht="20.100000000000001" hidden="1" customHeight="1">
      <c r="A60" s="1558" t="s">
        <v>1899</v>
      </c>
      <c r="B60" s="1554">
        <v>55225</v>
      </c>
      <c r="C60" s="1555" t="s">
        <v>5</v>
      </c>
      <c r="D60" s="1555">
        <v>1471</v>
      </c>
      <c r="E60" s="1555">
        <v>3025</v>
      </c>
      <c r="F60" s="1555">
        <v>4233</v>
      </c>
      <c r="G60" s="1555">
        <v>13168</v>
      </c>
      <c r="H60" s="1555">
        <v>9619</v>
      </c>
      <c r="I60" s="1555">
        <v>5384</v>
      </c>
      <c r="J60" s="1555">
        <v>7368</v>
      </c>
      <c r="K60" s="1555">
        <v>6231</v>
      </c>
      <c r="L60" s="1555">
        <v>3964</v>
      </c>
      <c r="M60" s="1555">
        <v>457</v>
      </c>
      <c r="N60" s="1555">
        <v>305</v>
      </c>
    </row>
    <row r="61" spans="1:14" ht="20.100000000000001" hidden="1" customHeight="1">
      <c r="A61" s="1558" t="s">
        <v>1900</v>
      </c>
      <c r="B61" s="1554">
        <v>57088</v>
      </c>
      <c r="C61" s="1555" t="s">
        <v>5</v>
      </c>
      <c r="D61" s="1555">
        <v>1476</v>
      </c>
      <c r="E61" s="1555">
        <v>3139</v>
      </c>
      <c r="F61" s="1555">
        <v>3810</v>
      </c>
      <c r="G61" s="1555">
        <v>12023</v>
      </c>
      <c r="H61" s="1555">
        <v>10416</v>
      </c>
      <c r="I61" s="1555">
        <v>6099</v>
      </c>
      <c r="J61" s="1555">
        <v>7751</v>
      </c>
      <c r="K61" s="1555">
        <v>6681</v>
      </c>
      <c r="L61" s="1555">
        <v>4913</v>
      </c>
      <c r="M61" s="1555">
        <v>472</v>
      </c>
      <c r="N61" s="1555">
        <v>308</v>
      </c>
    </row>
    <row r="62" spans="1:14" ht="20.100000000000001" hidden="1" customHeight="1">
      <c r="A62" s="1558" t="s">
        <v>1901</v>
      </c>
      <c r="B62" s="1554">
        <v>57479</v>
      </c>
      <c r="C62" s="1555" t="s">
        <v>5</v>
      </c>
      <c r="D62" s="1555">
        <v>1398</v>
      </c>
      <c r="E62" s="1555">
        <v>2895</v>
      </c>
      <c r="F62" s="1555">
        <v>3873</v>
      </c>
      <c r="G62" s="1555">
        <v>11476</v>
      </c>
      <c r="H62" s="1555">
        <v>9742</v>
      </c>
      <c r="I62" s="1555">
        <v>6462</v>
      </c>
      <c r="J62" s="1555">
        <v>7826</v>
      </c>
      <c r="K62" s="1555">
        <v>7224</v>
      </c>
      <c r="L62" s="1555">
        <v>5865</v>
      </c>
      <c r="M62" s="1555">
        <v>409</v>
      </c>
      <c r="N62" s="1555">
        <v>309</v>
      </c>
    </row>
    <row r="63" spans="1:14" ht="20.100000000000001" hidden="1" customHeight="1">
      <c r="A63" s="1558" t="s">
        <v>1902</v>
      </c>
      <c r="B63" s="1554">
        <v>58674</v>
      </c>
      <c r="C63" s="1555" t="s">
        <v>5</v>
      </c>
      <c r="D63" s="1555">
        <v>1349</v>
      </c>
      <c r="E63" s="1555">
        <v>2978</v>
      </c>
      <c r="F63" s="1555">
        <v>3662</v>
      </c>
      <c r="G63" s="1555">
        <v>11398</v>
      </c>
      <c r="H63" s="1555">
        <v>9405</v>
      </c>
      <c r="I63" s="1555">
        <v>6568</v>
      </c>
      <c r="J63" s="1555">
        <v>8098</v>
      </c>
      <c r="K63" s="1555">
        <v>7716</v>
      </c>
      <c r="L63" s="1555">
        <v>6858</v>
      </c>
      <c r="M63" s="1555">
        <v>388</v>
      </c>
      <c r="N63" s="1555">
        <v>254</v>
      </c>
    </row>
    <row r="64" spans="1:14" ht="20.100000000000001" customHeight="1">
      <c r="A64" s="1559" t="s">
        <v>1903</v>
      </c>
      <c r="B64" s="1554">
        <f>SUM(C64:N64)</f>
        <v>56948</v>
      </c>
      <c r="C64" s="1555" t="s">
        <v>1942</v>
      </c>
      <c r="D64" s="1555">
        <v>1393</v>
      </c>
      <c r="E64" s="1555">
        <v>4060</v>
      </c>
      <c r="F64" s="1555">
        <v>3816</v>
      </c>
      <c r="G64" s="1555">
        <v>9666</v>
      </c>
      <c r="H64" s="1555">
        <v>7425</v>
      </c>
      <c r="I64" s="1555">
        <v>5355</v>
      </c>
      <c r="J64" s="1555">
        <v>7696</v>
      </c>
      <c r="K64" s="1555">
        <v>8073</v>
      </c>
      <c r="L64" s="1555">
        <v>8986</v>
      </c>
      <c r="M64" s="1555">
        <v>300</v>
      </c>
      <c r="N64" s="1555">
        <v>178</v>
      </c>
    </row>
    <row r="65" spans="1:15" ht="20.100000000000001" customHeight="1">
      <c r="A65" s="1559" t="s">
        <v>1711</v>
      </c>
      <c r="B65" s="1554">
        <f>SUM(C65:N65)</f>
        <v>56066</v>
      </c>
      <c r="C65" s="1555" t="s">
        <v>5</v>
      </c>
      <c r="D65" s="1555">
        <v>1361</v>
      </c>
      <c r="E65" s="1555">
        <v>4143</v>
      </c>
      <c r="F65" s="1555">
        <v>3806</v>
      </c>
      <c r="G65" s="1555">
        <v>9844</v>
      </c>
      <c r="H65" s="1555">
        <v>7037</v>
      </c>
      <c r="I65" s="1555">
        <v>5107</v>
      </c>
      <c r="J65" s="1555">
        <v>7157</v>
      </c>
      <c r="K65" s="1555">
        <v>7865</v>
      </c>
      <c r="L65" s="1555">
        <v>9220</v>
      </c>
      <c r="M65" s="1555">
        <v>363</v>
      </c>
      <c r="N65" s="1555">
        <v>163</v>
      </c>
    </row>
    <row r="66" spans="1:15" ht="20.100000000000001" customHeight="1">
      <c r="A66" s="1559" t="s">
        <v>1712</v>
      </c>
      <c r="B66" s="1554">
        <f>SUM(C66:N66)</f>
        <v>56560</v>
      </c>
      <c r="C66" s="1555" t="s">
        <v>1898</v>
      </c>
      <c r="D66" s="1555">
        <v>1291</v>
      </c>
      <c r="E66" s="1555">
        <v>4333</v>
      </c>
      <c r="F66" s="1555">
        <v>3991</v>
      </c>
      <c r="G66" s="1555">
        <v>10356</v>
      </c>
      <c r="H66" s="1555">
        <v>7197</v>
      </c>
      <c r="I66" s="1555">
        <v>5005</v>
      </c>
      <c r="J66" s="1555">
        <v>6851</v>
      </c>
      <c r="K66" s="1555">
        <v>7689</v>
      </c>
      <c r="L66" s="1555">
        <v>9355</v>
      </c>
      <c r="M66" s="1555">
        <v>341</v>
      </c>
      <c r="N66" s="1555">
        <v>151</v>
      </c>
    </row>
    <row r="67" spans="1:15" ht="20.100000000000001" customHeight="1">
      <c r="A67" s="1559" t="s">
        <v>1713</v>
      </c>
      <c r="B67" s="1554">
        <f>SUM(C67:N67)</f>
        <v>58059</v>
      </c>
      <c r="C67" s="1555" t="s">
        <v>5</v>
      </c>
      <c r="D67" s="1555">
        <v>1275</v>
      </c>
      <c r="E67" s="1555">
        <v>4176</v>
      </c>
      <c r="F67" s="1555">
        <v>3878</v>
      </c>
      <c r="G67" s="1555">
        <v>10847</v>
      </c>
      <c r="H67" s="1555">
        <v>7716</v>
      </c>
      <c r="I67" s="1555">
        <v>5261</v>
      </c>
      <c r="J67" s="1555">
        <v>6932</v>
      </c>
      <c r="K67" s="1555">
        <v>7818</v>
      </c>
      <c r="L67" s="1555">
        <v>9707</v>
      </c>
      <c r="M67" s="1555">
        <v>342</v>
      </c>
      <c r="N67" s="1555">
        <v>107</v>
      </c>
    </row>
    <row r="68" spans="1:15" ht="20.100000000000001" customHeight="1">
      <c r="A68" s="1560" t="s">
        <v>1714</v>
      </c>
      <c r="B68" s="1561">
        <f>SUM(C68:N68)</f>
        <v>56289</v>
      </c>
      <c r="C68" s="1557" t="s">
        <v>5</v>
      </c>
      <c r="D68" s="1557">
        <v>1276</v>
      </c>
      <c r="E68" s="1557">
        <v>3799</v>
      </c>
      <c r="F68" s="1557">
        <v>3485</v>
      </c>
      <c r="G68" s="1557">
        <v>10100</v>
      </c>
      <c r="H68" s="1557">
        <v>7800</v>
      </c>
      <c r="I68" s="1557">
        <v>5353</v>
      </c>
      <c r="J68" s="1557">
        <v>6781</v>
      </c>
      <c r="K68" s="1557">
        <v>7375</v>
      </c>
      <c r="L68" s="1557">
        <v>9709</v>
      </c>
      <c r="M68" s="1557">
        <v>381</v>
      </c>
      <c r="N68" s="1557">
        <v>230</v>
      </c>
    </row>
    <row r="69" spans="1:15" ht="13.5" customHeight="1">
      <c r="A69" s="1562" t="s">
        <v>784</v>
      </c>
      <c r="B69" s="1538"/>
      <c r="C69" s="1388"/>
      <c r="D69" s="1388"/>
      <c r="E69" s="1388"/>
      <c r="F69" s="1388"/>
      <c r="G69" s="1563"/>
      <c r="H69" s="1563"/>
      <c r="I69" s="1388"/>
    </row>
    <row r="70" spans="1:15" ht="13.5" customHeight="1">
      <c r="A70" s="3501" t="s">
        <v>1943</v>
      </c>
      <c r="B70" s="3501"/>
      <c r="C70" s="3501"/>
      <c r="D70" s="3501"/>
      <c r="E70" s="3501"/>
      <c r="F70" s="3501"/>
      <c r="G70" s="3501"/>
      <c r="H70" s="3501"/>
      <c r="I70" s="3501"/>
      <c r="J70" s="3501"/>
      <c r="K70" s="3501"/>
      <c r="L70" s="3501"/>
      <c r="M70" s="3501"/>
      <c r="N70" s="3501"/>
      <c r="O70" s="1564"/>
    </row>
    <row r="71" spans="1:15" ht="13.9" customHeight="1">
      <c r="A71" s="3502" t="s">
        <v>1944</v>
      </c>
      <c r="B71" s="3502"/>
      <c r="C71" s="3502"/>
      <c r="D71" s="3502"/>
      <c r="E71" s="3502"/>
      <c r="F71" s="3502"/>
      <c r="G71" s="3502"/>
      <c r="H71" s="3502"/>
      <c r="I71" s="3502"/>
      <c r="J71" s="3502"/>
      <c r="K71" s="3502"/>
      <c r="L71" s="3502"/>
      <c r="M71" s="3502"/>
      <c r="N71" s="3502"/>
      <c r="O71" s="1564"/>
    </row>
  </sheetData>
  <mergeCells count="25">
    <mergeCell ref="A70:N70"/>
    <mergeCell ref="A71:N71"/>
    <mergeCell ref="A36:A43"/>
    <mergeCell ref="B36:N36"/>
    <mergeCell ref="N37:N43"/>
    <mergeCell ref="E38:E43"/>
    <mergeCell ref="F38:F43"/>
    <mergeCell ref="G38:G43"/>
    <mergeCell ref="H38:H43"/>
    <mergeCell ref="I38:I43"/>
    <mergeCell ref="J38:J43"/>
    <mergeCell ref="K38:K43"/>
    <mergeCell ref="L38:L43"/>
    <mergeCell ref="A1:N1"/>
    <mergeCell ref="A3:A10"/>
    <mergeCell ref="B3:N3"/>
    <mergeCell ref="N4:N10"/>
    <mergeCell ref="E5:E10"/>
    <mergeCell ref="F5:F10"/>
    <mergeCell ref="G5:G10"/>
    <mergeCell ref="H5:H10"/>
    <mergeCell ref="I5:I10"/>
    <mergeCell ref="J5:J10"/>
    <mergeCell ref="K5:K10"/>
    <mergeCell ref="L5:L10"/>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0"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H33"/>
  <sheetViews>
    <sheetView showGridLines="0" topLeftCell="A7" workbookViewId="0">
      <selection activeCell="B16" sqref="B16"/>
    </sheetView>
  </sheetViews>
  <sheetFormatPr defaultColWidth="9" defaultRowHeight="15.75"/>
  <cols>
    <col min="1" max="1" width="21.875" style="1436" bestFit="1" customWidth="1"/>
    <col min="2" max="8" width="12.125" style="1436" customWidth="1"/>
    <col min="9" max="16384" width="9" style="1436"/>
  </cols>
  <sheetData>
    <row r="1" spans="1:8" s="1399" customFormat="1" ht="19.5">
      <c r="A1" s="3507" t="s">
        <v>1945</v>
      </c>
      <c r="B1" s="3507"/>
      <c r="C1" s="3507"/>
      <c r="D1" s="3507"/>
      <c r="E1" s="3507"/>
      <c r="F1" s="3507"/>
      <c r="G1" s="3507"/>
      <c r="H1" s="3507"/>
    </row>
    <row r="2" spans="1:8" s="1399" customFormat="1" ht="18.75">
      <c r="A2" s="1565"/>
      <c r="B2" s="1565"/>
      <c r="C2" s="1565"/>
      <c r="D2" s="1565"/>
      <c r="E2" s="1565"/>
      <c r="F2" s="1565"/>
      <c r="G2" s="1565"/>
      <c r="H2" s="1566" t="s">
        <v>1617</v>
      </c>
    </row>
    <row r="3" spans="1:8" s="1569" customFormat="1" ht="9" customHeight="1">
      <c r="A3" s="3508"/>
      <c r="B3" s="3511" t="s">
        <v>1946</v>
      </c>
      <c r="C3" s="1567"/>
      <c r="D3" s="1567"/>
      <c r="E3" s="1567"/>
      <c r="F3" s="1567"/>
      <c r="G3" s="1568"/>
      <c r="H3" s="3513" t="s">
        <v>1947</v>
      </c>
    </row>
    <row r="4" spans="1:8" s="1569" customFormat="1" ht="11.85" customHeight="1">
      <c r="A4" s="3509"/>
      <c r="B4" s="3512"/>
      <c r="C4" s="3515" t="s">
        <v>1948</v>
      </c>
      <c r="D4" s="1567"/>
      <c r="E4" s="1570"/>
      <c r="F4" s="1570"/>
      <c r="G4" s="1571"/>
      <c r="H4" s="3514"/>
    </row>
    <row r="5" spans="1:8" s="1569" customFormat="1" ht="11.85" customHeight="1">
      <c r="A5" s="3509"/>
      <c r="B5" s="3512"/>
      <c r="C5" s="3516"/>
      <c r="D5" s="1572"/>
      <c r="E5" s="3513" t="s">
        <v>1949</v>
      </c>
      <c r="F5" s="1573"/>
      <c r="G5" s="1574"/>
      <c r="H5" s="3514"/>
    </row>
    <row r="6" spans="1:8" s="1569" customFormat="1" ht="116.25" customHeight="1">
      <c r="A6" s="3509"/>
      <c r="B6" s="3512"/>
      <c r="C6" s="3517"/>
      <c r="D6" s="1575" t="s">
        <v>1950</v>
      </c>
      <c r="E6" s="3514"/>
      <c r="F6" s="1576" t="s">
        <v>1951</v>
      </c>
      <c r="G6" s="1577" t="s">
        <v>1952</v>
      </c>
      <c r="H6" s="3514"/>
    </row>
    <row r="7" spans="1:8" s="1569" customFormat="1" ht="16.5" customHeight="1">
      <c r="A7" s="3510"/>
      <c r="B7" s="1578">
        <v>1</v>
      </c>
      <c r="C7" s="1579">
        <v>2</v>
      </c>
      <c r="D7" s="1580" t="s">
        <v>1953</v>
      </c>
      <c r="E7" s="1579">
        <v>3</v>
      </c>
      <c r="F7" s="1580" t="s">
        <v>1954</v>
      </c>
      <c r="G7" s="1580" t="s">
        <v>1955</v>
      </c>
      <c r="H7" s="1581">
        <v>4</v>
      </c>
    </row>
    <row r="8" spans="1:8" s="1399" customFormat="1" ht="16.5" customHeight="1">
      <c r="A8" s="1520" t="s">
        <v>1956</v>
      </c>
      <c r="B8" s="1582">
        <v>35502</v>
      </c>
      <c r="C8" s="1582">
        <v>14607</v>
      </c>
      <c r="D8" s="1583">
        <f t="shared" ref="D8:D17" si="0">C8/B8*100</f>
        <v>41.144160892344097</v>
      </c>
      <c r="E8" s="1582">
        <v>9650</v>
      </c>
      <c r="F8" s="1583">
        <f t="shared" ref="F8:F17" si="1">E8/C8*100</f>
        <v>66.064215786951465</v>
      </c>
      <c r="G8" s="1583">
        <f t="shared" ref="G8:G17" si="2">E8/B8*100</f>
        <v>27.181567235648696</v>
      </c>
      <c r="H8" s="1584">
        <v>9300</v>
      </c>
    </row>
    <row r="9" spans="1:8" s="1399" customFormat="1" ht="16.5" customHeight="1">
      <c r="A9" s="1520" t="s">
        <v>1107</v>
      </c>
      <c r="B9" s="1582">
        <v>37343</v>
      </c>
      <c r="C9" s="1582">
        <v>13939</v>
      </c>
      <c r="D9" s="1583">
        <f t="shared" si="0"/>
        <v>37.326942131055354</v>
      </c>
      <c r="E9" s="1582">
        <v>11195</v>
      </c>
      <c r="F9" s="1583">
        <f t="shared" si="1"/>
        <v>80.314226271612029</v>
      </c>
      <c r="G9" s="1583">
        <f t="shared" si="2"/>
        <v>29.978844763409473</v>
      </c>
      <c r="H9" s="1584">
        <v>11122</v>
      </c>
    </row>
    <row r="10" spans="1:8" s="1399" customFormat="1" ht="16.5" customHeight="1">
      <c r="A10" s="1520" t="s">
        <v>1060</v>
      </c>
      <c r="B10" s="1582">
        <v>33346</v>
      </c>
      <c r="C10" s="1582">
        <v>13299</v>
      </c>
      <c r="D10" s="1583">
        <f t="shared" si="0"/>
        <v>39.881844898938404</v>
      </c>
      <c r="E10" s="1582">
        <v>10884</v>
      </c>
      <c r="F10" s="1583">
        <f t="shared" si="1"/>
        <v>81.840739905256029</v>
      </c>
      <c r="G10" s="1583">
        <f t="shared" si="2"/>
        <v>32.639596953157799</v>
      </c>
      <c r="H10" s="1584">
        <v>10217</v>
      </c>
    </row>
    <row r="11" spans="1:8" s="1399" customFormat="1" ht="16.5" customHeight="1">
      <c r="A11" s="1520" t="s">
        <v>1061</v>
      </c>
      <c r="B11" s="1582">
        <v>30725</v>
      </c>
      <c r="C11" s="1582">
        <v>13578</v>
      </c>
      <c r="D11" s="1583">
        <f t="shared" si="0"/>
        <v>44.192026037428803</v>
      </c>
      <c r="E11" s="1582">
        <v>10583</v>
      </c>
      <c r="F11" s="1583">
        <f t="shared" si="1"/>
        <v>77.942259537487118</v>
      </c>
      <c r="G11" s="1583">
        <f t="shared" si="2"/>
        <v>34.444263628966638</v>
      </c>
      <c r="H11" s="1584">
        <v>11005</v>
      </c>
    </row>
    <row r="12" spans="1:8" s="1399" customFormat="1" ht="16.5" customHeight="1">
      <c r="A12" s="1520" t="s">
        <v>1062</v>
      </c>
      <c r="B12" s="1582">
        <v>31216</v>
      </c>
      <c r="C12" s="1582">
        <v>13564</v>
      </c>
      <c r="D12" s="1583">
        <f t="shared" si="0"/>
        <v>43.452075858534087</v>
      </c>
      <c r="E12" s="1582">
        <v>10963</v>
      </c>
      <c r="F12" s="1583">
        <f t="shared" si="1"/>
        <v>80.824240636980235</v>
      </c>
      <c r="G12" s="1583">
        <f t="shared" si="2"/>
        <v>35.119810353664789</v>
      </c>
      <c r="H12" s="1584">
        <v>11384</v>
      </c>
    </row>
    <row r="13" spans="1:8" s="1399" customFormat="1" ht="16.5" customHeight="1">
      <c r="A13" s="1520" t="s">
        <v>1063</v>
      </c>
      <c r="B13" s="1582">
        <v>30697</v>
      </c>
      <c r="C13" s="1582">
        <v>13923</v>
      </c>
      <c r="D13" s="1583">
        <f t="shared" si="0"/>
        <v>45.356223735218428</v>
      </c>
      <c r="E13" s="1582">
        <v>10800</v>
      </c>
      <c r="F13" s="1583">
        <f t="shared" si="1"/>
        <v>77.569489334195225</v>
      </c>
      <c r="G13" s="1583">
        <f t="shared" si="2"/>
        <v>35.182591132683974</v>
      </c>
      <c r="H13" s="1584">
        <v>11054</v>
      </c>
    </row>
    <row r="14" spans="1:8" s="1399" customFormat="1" ht="16.5" customHeight="1">
      <c r="A14" s="1520" t="s">
        <v>1064</v>
      </c>
      <c r="B14" s="1582">
        <v>29639</v>
      </c>
      <c r="C14" s="1582">
        <v>14720</v>
      </c>
      <c r="D14" s="1583">
        <f t="shared" si="0"/>
        <v>49.664293667127772</v>
      </c>
      <c r="E14" s="1582">
        <v>11861</v>
      </c>
      <c r="F14" s="1583">
        <f t="shared" si="1"/>
        <v>80.577445652173921</v>
      </c>
      <c r="G14" s="1583">
        <f t="shared" si="2"/>
        <v>40.018219238165933</v>
      </c>
      <c r="H14" s="1584">
        <v>11426</v>
      </c>
    </row>
    <row r="15" spans="1:8" s="1399" customFormat="1" ht="16.5" customHeight="1">
      <c r="A15" s="1520" t="s">
        <v>1065</v>
      </c>
      <c r="B15" s="1582">
        <v>26890</v>
      </c>
      <c r="C15" s="1582">
        <v>14062</v>
      </c>
      <c r="D15" s="1583">
        <f t="shared" si="0"/>
        <v>52.294533283748599</v>
      </c>
      <c r="E15" s="1582">
        <v>11623</v>
      </c>
      <c r="F15" s="1583">
        <f t="shared" si="1"/>
        <v>82.655383302517421</v>
      </c>
      <c r="G15" s="1583">
        <f t="shared" si="2"/>
        <v>43.224246931944961</v>
      </c>
      <c r="H15" s="1584">
        <v>11563</v>
      </c>
    </row>
    <row r="16" spans="1:8" s="1399" customFormat="1" ht="16.5" customHeight="1">
      <c r="A16" s="1520" t="s">
        <v>1066</v>
      </c>
      <c r="B16" s="1582">
        <v>28446</v>
      </c>
      <c r="C16" s="1582">
        <v>14274</v>
      </c>
      <c r="D16" s="1583">
        <f t="shared" si="0"/>
        <v>50.179287070238345</v>
      </c>
      <c r="E16" s="1582">
        <v>10313</v>
      </c>
      <c r="F16" s="1583">
        <f t="shared" si="1"/>
        <v>72.250245201064871</v>
      </c>
      <c r="G16" s="1583">
        <f t="shared" si="2"/>
        <v>36.254657948393451</v>
      </c>
      <c r="H16" s="1584">
        <v>10052</v>
      </c>
    </row>
    <row r="17" spans="1:8" s="1399" customFormat="1" ht="16.5" customHeight="1">
      <c r="A17" s="1585" t="s">
        <v>1067</v>
      </c>
      <c r="B17" s="1586">
        <v>32249</v>
      </c>
      <c r="C17" s="1586">
        <v>15620</v>
      </c>
      <c r="D17" s="1587">
        <f t="shared" si="0"/>
        <v>48.435610406524233</v>
      </c>
      <c r="E17" s="1586">
        <v>11533</v>
      </c>
      <c r="F17" s="1587">
        <f t="shared" si="1"/>
        <v>73.834827144686301</v>
      </c>
      <c r="G17" s="1587">
        <f t="shared" si="2"/>
        <v>35.762349220130858</v>
      </c>
      <c r="H17" s="1588">
        <v>11643</v>
      </c>
    </row>
    <row r="18" spans="1:8" s="1399" customFormat="1" ht="16.5" customHeight="1">
      <c r="A18" s="1386" t="s">
        <v>1957</v>
      </c>
      <c r="B18" s="1589"/>
      <c r="C18" s="1589"/>
      <c r="D18" s="1590"/>
      <c r="E18" s="1589"/>
      <c r="F18" s="1590"/>
      <c r="G18" s="1590"/>
    </row>
    <row r="19" spans="1:8" s="1399" customFormat="1" ht="9.75" customHeight="1">
      <c r="A19" s="1386"/>
      <c r="B19" s="1589"/>
      <c r="C19" s="1589"/>
      <c r="D19" s="1590"/>
      <c r="E19" s="1589"/>
      <c r="F19" s="1590"/>
      <c r="G19" s="1590"/>
      <c r="H19" s="1566"/>
    </row>
    <row r="20" spans="1:8" s="1399" customFormat="1" ht="24.75" customHeight="1">
      <c r="A20" s="3518" t="s">
        <v>1958</v>
      </c>
      <c r="B20" s="3518"/>
      <c r="C20" s="3518"/>
      <c r="D20" s="3518"/>
      <c r="E20" s="3518"/>
      <c r="F20" s="3518"/>
      <c r="G20" s="3518"/>
      <c r="H20" s="3518"/>
    </row>
    <row r="21" spans="1:8" s="1399" customFormat="1" ht="19.5" customHeight="1">
      <c r="A21" s="3446"/>
      <c r="B21" s="3446"/>
      <c r="C21" s="3446" t="s">
        <v>1959</v>
      </c>
      <c r="D21" s="3519"/>
      <c r="E21" s="3521" t="s">
        <v>1960</v>
      </c>
      <c r="F21" s="3476"/>
      <c r="G21" s="3476" t="s">
        <v>1961</v>
      </c>
      <c r="H21" s="3475"/>
    </row>
    <row r="22" spans="1:8" s="1399" customFormat="1" ht="19.5" customHeight="1">
      <c r="A22" s="3448"/>
      <c r="B22" s="3448"/>
      <c r="C22" s="3448"/>
      <c r="D22" s="3520"/>
      <c r="E22" s="1591" t="s">
        <v>1962</v>
      </c>
      <c r="F22" s="1592" t="s">
        <v>1963</v>
      </c>
      <c r="G22" s="1593" t="s">
        <v>1964</v>
      </c>
      <c r="H22" s="1591" t="s">
        <v>1963</v>
      </c>
    </row>
    <row r="23" spans="1:8" s="1399" customFormat="1" ht="18" customHeight="1">
      <c r="A23" s="3503" t="s">
        <v>1965</v>
      </c>
      <c r="B23" s="3504"/>
      <c r="C23" s="3505">
        <v>1333</v>
      </c>
      <c r="D23" s="3506"/>
      <c r="E23" s="1594">
        <v>438</v>
      </c>
      <c r="F23" s="1595">
        <f t="shared" ref="F23:F32" si="3">E23/C23*100</f>
        <v>32.858214553638412</v>
      </c>
      <c r="G23" s="1596">
        <v>895</v>
      </c>
      <c r="H23" s="1597">
        <f t="shared" ref="H23:H32" si="4">G23/C23*100</f>
        <v>67.141785446361595</v>
      </c>
    </row>
    <row r="24" spans="1:8" s="1399" customFormat="1" ht="18" customHeight="1">
      <c r="A24" s="3503" t="s">
        <v>794</v>
      </c>
      <c r="B24" s="3504"/>
      <c r="C24" s="3505">
        <v>1373</v>
      </c>
      <c r="D24" s="3506"/>
      <c r="E24" s="1594">
        <v>447</v>
      </c>
      <c r="F24" s="1595">
        <f t="shared" si="3"/>
        <v>32.5564457392571</v>
      </c>
      <c r="G24" s="1596">
        <v>926</v>
      </c>
      <c r="H24" s="1597">
        <f t="shared" si="4"/>
        <v>67.4435542607429</v>
      </c>
    </row>
    <row r="25" spans="1:8" s="1399" customFormat="1" ht="18" customHeight="1">
      <c r="A25" s="3503" t="s">
        <v>795</v>
      </c>
      <c r="B25" s="3504"/>
      <c r="C25" s="3505">
        <v>1574</v>
      </c>
      <c r="D25" s="3506"/>
      <c r="E25" s="1594">
        <v>509</v>
      </c>
      <c r="F25" s="1595">
        <f t="shared" si="3"/>
        <v>32.337992376111821</v>
      </c>
      <c r="G25" s="1596">
        <v>1065</v>
      </c>
      <c r="H25" s="1597">
        <f t="shared" si="4"/>
        <v>67.662007623888186</v>
      </c>
    </row>
    <row r="26" spans="1:8" ht="18" customHeight="1">
      <c r="A26" s="3503" t="s">
        <v>1966</v>
      </c>
      <c r="B26" s="3504"/>
      <c r="C26" s="3505">
        <v>1614</v>
      </c>
      <c r="D26" s="3506"/>
      <c r="E26" s="1594">
        <v>509</v>
      </c>
      <c r="F26" s="1595">
        <f t="shared" si="3"/>
        <v>31.536555142503097</v>
      </c>
      <c r="G26" s="1596">
        <v>1105</v>
      </c>
      <c r="H26" s="1597">
        <f t="shared" si="4"/>
        <v>68.463444857496896</v>
      </c>
    </row>
    <row r="27" spans="1:8" ht="18" customHeight="1">
      <c r="A27" s="3503" t="s">
        <v>797</v>
      </c>
      <c r="B27" s="3504"/>
      <c r="C27" s="3505">
        <v>2025</v>
      </c>
      <c r="D27" s="3506"/>
      <c r="E27" s="1594">
        <v>664</v>
      </c>
      <c r="F27" s="1595">
        <f t="shared" si="3"/>
        <v>32.79012345679012</v>
      </c>
      <c r="G27" s="1596">
        <v>1361</v>
      </c>
      <c r="H27" s="1597">
        <f t="shared" si="4"/>
        <v>67.209876543209873</v>
      </c>
    </row>
    <row r="28" spans="1:8" ht="18" customHeight="1">
      <c r="A28" s="3503" t="s">
        <v>798</v>
      </c>
      <c r="B28" s="3504"/>
      <c r="C28" s="3505">
        <v>1926</v>
      </c>
      <c r="D28" s="3506"/>
      <c r="E28" s="1594">
        <v>736</v>
      </c>
      <c r="F28" s="1595">
        <f t="shared" si="3"/>
        <v>38.213914849428868</v>
      </c>
      <c r="G28" s="1596">
        <v>1190</v>
      </c>
      <c r="H28" s="1597">
        <f t="shared" si="4"/>
        <v>61.786085150571132</v>
      </c>
    </row>
    <row r="29" spans="1:8" ht="18" customHeight="1">
      <c r="A29" s="3503" t="s">
        <v>799</v>
      </c>
      <c r="B29" s="3504"/>
      <c r="C29" s="3505">
        <v>1902</v>
      </c>
      <c r="D29" s="3506"/>
      <c r="E29" s="1594">
        <v>782</v>
      </c>
      <c r="F29" s="1595">
        <f t="shared" si="3"/>
        <v>41.114616193480543</v>
      </c>
      <c r="G29" s="1596">
        <v>1120</v>
      </c>
      <c r="H29" s="1597">
        <f t="shared" si="4"/>
        <v>58.885383806519457</v>
      </c>
    </row>
    <row r="30" spans="1:8" ht="18" customHeight="1">
      <c r="A30" s="3503" t="s">
        <v>800</v>
      </c>
      <c r="B30" s="3504"/>
      <c r="C30" s="3505">
        <v>2312</v>
      </c>
      <c r="D30" s="3506"/>
      <c r="E30" s="1594">
        <v>968</v>
      </c>
      <c r="F30" s="1595">
        <f t="shared" si="3"/>
        <v>41.868512110726641</v>
      </c>
      <c r="G30" s="1596">
        <v>1344</v>
      </c>
      <c r="H30" s="1597">
        <f t="shared" si="4"/>
        <v>58.131487889273359</v>
      </c>
    </row>
    <row r="31" spans="1:8" ht="18" customHeight="1">
      <c r="A31" s="3503" t="s">
        <v>801</v>
      </c>
      <c r="B31" s="3504"/>
      <c r="C31" s="3505">
        <v>2213</v>
      </c>
      <c r="D31" s="3506"/>
      <c r="E31" s="1594">
        <v>893</v>
      </c>
      <c r="F31" s="1595">
        <f t="shared" si="3"/>
        <v>40.352462720289203</v>
      </c>
      <c r="G31" s="1596">
        <v>1320</v>
      </c>
      <c r="H31" s="1597">
        <f t="shared" si="4"/>
        <v>59.647537279710804</v>
      </c>
    </row>
    <row r="32" spans="1:8" ht="18" customHeight="1">
      <c r="A32" s="3522" t="s">
        <v>802</v>
      </c>
      <c r="B32" s="3523"/>
      <c r="C32" s="3524">
        <v>2114</v>
      </c>
      <c r="D32" s="3525"/>
      <c r="E32" s="1598">
        <v>812</v>
      </c>
      <c r="F32" s="1599">
        <f t="shared" si="3"/>
        <v>38.410596026490069</v>
      </c>
      <c r="G32" s="1600">
        <v>1302</v>
      </c>
      <c r="H32" s="1601">
        <f t="shared" si="4"/>
        <v>61.589403973509938</v>
      </c>
    </row>
    <row r="33" spans="1:1" ht="16.5" customHeight="1">
      <c r="A33" s="1602" t="s">
        <v>1967</v>
      </c>
    </row>
  </sheetData>
  <mergeCells count="31">
    <mergeCell ref="A30:B30"/>
    <mergeCell ref="C30:D30"/>
    <mergeCell ref="A31:B31"/>
    <mergeCell ref="C31:D31"/>
    <mergeCell ref="A32:B32"/>
    <mergeCell ref="C32:D32"/>
    <mergeCell ref="A27:B27"/>
    <mergeCell ref="C27:D27"/>
    <mergeCell ref="A28:B28"/>
    <mergeCell ref="C28:D28"/>
    <mergeCell ref="A29:B29"/>
    <mergeCell ref="C29:D29"/>
    <mergeCell ref="A24:B24"/>
    <mergeCell ref="C24:D24"/>
    <mergeCell ref="A25:B25"/>
    <mergeCell ref="C25:D25"/>
    <mergeCell ref="A26:B26"/>
    <mergeCell ref="C26:D26"/>
    <mergeCell ref="A23:B23"/>
    <mergeCell ref="C23:D23"/>
    <mergeCell ref="A1:H1"/>
    <mergeCell ref="A3:A7"/>
    <mergeCell ref="B3:B6"/>
    <mergeCell ref="H3:H6"/>
    <mergeCell ref="C4:C6"/>
    <mergeCell ref="E5:E6"/>
    <mergeCell ref="A20:H20"/>
    <mergeCell ref="A21:B22"/>
    <mergeCell ref="C21:D22"/>
    <mergeCell ref="E21:F21"/>
    <mergeCell ref="G21:H21"/>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50"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K9"/>
  <sheetViews>
    <sheetView showGridLines="0" workbookViewId="0">
      <selection activeCell="B16" sqref="B16"/>
    </sheetView>
  </sheetViews>
  <sheetFormatPr defaultColWidth="9" defaultRowHeight="15.75"/>
  <cols>
    <col min="1" max="1" width="15.25" style="1436" customWidth="1"/>
    <col min="2" max="11" width="9.5" style="1436" bestFit="1" customWidth="1"/>
    <col min="12" max="16384" width="9" style="1436"/>
  </cols>
  <sheetData>
    <row r="1" spans="1:11" s="1437" customFormat="1" ht="38.25" customHeight="1">
      <c r="A1" s="3436" t="s">
        <v>1968</v>
      </c>
      <c r="B1" s="3436"/>
      <c r="C1" s="3436"/>
      <c r="D1" s="3436"/>
      <c r="E1" s="3436"/>
      <c r="F1" s="3436"/>
      <c r="G1" s="3436"/>
      <c r="H1" s="3436"/>
      <c r="I1" s="3436"/>
      <c r="J1" s="3436"/>
      <c r="K1" s="3436"/>
    </row>
    <row r="2" spans="1:11" s="1402" customFormat="1" ht="58.9" customHeight="1">
      <c r="A2" s="3446"/>
      <c r="B2" s="3473" t="s">
        <v>1969</v>
      </c>
      <c r="C2" s="3474"/>
      <c r="D2" s="3475" t="s">
        <v>1064</v>
      </c>
      <c r="E2" s="3474"/>
      <c r="F2" s="3475" t="s">
        <v>1065</v>
      </c>
      <c r="G2" s="3474"/>
      <c r="H2" s="3475" t="s">
        <v>1066</v>
      </c>
      <c r="I2" s="3474"/>
      <c r="J2" s="3475" t="s">
        <v>1067</v>
      </c>
      <c r="K2" s="3473"/>
    </row>
    <row r="3" spans="1:11" s="1402" customFormat="1" ht="58.9" customHeight="1">
      <c r="A3" s="3448"/>
      <c r="B3" s="1603" t="s">
        <v>1516</v>
      </c>
      <c r="C3" s="1400" t="s">
        <v>0</v>
      </c>
      <c r="D3" s="1401" t="s">
        <v>1970</v>
      </c>
      <c r="E3" s="1400" t="s">
        <v>0</v>
      </c>
      <c r="F3" s="1401" t="s">
        <v>1516</v>
      </c>
      <c r="G3" s="1400" t="s">
        <v>0</v>
      </c>
      <c r="H3" s="1401" t="s">
        <v>1971</v>
      </c>
      <c r="I3" s="1400" t="s">
        <v>0</v>
      </c>
      <c r="J3" s="1401" t="s">
        <v>1516</v>
      </c>
      <c r="K3" s="1400" t="s">
        <v>0</v>
      </c>
    </row>
    <row r="4" spans="1:11" s="1399" customFormat="1" ht="58.9" customHeight="1">
      <c r="A4" s="1604" t="s">
        <v>1972</v>
      </c>
      <c r="B4" s="1605">
        <f t="shared" ref="B4:K4" si="0">SUM(B5:B7)</f>
        <v>34963</v>
      </c>
      <c r="C4" s="1606">
        <f t="shared" si="0"/>
        <v>100</v>
      </c>
      <c r="D4" s="1605">
        <f t="shared" si="0"/>
        <v>35749</v>
      </c>
      <c r="E4" s="1606">
        <f t="shared" si="0"/>
        <v>100</v>
      </c>
      <c r="F4" s="1605">
        <f t="shared" si="0"/>
        <v>36292</v>
      </c>
      <c r="G4" s="1606">
        <f t="shared" si="0"/>
        <v>100</v>
      </c>
      <c r="H4" s="1605">
        <f t="shared" si="0"/>
        <v>35399</v>
      </c>
      <c r="I4" s="1606">
        <f t="shared" si="0"/>
        <v>100</v>
      </c>
      <c r="J4" s="1605">
        <f t="shared" si="0"/>
        <v>37126</v>
      </c>
      <c r="K4" s="1606">
        <f t="shared" si="0"/>
        <v>100</v>
      </c>
    </row>
    <row r="5" spans="1:11" s="1399" customFormat="1" ht="58.9" customHeight="1">
      <c r="A5" s="1604" t="s">
        <v>1973</v>
      </c>
      <c r="B5" s="1605">
        <v>6</v>
      </c>
      <c r="C5" s="1607">
        <f>B5/B$4*100</f>
        <v>1.716099877012842E-2</v>
      </c>
      <c r="D5" s="1605">
        <v>1</v>
      </c>
      <c r="E5" s="1607">
        <f>D5/D$4*100</f>
        <v>2.7972810428263731E-3</v>
      </c>
      <c r="F5" s="1605" t="s">
        <v>1749</v>
      </c>
      <c r="G5" s="1607" t="s">
        <v>1974</v>
      </c>
      <c r="H5" s="1605">
        <v>1</v>
      </c>
      <c r="I5" s="1607">
        <f>H5/H$4*100</f>
        <v>2.8249385575863724E-3</v>
      </c>
      <c r="J5" s="1605" t="s">
        <v>980</v>
      </c>
      <c r="K5" s="1607" t="s">
        <v>980</v>
      </c>
    </row>
    <row r="6" spans="1:11" s="1399" customFormat="1" ht="58.9" customHeight="1">
      <c r="A6" s="1608" t="s">
        <v>1975</v>
      </c>
      <c r="B6" s="1605">
        <v>23903</v>
      </c>
      <c r="C6" s="1607">
        <f>B6/B$4*100</f>
        <v>68.366558933729948</v>
      </c>
      <c r="D6" s="1605">
        <v>24322</v>
      </c>
      <c r="E6" s="1607">
        <f>D6/D$4*100</f>
        <v>68.035469523623036</v>
      </c>
      <c r="F6" s="1605">
        <v>24729</v>
      </c>
      <c r="G6" s="1607">
        <f>F6/F$4*100</f>
        <v>68.138983798082222</v>
      </c>
      <c r="H6" s="1605">
        <v>25346</v>
      </c>
      <c r="I6" s="1607">
        <f>H6/H$4*100</f>
        <v>71.600892680584195</v>
      </c>
      <c r="J6" s="1605">
        <v>25483</v>
      </c>
      <c r="K6" s="1607">
        <f>J6/J$4*100</f>
        <v>68.639228572967738</v>
      </c>
    </row>
    <row r="7" spans="1:11" s="1399" customFormat="1" ht="60.6" customHeight="1">
      <c r="A7" s="1609" t="s">
        <v>1976</v>
      </c>
      <c r="B7" s="1610">
        <v>11054</v>
      </c>
      <c r="C7" s="1611">
        <f>B7/B$4*100</f>
        <v>31.616280067499929</v>
      </c>
      <c r="D7" s="1610">
        <v>11426</v>
      </c>
      <c r="E7" s="1611">
        <f>D7/D$4*100</f>
        <v>31.961733195334137</v>
      </c>
      <c r="F7" s="1610">
        <v>11563</v>
      </c>
      <c r="G7" s="1611">
        <f>F7/F$4*100</f>
        <v>31.861016201917781</v>
      </c>
      <c r="H7" s="1610">
        <v>10052</v>
      </c>
      <c r="I7" s="1611">
        <f>H7/H$4*100</f>
        <v>28.396282380858217</v>
      </c>
      <c r="J7" s="1610">
        <v>11643</v>
      </c>
      <c r="K7" s="1611">
        <f>J7/J$4*100</f>
        <v>31.360771427032269</v>
      </c>
    </row>
    <row r="8" spans="1:11" s="1386" customFormat="1" ht="14.25">
      <c r="A8" s="1386" t="s">
        <v>784</v>
      </c>
    </row>
    <row r="9" spans="1:11" s="1386" customFormat="1" ht="18" hidden="1" customHeight="1">
      <c r="A9" s="1386" t="s">
        <v>1977</v>
      </c>
    </row>
  </sheetData>
  <mergeCells count="7">
    <mergeCell ref="A1:K1"/>
    <mergeCell ref="A2:A3"/>
    <mergeCell ref="B2:C2"/>
    <mergeCell ref="D2:E2"/>
    <mergeCell ref="F2:G2"/>
    <mergeCell ref="H2:I2"/>
    <mergeCell ref="J2:K2"/>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80" orientation="landscape" r:id="rId1"/>
  <headerFooter differentOddEven="1" scaleWithDoc="0">
    <oddHeader>&amp;L&amp;"Times New Roman,標準"&amp;8 107&amp;"標楷體,標準"年犯罪狀況及其分析</oddHeader>
    <evenHeader>&amp;R&amp;"標楷體,標準"&amp;8第二篇　犯罪之處理</evenHead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J28"/>
  <sheetViews>
    <sheetView showGridLines="0" workbookViewId="0">
      <selection activeCell="B16" sqref="B16"/>
    </sheetView>
  </sheetViews>
  <sheetFormatPr defaultRowHeight="20.25"/>
  <cols>
    <col min="1" max="2" width="7.375" style="1632" customWidth="1"/>
    <col min="3" max="3" width="13.125" style="1632" customWidth="1"/>
    <col min="4" max="10" width="14.625" style="1632" customWidth="1"/>
    <col min="11" max="255" width="9" style="1632"/>
    <col min="256" max="257" width="7.375" style="1632" customWidth="1"/>
    <col min="258" max="266" width="13.125" style="1632" customWidth="1"/>
    <col min="267" max="511" width="9" style="1632"/>
    <col min="512" max="513" width="7.375" style="1632" customWidth="1"/>
    <col min="514" max="522" width="13.125" style="1632" customWidth="1"/>
    <col min="523" max="767" width="9" style="1632"/>
    <col min="768" max="769" width="7.375" style="1632" customWidth="1"/>
    <col min="770" max="778" width="13.125" style="1632" customWidth="1"/>
    <col min="779" max="1023" width="9" style="1632"/>
    <col min="1024" max="1025" width="7.375" style="1632" customWidth="1"/>
    <col min="1026" max="1034" width="13.125" style="1632" customWidth="1"/>
    <col min="1035" max="1279" width="9" style="1632"/>
    <col min="1280" max="1281" width="7.375" style="1632" customWidth="1"/>
    <col min="1282" max="1290" width="13.125" style="1632" customWidth="1"/>
    <col min="1291" max="1535" width="9" style="1632"/>
    <col min="1536" max="1537" width="7.375" style="1632" customWidth="1"/>
    <col min="1538" max="1546" width="13.125" style="1632" customWidth="1"/>
    <col min="1547" max="1791" width="9" style="1632"/>
    <col min="1792" max="1793" width="7.375" style="1632" customWidth="1"/>
    <col min="1794" max="1802" width="13.125" style="1632" customWidth="1"/>
    <col min="1803" max="2047" width="9" style="1632"/>
    <col min="2048" max="2049" width="7.375" style="1632" customWidth="1"/>
    <col min="2050" max="2058" width="13.125" style="1632" customWidth="1"/>
    <col min="2059" max="2303" width="9" style="1632"/>
    <col min="2304" max="2305" width="7.375" style="1632" customWidth="1"/>
    <col min="2306" max="2314" width="13.125" style="1632" customWidth="1"/>
    <col min="2315" max="2559" width="9" style="1632"/>
    <col min="2560" max="2561" width="7.375" style="1632" customWidth="1"/>
    <col min="2562" max="2570" width="13.125" style="1632" customWidth="1"/>
    <col min="2571" max="2815" width="9" style="1632"/>
    <col min="2816" max="2817" width="7.375" style="1632" customWidth="1"/>
    <col min="2818" max="2826" width="13.125" style="1632" customWidth="1"/>
    <col min="2827" max="3071" width="9" style="1632"/>
    <col min="3072" max="3073" width="7.375" style="1632" customWidth="1"/>
    <col min="3074" max="3082" width="13.125" style="1632" customWidth="1"/>
    <col min="3083" max="3327" width="9" style="1632"/>
    <col min="3328" max="3329" width="7.375" style="1632" customWidth="1"/>
    <col min="3330" max="3338" width="13.125" style="1632" customWidth="1"/>
    <col min="3339" max="3583" width="9" style="1632"/>
    <col min="3584" max="3585" width="7.375" style="1632" customWidth="1"/>
    <col min="3586" max="3594" width="13.125" style="1632" customWidth="1"/>
    <col min="3595" max="3839" width="9" style="1632"/>
    <col min="3840" max="3841" width="7.375" style="1632" customWidth="1"/>
    <col min="3842" max="3850" width="13.125" style="1632" customWidth="1"/>
    <col min="3851" max="4095" width="9" style="1632"/>
    <col min="4096" max="4097" width="7.375" style="1632" customWidth="1"/>
    <col min="4098" max="4106" width="13.125" style="1632" customWidth="1"/>
    <col min="4107" max="4351" width="9" style="1632"/>
    <col min="4352" max="4353" width="7.375" style="1632" customWidth="1"/>
    <col min="4354" max="4362" width="13.125" style="1632" customWidth="1"/>
    <col min="4363" max="4607" width="9" style="1632"/>
    <col min="4608" max="4609" width="7.375" style="1632" customWidth="1"/>
    <col min="4610" max="4618" width="13.125" style="1632" customWidth="1"/>
    <col min="4619" max="4863" width="9" style="1632"/>
    <col min="4864" max="4865" width="7.375" style="1632" customWidth="1"/>
    <col min="4866" max="4874" width="13.125" style="1632" customWidth="1"/>
    <col min="4875" max="5119" width="9" style="1632"/>
    <col min="5120" max="5121" width="7.375" style="1632" customWidth="1"/>
    <col min="5122" max="5130" width="13.125" style="1632" customWidth="1"/>
    <col min="5131" max="5375" width="9" style="1632"/>
    <col min="5376" max="5377" width="7.375" style="1632" customWidth="1"/>
    <col min="5378" max="5386" width="13.125" style="1632" customWidth="1"/>
    <col min="5387" max="5631" width="9" style="1632"/>
    <col min="5632" max="5633" width="7.375" style="1632" customWidth="1"/>
    <col min="5634" max="5642" width="13.125" style="1632" customWidth="1"/>
    <col min="5643" max="5887" width="9" style="1632"/>
    <col min="5888" max="5889" width="7.375" style="1632" customWidth="1"/>
    <col min="5890" max="5898" width="13.125" style="1632" customWidth="1"/>
    <col min="5899" max="6143" width="9" style="1632"/>
    <col min="6144" max="6145" width="7.375" style="1632" customWidth="1"/>
    <col min="6146" max="6154" width="13.125" style="1632" customWidth="1"/>
    <col min="6155" max="6399" width="9" style="1632"/>
    <col min="6400" max="6401" width="7.375" style="1632" customWidth="1"/>
    <col min="6402" max="6410" width="13.125" style="1632" customWidth="1"/>
    <col min="6411" max="6655" width="9" style="1632"/>
    <col min="6656" max="6657" width="7.375" style="1632" customWidth="1"/>
    <col min="6658" max="6666" width="13.125" style="1632" customWidth="1"/>
    <col min="6667" max="6911" width="9" style="1632"/>
    <col min="6912" max="6913" width="7.375" style="1632" customWidth="1"/>
    <col min="6914" max="6922" width="13.125" style="1632" customWidth="1"/>
    <col min="6923" max="7167" width="9" style="1632"/>
    <col min="7168" max="7169" width="7.375" style="1632" customWidth="1"/>
    <col min="7170" max="7178" width="13.125" style="1632" customWidth="1"/>
    <col min="7179" max="7423" width="9" style="1632"/>
    <col min="7424" max="7425" width="7.375" style="1632" customWidth="1"/>
    <col min="7426" max="7434" width="13.125" style="1632" customWidth="1"/>
    <col min="7435" max="7679" width="9" style="1632"/>
    <col min="7680" max="7681" width="7.375" style="1632" customWidth="1"/>
    <col min="7682" max="7690" width="13.125" style="1632" customWidth="1"/>
    <col min="7691" max="7935" width="9" style="1632"/>
    <col min="7936" max="7937" width="7.375" style="1632" customWidth="1"/>
    <col min="7938" max="7946" width="13.125" style="1632" customWidth="1"/>
    <col min="7947" max="8191" width="9" style="1632"/>
    <col min="8192" max="8193" width="7.375" style="1632" customWidth="1"/>
    <col min="8194" max="8202" width="13.125" style="1632" customWidth="1"/>
    <col min="8203" max="8447" width="9" style="1632"/>
    <col min="8448" max="8449" width="7.375" style="1632" customWidth="1"/>
    <col min="8450" max="8458" width="13.125" style="1632" customWidth="1"/>
    <col min="8459" max="8703" width="9" style="1632"/>
    <col min="8704" max="8705" width="7.375" style="1632" customWidth="1"/>
    <col min="8706" max="8714" width="13.125" style="1632" customWidth="1"/>
    <col min="8715" max="8959" width="9" style="1632"/>
    <col min="8960" max="8961" width="7.375" style="1632" customWidth="1"/>
    <col min="8962" max="8970" width="13.125" style="1632" customWidth="1"/>
    <col min="8971" max="9215" width="9" style="1632"/>
    <col min="9216" max="9217" width="7.375" style="1632" customWidth="1"/>
    <col min="9218" max="9226" width="13.125" style="1632" customWidth="1"/>
    <col min="9227" max="9471" width="9" style="1632"/>
    <col min="9472" max="9473" width="7.375" style="1632" customWidth="1"/>
    <col min="9474" max="9482" width="13.125" style="1632" customWidth="1"/>
    <col min="9483" max="9727" width="9" style="1632"/>
    <col min="9728" max="9729" width="7.375" style="1632" customWidth="1"/>
    <col min="9730" max="9738" width="13.125" style="1632" customWidth="1"/>
    <col min="9739" max="9983" width="9" style="1632"/>
    <col min="9984" max="9985" width="7.375" style="1632" customWidth="1"/>
    <col min="9986" max="9994" width="13.125" style="1632" customWidth="1"/>
    <col min="9995" max="10239" width="9" style="1632"/>
    <col min="10240" max="10241" width="7.375" style="1632" customWidth="1"/>
    <col min="10242" max="10250" width="13.125" style="1632" customWidth="1"/>
    <col min="10251" max="10495" width="9" style="1632"/>
    <col min="10496" max="10497" width="7.375" style="1632" customWidth="1"/>
    <col min="10498" max="10506" width="13.125" style="1632" customWidth="1"/>
    <col min="10507" max="10751" width="9" style="1632"/>
    <col min="10752" max="10753" width="7.375" style="1632" customWidth="1"/>
    <col min="10754" max="10762" width="13.125" style="1632" customWidth="1"/>
    <col min="10763" max="11007" width="9" style="1632"/>
    <col min="11008" max="11009" width="7.375" style="1632" customWidth="1"/>
    <col min="11010" max="11018" width="13.125" style="1632" customWidth="1"/>
    <col min="11019" max="11263" width="9" style="1632"/>
    <col min="11264" max="11265" width="7.375" style="1632" customWidth="1"/>
    <col min="11266" max="11274" width="13.125" style="1632" customWidth="1"/>
    <col min="11275" max="11519" width="9" style="1632"/>
    <col min="11520" max="11521" width="7.375" style="1632" customWidth="1"/>
    <col min="11522" max="11530" width="13.125" style="1632" customWidth="1"/>
    <col min="11531" max="11775" width="9" style="1632"/>
    <col min="11776" max="11777" width="7.375" style="1632" customWidth="1"/>
    <col min="11778" max="11786" width="13.125" style="1632" customWidth="1"/>
    <col min="11787" max="12031" width="9" style="1632"/>
    <col min="12032" max="12033" width="7.375" style="1632" customWidth="1"/>
    <col min="12034" max="12042" width="13.125" style="1632" customWidth="1"/>
    <col min="12043" max="12287" width="9" style="1632"/>
    <col min="12288" max="12289" width="7.375" style="1632" customWidth="1"/>
    <col min="12290" max="12298" width="13.125" style="1632" customWidth="1"/>
    <col min="12299" max="12543" width="9" style="1632"/>
    <col min="12544" max="12545" width="7.375" style="1632" customWidth="1"/>
    <col min="12546" max="12554" width="13.125" style="1632" customWidth="1"/>
    <col min="12555" max="12799" width="9" style="1632"/>
    <col min="12800" max="12801" width="7.375" style="1632" customWidth="1"/>
    <col min="12802" max="12810" width="13.125" style="1632" customWidth="1"/>
    <col min="12811" max="13055" width="9" style="1632"/>
    <col min="13056" max="13057" width="7.375" style="1632" customWidth="1"/>
    <col min="13058" max="13066" width="13.125" style="1632" customWidth="1"/>
    <col min="13067" max="13311" width="9" style="1632"/>
    <col min="13312" max="13313" width="7.375" style="1632" customWidth="1"/>
    <col min="13314" max="13322" width="13.125" style="1632" customWidth="1"/>
    <col min="13323" max="13567" width="9" style="1632"/>
    <col min="13568" max="13569" width="7.375" style="1632" customWidth="1"/>
    <col min="13570" max="13578" width="13.125" style="1632" customWidth="1"/>
    <col min="13579" max="13823" width="9" style="1632"/>
    <col min="13824" max="13825" width="7.375" style="1632" customWidth="1"/>
    <col min="13826" max="13834" width="13.125" style="1632" customWidth="1"/>
    <col min="13835" max="14079" width="9" style="1632"/>
    <col min="14080" max="14081" width="7.375" style="1632" customWidth="1"/>
    <col min="14082" max="14090" width="13.125" style="1632" customWidth="1"/>
    <col min="14091" max="14335" width="9" style="1632"/>
    <col min="14336" max="14337" width="7.375" style="1632" customWidth="1"/>
    <col min="14338" max="14346" width="13.125" style="1632" customWidth="1"/>
    <col min="14347" max="14591" width="9" style="1632"/>
    <col min="14592" max="14593" width="7.375" style="1632" customWidth="1"/>
    <col min="14594" max="14602" width="13.125" style="1632" customWidth="1"/>
    <col min="14603" max="14847" width="9" style="1632"/>
    <col min="14848" max="14849" width="7.375" style="1632" customWidth="1"/>
    <col min="14850" max="14858" width="13.125" style="1632" customWidth="1"/>
    <col min="14859" max="15103" width="9" style="1632"/>
    <col min="15104" max="15105" width="7.375" style="1632" customWidth="1"/>
    <col min="15106" max="15114" width="13.125" style="1632" customWidth="1"/>
    <col min="15115" max="15359" width="9" style="1632"/>
    <col min="15360" max="15361" width="7.375" style="1632" customWidth="1"/>
    <col min="15362" max="15370" width="13.125" style="1632" customWidth="1"/>
    <col min="15371" max="15615" width="9" style="1632"/>
    <col min="15616" max="15617" width="7.375" style="1632" customWidth="1"/>
    <col min="15618" max="15626" width="13.125" style="1632" customWidth="1"/>
    <col min="15627" max="15871" width="9" style="1632"/>
    <col min="15872" max="15873" width="7.375" style="1632" customWidth="1"/>
    <col min="15874" max="15882" width="13.125" style="1632" customWidth="1"/>
    <col min="15883" max="16127" width="9" style="1632"/>
    <col min="16128" max="16129" width="7.375" style="1632" customWidth="1"/>
    <col min="16130" max="16138" width="13.125" style="1632" customWidth="1"/>
    <col min="16139" max="16383" width="9" style="1632"/>
    <col min="16384" max="16384" width="8.875" style="1632" customWidth="1"/>
  </cols>
  <sheetData>
    <row r="1" spans="1:10" s="1612" customFormat="1" ht="30" customHeight="1">
      <c r="A1" s="3527" t="s">
        <v>1978</v>
      </c>
      <c r="B1" s="3527"/>
      <c r="C1" s="3527"/>
      <c r="D1" s="3527"/>
      <c r="E1" s="3527"/>
      <c r="F1" s="3527"/>
      <c r="G1" s="3527"/>
      <c r="H1" s="3527"/>
      <c r="I1" s="3527"/>
      <c r="J1" s="3527"/>
    </row>
    <row r="2" spans="1:10" s="1614" customFormat="1" ht="15" customHeight="1">
      <c r="A2" s="1613"/>
      <c r="B2" s="1613"/>
      <c r="C2" s="1613"/>
      <c r="D2" s="3528" t="s">
        <v>1979</v>
      </c>
      <c r="E2" s="3528"/>
      <c r="F2" s="3528"/>
      <c r="G2" s="3528"/>
      <c r="H2" s="1613"/>
      <c r="I2" s="3529" t="s">
        <v>1980</v>
      </c>
      <c r="J2" s="3529"/>
    </row>
    <row r="3" spans="1:10" s="1615" customFormat="1" ht="21.75" customHeight="1">
      <c r="A3" s="3530"/>
      <c r="B3" s="3530"/>
      <c r="C3" s="3532" t="s">
        <v>1981</v>
      </c>
      <c r="D3" s="3534" t="s">
        <v>1982</v>
      </c>
      <c r="E3" s="3535"/>
      <c r="F3" s="3535"/>
      <c r="G3" s="3535"/>
      <c r="H3" s="3535"/>
      <c r="I3" s="3535"/>
      <c r="J3" s="3535"/>
    </row>
    <row r="4" spans="1:10" s="1615" customFormat="1" ht="76.5" customHeight="1">
      <c r="A4" s="3531"/>
      <c r="B4" s="3531"/>
      <c r="C4" s="3533"/>
      <c r="D4" s="1616" t="s">
        <v>1983</v>
      </c>
      <c r="E4" s="1617" t="s">
        <v>1984</v>
      </c>
      <c r="F4" s="1618" t="s">
        <v>1985</v>
      </c>
      <c r="G4" s="1618" t="s">
        <v>1986</v>
      </c>
      <c r="H4" s="1618" t="s">
        <v>1987</v>
      </c>
      <c r="I4" s="1618" t="s">
        <v>1988</v>
      </c>
      <c r="J4" s="1619" t="s">
        <v>1989</v>
      </c>
    </row>
    <row r="5" spans="1:10" s="1614" customFormat="1" ht="18" customHeight="1">
      <c r="A5" s="1620" t="s">
        <v>1990</v>
      </c>
      <c r="B5" s="1621"/>
      <c r="C5" s="1622">
        <v>34957</v>
      </c>
      <c r="D5" s="1622" t="s">
        <v>1991</v>
      </c>
      <c r="E5" s="1622" t="s">
        <v>1992</v>
      </c>
      <c r="F5" s="1622" t="s">
        <v>1993</v>
      </c>
      <c r="G5" s="1622" t="s">
        <v>1994</v>
      </c>
      <c r="H5" s="1622" t="s">
        <v>1995</v>
      </c>
      <c r="I5" s="1622" t="s">
        <v>1996</v>
      </c>
      <c r="J5" s="1622" t="s">
        <v>1997</v>
      </c>
    </row>
    <row r="6" spans="1:10" s="1614" customFormat="1" ht="18" customHeight="1">
      <c r="A6" s="1623"/>
      <c r="B6" s="1624" t="s">
        <v>1998</v>
      </c>
      <c r="C6" s="1622">
        <v>23903</v>
      </c>
      <c r="D6" s="1622" t="s">
        <v>1999</v>
      </c>
      <c r="E6" s="1622" t="s">
        <v>2000</v>
      </c>
      <c r="F6" s="1622" t="s">
        <v>2001</v>
      </c>
      <c r="G6" s="1622" t="s">
        <v>2002</v>
      </c>
      <c r="H6" s="1622" t="s">
        <v>2003</v>
      </c>
      <c r="I6" s="1622" t="s">
        <v>2004</v>
      </c>
      <c r="J6" s="1622" t="s">
        <v>2005</v>
      </c>
    </row>
    <row r="7" spans="1:10" s="1614" customFormat="1" ht="18" customHeight="1">
      <c r="A7" s="1625"/>
      <c r="B7" s="1626" t="s">
        <v>2006</v>
      </c>
      <c r="C7" s="1627">
        <v>11054</v>
      </c>
      <c r="D7" s="1622" t="s">
        <v>2007</v>
      </c>
      <c r="E7" s="1622" t="s">
        <v>2008</v>
      </c>
      <c r="F7" s="1622" t="s">
        <v>2009</v>
      </c>
      <c r="G7" s="1622" t="s">
        <v>2010</v>
      </c>
      <c r="H7" s="1622" t="s">
        <v>2011</v>
      </c>
      <c r="I7" s="1622" t="s">
        <v>2012</v>
      </c>
      <c r="J7" s="1622" t="s">
        <v>2013</v>
      </c>
    </row>
    <row r="8" spans="1:10" s="1614" customFormat="1" ht="18" customHeight="1">
      <c r="A8" s="1620" t="s">
        <v>2014</v>
      </c>
      <c r="B8" s="1621"/>
      <c r="C8" s="1622">
        <v>35748</v>
      </c>
      <c r="D8" s="1628" t="s">
        <v>2015</v>
      </c>
      <c r="E8" s="1628" t="s">
        <v>2016</v>
      </c>
      <c r="F8" s="1628" t="s">
        <v>2017</v>
      </c>
      <c r="G8" s="1628" t="s">
        <v>2018</v>
      </c>
      <c r="H8" s="1628" t="s">
        <v>2019</v>
      </c>
      <c r="I8" s="1628" t="s">
        <v>2020</v>
      </c>
      <c r="J8" s="1628" t="s">
        <v>1</v>
      </c>
    </row>
    <row r="9" spans="1:10" s="1614" customFormat="1" ht="18" customHeight="1">
      <c r="A9" s="1623"/>
      <c r="B9" s="1624" t="s">
        <v>2021</v>
      </c>
      <c r="C9" s="1622">
        <v>24322</v>
      </c>
      <c r="D9" s="1622" t="s">
        <v>2022</v>
      </c>
      <c r="E9" s="1622" t="s">
        <v>2023</v>
      </c>
      <c r="F9" s="1622" t="s">
        <v>2024</v>
      </c>
      <c r="G9" s="1622" t="s">
        <v>2025</v>
      </c>
      <c r="H9" s="1622" t="s">
        <v>2026</v>
      </c>
      <c r="I9" s="1622" t="s">
        <v>2027</v>
      </c>
      <c r="J9" s="1622" t="s">
        <v>1</v>
      </c>
    </row>
    <row r="10" spans="1:10" s="1614" customFormat="1" ht="18" customHeight="1">
      <c r="A10" s="1625"/>
      <c r="B10" s="1626" t="s">
        <v>2028</v>
      </c>
      <c r="C10" s="1627">
        <v>11426</v>
      </c>
      <c r="D10" s="1622" t="s">
        <v>2029</v>
      </c>
      <c r="E10" s="1622" t="s">
        <v>2030</v>
      </c>
      <c r="F10" s="1622" t="s">
        <v>2031</v>
      </c>
      <c r="G10" s="1622" t="s">
        <v>2032</v>
      </c>
      <c r="H10" s="1622" t="s">
        <v>2033</v>
      </c>
      <c r="I10" s="1622" t="s">
        <v>2034</v>
      </c>
      <c r="J10" s="1622" t="s">
        <v>1</v>
      </c>
    </row>
    <row r="11" spans="1:10" s="1614" customFormat="1" ht="18" customHeight="1">
      <c r="A11" s="1620" t="s">
        <v>2035</v>
      </c>
      <c r="B11" s="1621"/>
      <c r="C11" s="1628">
        <v>36292</v>
      </c>
      <c r="D11" s="1628" t="s">
        <v>2036</v>
      </c>
      <c r="E11" s="1628" t="s">
        <v>2037</v>
      </c>
      <c r="F11" s="1628" t="s">
        <v>2038</v>
      </c>
      <c r="G11" s="1628" t="s">
        <v>2039</v>
      </c>
      <c r="H11" s="1628" t="s">
        <v>2040</v>
      </c>
      <c r="I11" s="1628" t="s">
        <v>980</v>
      </c>
      <c r="J11" s="1628" t="s">
        <v>1</v>
      </c>
    </row>
    <row r="12" spans="1:10" s="1614" customFormat="1" ht="18" customHeight="1">
      <c r="A12" s="1623"/>
      <c r="B12" s="1624" t="s">
        <v>2021</v>
      </c>
      <c r="C12" s="1622">
        <v>24729</v>
      </c>
      <c r="D12" s="1622" t="s">
        <v>2041</v>
      </c>
      <c r="E12" s="1622" t="s">
        <v>2042</v>
      </c>
      <c r="F12" s="1622" t="s">
        <v>2043</v>
      </c>
      <c r="G12" s="1622" t="s">
        <v>2044</v>
      </c>
      <c r="H12" s="1622" t="s">
        <v>2045</v>
      </c>
      <c r="I12" s="1622" t="s">
        <v>1</v>
      </c>
      <c r="J12" s="1622" t="s">
        <v>1</v>
      </c>
    </row>
    <row r="13" spans="1:10" s="1614" customFormat="1" ht="18" customHeight="1">
      <c r="A13" s="1625"/>
      <c r="B13" s="1626" t="s">
        <v>2046</v>
      </c>
      <c r="C13" s="1622">
        <v>11563</v>
      </c>
      <c r="D13" s="1622" t="s">
        <v>2047</v>
      </c>
      <c r="E13" s="1622" t="s">
        <v>2048</v>
      </c>
      <c r="F13" s="1622" t="s">
        <v>2049</v>
      </c>
      <c r="G13" s="1622" t="s">
        <v>2050</v>
      </c>
      <c r="H13" s="1622" t="s">
        <v>2051</v>
      </c>
      <c r="I13" s="1622" t="s">
        <v>1</v>
      </c>
      <c r="J13" s="1622" t="s">
        <v>1</v>
      </c>
    </row>
    <row r="14" spans="1:10" s="1614" customFormat="1" ht="18" customHeight="1">
      <c r="A14" s="1620" t="s">
        <v>2052</v>
      </c>
      <c r="B14" s="1621"/>
      <c r="C14" s="1628">
        <v>35398</v>
      </c>
      <c r="D14" s="1628" t="s">
        <v>2053</v>
      </c>
      <c r="E14" s="1628" t="s">
        <v>2054</v>
      </c>
      <c r="F14" s="1628" t="s">
        <v>2055</v>
      </c>
      <c r="G14" s="1628" t="s">
        <v>2056</v>
      </c>
      <c r="H14" s="1628" t="s">
        <v>1</v>
      </c>
      <c r="I14" s="1628" t="s">
        <v>1</v>
      </c>
      <c r="J14" s="1628" t="s">
        <v>1</v>
      </c>
    </row>
    <row r="15" spans="1:10" s="1614" customFormat="1" ht="18" customHeight="1">
      <c r="A15" s="1623"/>
      <c r="B15" s="1624" t="s">
        <v>2057</v>
      </c>
      <c r="C15" s="1622">
        <v>25346</v>
      </c>
      <c r="D15" s="1622" t="s">
        <v>2058</v>
      </c>
      <c r="E15" s="1622" t="s">
        <v>2059</v>
      </c>
      <c r="F15" s="1622" t="s">
        <v>2060</v>
      </c>
      <c r="G15" s="1622" t="s">
        <v>2061</v>
      </c>
      <c r="H15" s="1622" t="s">
        <v>1</v>
      </c>
      <c r="I15" s="1622" t="s">
        <v>1</v>
      </c>
      <c r="J15" s="1622" t="s">
        <v>1</v>
      </c>
    </row>
    <row r="16" spans="1:10" s="1614" customFormat="1" ht="18" customHeight="1">
      <c r="A16" s="1625"/>
      <c r="B16" s="1626" t="s">
        <v>2062</v>
      </c>
      <c r="C16" s="1622">
        <v>10052</v>
      </c>
      <c r="D16" s="1622" t="s">
        <v>2063</v>
      </c>
      <c r="E16" s="1622" t="s">
        <v>2064</v>
      </c>
      <c r="F16" s="1622" t="s">
        <v>2065</v>
      </c>
      <c r="G16" s="1622" t="s">
        <v>2066</v>
      </c>
      <c r="H16" s="1622" t="s">
        <v>1</v>
      </c>
      <c r="I16" s="1622" t="s">
        <v>1</v>
      </c>
      <c r="J16" s="1622" t="s">
        <v>1</v>
      </c>
    </row>
    <row r="17" spans="1:10" s="1614" customFormat="1" ht="18" customHeight="1">
      <c r="A17" s="1629" t="s">
        <v>2067</v>
      </c>
      <c r="B17" s="1621"/>
      <c r="C17" s="1630">
        <v>37126</v>
      </c>
      <c r="D17" s="1628" t="s">
        <v>2068</v>
      </c>
      <c r="E17" s="1628" t="s">
        <v>2069</v>
      </c>
      <c r="F17" s="1628" t="s">
        <v>2070</v>
      </c>
      <c r="G17" s="1628" t="s">
        <v>1</v>
      </c>
      <c r="H17" s="1628" t="s">
        <v>1</v>
      </c>
      <c r="I17" s="1628" t="s">
        <v>1</v>
      </c>
      <c r="J17" s="1628" t="s">
        <v>1</v>
      </c>
    </row>
    <row r="18" spans="1:10" s="1614" customFormat="1" ht="18" customHeight="1">
      <c r="A18" s="1623"/>
      <c r="B18" s="1624" t="s">
        <v>2071</v>
      </c>
      <c r="C18" s="1622">
        <v>25483</v>
      </c>
      <c r="D18" s="1622" t="s">
        <v>2072</v>
      </c>
      <c r="E18" s="1622" t="s">
        <v>2073</v>
      </c>
      <c r="F18" s="1622" t="s">
        <v>2074</v>
      </c>
      <c r="G18" s="1622" t="s">
        <v>1</v>
      </c>
      <c r="H18" s="1622" t="s">
        <v>1</v>
      </c>
      <c r="I18" s="1622" t="s">
        <v>1</v>
      </c>
      <c r="J18" s="1622" t="s">
        <v>1</v>
      </c>
    </row>
    <row r="19" spans="1:10" s="1614" customFormat="1" ht="18" customHeight="1">
      <c r="A19" s="1623"/>
      <c r="B19" s="1624" t="s">
        <v>2062</v>
      </c>
      <c r="C19" s="1622">
        <v>11643</v>
      </c>
      <c r="D19" s="1622" t="s">
        <v>2075</v>
      </c>
      <c r="E19" s="1622" t="s">
        <v>2076</v>
      </c>
      <c r="F19" s="1622" t="s">
        <v>2077</v>
      </c>
      <c r="G19" s="1622" t="s">
        <v>1</v>
      </c>
      <c r="H19" s="1622" t="s">
        <v>1</v>
      </c>
      <c r="I19" s="1622" t="s">
        <v>1</v>
      </c>
      <c r="J19" s="1622" t="s">
        <v>1</v>
      </c>
    </row>
    <row r="20" spans="1:10" s="1614" customFormat="1" ht="13.5" customHeight="1">
      <c r="A20" s="3536" t="s">
        <v>2078</v>
      </c>
      <c r="B20" s="3536"/>
      <c r="C20" s="3536"/>
      <c r="D20" s="3536"/>
      <c r="E20" s="3536"/>
      <c r="F20" s="3536"/>
      <c r="G20" s="3536"/>
      <c r="H20" s="3536"/>
      <c r="I20" s="3536"/>
      <c r="J20" s="3536"/>
    </row>
    <row r="21" spans="1:10" s="1631" customFormat="1" ht="13.5" customHeight="1">
      <c r="A21" s="3537" t="s">
        <v>2079</v>
      </c>
      <c r="B21" s="3537"/>
      <c r="C21" s="3537"/>
      <c r="D21" s="3537"/>
      <c r="E21" s="3537"/>
      <c r="F21" s="3537"/>
      <c r="G21" s="3537"/>
      <c r="H21" s="3537"/>
      <c r="I21" s="3537"/>
      <c r="J21" s="3537"/>
    </row>
    <row r="22" spans="1:10" s="1631" customFormat="1" ht="13.5" customHeight="1">
      <c r="A22" s="3537" t="s">
        <v>2080</v>
      </c>
      <c r="B22" s="3537"/>
      <c r="C22" s="3537"/>
      <c r="D22" s="3537"/>
      <c r="E22" s="3537"/>
      <c r="F22" s="3537"/>
      <c r="G22" s="3537"/>
      <c r="H22" s="3537"/>
      <c r="I22" s="3537"/>
      <c r="J22" s="3537"/>
    </row>
    <row r="23" spans="1:10" s="1631" customFormat="1" ht="13.5" customHeight="1">
      <c r="A23" s="3537" t="s">
        <v>2081</v>
      </c>
      <c r="B23" s="3537"/>
      <c r="C23" s="3537"/>
      <c r="D23" s="3537"/>
      <c r="E23" s="3537"/>
      <c r="F23" s="3537"/>
      <c r="G23" s="3537"/>
      <c r="H23" s="3537"/>
      <c r="I23" s="3537"/>
      <c r="J23" s="3537"/>
    </row>
    <row r="24" spans="1:10" s="1631" customFormat="1" ht="13.5" customHeight="1">
      <c r="A24" s="3537" t="s">
        <v>2082</v>
      </c>
      <c r="B24" s="3537"/>
      <c r="C24" s="3537"/>
      <c r="D24" s="3537"/>
      <c r="E24" s="3537"/>
      <c r="F24" s="3537"/>
      <c r="G24" s="3537"/>
      <c r="H24" s="3537"/>
      <c r="I24" s="3537"/>
      <c r="J24" s="3537"/>
    </row>
    <row r="25" spans="1:10" s="1631" customFormat="1" ht="13.5" customHeight="1">
      <c r="A25" s="3526" t="s">
        <v>2083</v>
      </c>
      <c r="B25" s="3526"/>
      <c r="C25" s="3526"/>
      <c r="D25" s="3526"/>
      <c r="E25" s="3526"/>
      <c r="F25" s="3526"/>
      <c r="G25" s="3526"/>
      <c r="H25" s="3526"/>
      <c r="I25" s="3526"/>
      <c r="J25" s="3526"/>
    </row>
    <row r="27" spans="1:10">
      <c r="D27" s="1632" t="s">
        <v>2084</v>
      </c>
      <c r="J27" s="1632" t="s">
        <v>2084</v>
      </c>
    </row>
    <row r="28" spans="1:10">
      <c r="D28" s="1632" t="s">
        <v>2084</v>
      </c>
      <c r="F28" s="1632" t="s">
        <v>2085</v>
      </c>
    </row>
  </sheetData>
  <mergeCells count="12">
    <mergeCell ref="A25:J25"/>
    <mergeCell ref="A1:J1"/>
    <mergeCell ref="D2:G2"/>
    <mergeCell ref="I2:J2"/>
    <mergeCell ref="A3:B4"/>
    <mergeCell ref="C3:C4"/>
    <mergeCell ref="D3:J3"/>
    <mergeCell ref="A20:J20"/>
    <mergeCell ref="A21:J21"/>
    <mergeCell ref="A22:J22"/>
    <mergeCell ref="A23:J23"/>
    <mergeCell ref="A24:J24"/>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7"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S17"/>
  <sheetViews>
    <sheetView showGridLines="0" workbookViewId="0">
      <selection activeCell="B16" sqref="B16"/>
    </sheetView>
  </sheetViews>
  <sheetFormatPr defaultColWidth="9" defaultRowHeight="15.75"/>
  <cols>
    <col min="1" max="1" width="9.75" style="1633" customWidth="1"/>
    <col min="2" max="2" width="9.875" style="1633" customWidth="1"/>
    <col min="3" max="18" width="7.625" style="1633" customWidth="1"/>
    <col min="19" max="19" width="7.5" style="1633" customWidth="1"/>
    <col min="20" max="21" width="6.625" style="1633" customWidth="1"/>
    <col min="22" max="16384" width="9" style="1633"/>
  </cols>
  <sheetData>
    <row r="1" spans="1:19" ht="28.5" customHeight="1">
      <c r="A1" s="3538" t="s">
        <v>2086</v>
      </c>
      <c r="B1" s="3538"/>
      <c r="C1" s="3538"/>
      <c r="D1" s="3538"/>
      <c r="E1" s="3538"/>
      <c r="F1" s="3538"/>
      <c r="G1" s="3538"/>
      <c r="H1" s="3538"/>
      <c r="I1" s="3538"/>
      <c r="J1" s="3538"/>
      <c r="K1" s="3538"/>
      <c r="L1" s="3538"/>
      <c r="M1" s="3538"/>
      <c r="N1" s="3538"/>
      <c r="O1" s="3538"/>
      <c r="P1" s="3538"/>
      <c r="Q1" s="3538"/>
      <c r="R1" s="3538"/>
    </row>
    <row r="2" spans="1:19" ht="22.35" customHeight="1">
      <c r="A2" s="3539"/>
      <c r="B2" s="3542" t="s">
        <v>2087</v>
      </c>
      <c r="C2" s="1634"/>
      <c r="D2" s="3545" t="s">
        <v>2088</v>
      </c>
      <c r="E2" s="3546"/>
      <c r="F2" s="3546"/>
      <c r="G2" s="3546"/>
      <c r="H2" s="3546"/>
      <c r="I2" s="3546"/>
      <c r="J2" s="1635"/>
      <c r="K2" s="1636"/>
      <c r="L2" s="3545" t="s">
        <v>2089</v>
      </c>
      <c r="M2" s="3546"/>
      <c r="N2" s="3546"/>
      <c r="O2" s="3546"/>
      <c r="P2" s="3546"/>
      <c r="Q2" s="3546"/>
      <c r="R2" s="1637"/>
    </row>
    <row r="3" spans="1:19" ht="29.1" customHeight="1">
      <c r="A3" s="3540"/>
      <c r="B3" s="3543"/>
      <c r="C3" s="3547" t="s">
        <v>1172</v>
      </c>
      <c r="D3" s="3548"/>
      <c r="E3" s="3551" t="s">
        <v>2090</v>
      </c>
      <c r="F3" s="3552"/>
      <c r="G3" s="3552"/>
      <c r="H3" s="3553"/>
      <c r="I3" s="3554" t="s">
        <v>2091</v>
      </c>
      <c r="J3" s="3555"/>
      <c r="K3" s="3547" t="s">
        <v>2092</v>
      </c>
      <c r="L3" s="3556"/>
      <c r="M3" s="3551" t="s">
        <v>2090</v>
      </c>
      <c r="N3" s="3552"/>
      <c r="O3" s="3552"/>
      <c r="P3" s="3553"/>
      <c r="Q3" s="3551" t="s">
        <v>2093</v>
      </c>
      <c r="R3" s="3552"/>
    </row>
    <row r="4" spans="1:19" ht="56.45" customHeight="1">
      <c r="A4" s="3540"/>
      <c r="B4" s="3544"/>
      <c r="C4" s="3549"/>
      <c r="D4" s="3550"/>
      <c r="E4" s="3560" t="s">
        <v>2094</v>
      </c>
      <c r="F4" s="3561"/>
      <c r="G4" s="3560" t="s">
        <v>2095</v>
      </c>
      <c r="H4" s="3561"/>
      <c r="I4" s="1638" t="s">
        <v>756</v>
      </c>
      <c r="J4" s="1638" t="s">
        <v>757</v>
      </c>
      <c r="K4" s="3549"/>
      <c r="L4" s="3557"/>
      <c r="M4" s="3560" t="s">
        <v>2096</v>
      </c>
      <c r="N4" s="3561"/>
      <c r="O4" s="3560" t="s">
        <v>2095</v>
      </c>
      <c r="P4" s="3561"/>
      <c r="Q4" s="1639" t="s">
        <v>2097</v>
      </c>
      <c r="R4" s="1639" t="s">
        <v>2098</v>
      </c>
    </row>
    <row r="5" spans="1:19" ht="25.15" customHeight="1">
      <c r="A5" s="3541"/>
      <c r="B5" s="1640" t="s">
        <v>2099</v>
      </c>
      <c r="C5" s="1641" t="s">
        <v>2100</v>
      </c>
      <c r="D5" s="1641" t="s">
        <v>2101</v>
      </c>
      <c r="E5" s="1641" t="s">
        <v>2100</v>
      </c>
      <c r="F5" s="1641" t="s">
        <v>2102</v>
      </c>
      <c r="G5" s="1641" t="s">
        <v>2099</v>
      </c>
      <c r="H5" s="1641" t="s">
        <v>2101</v>
      </c>
      <c r="I5" s="1641" t="s">
        <v>2100</v>
      </c>
      <c r="J5" s="1641" t="s">
        <v>2103</v>
      </c>
      <c r="K5" s="1641" t="s">
        <v>2100</v>
      </c>
      <c r="L5" s="1641" t="s">
        <v>2101</v>
      </c>
      <c r="M5" s="1641" t="s">
        <v>2103</v>
      </c>
      <c r="N5" s="1641" t="s">
        <v>2101</v>
      </c>
      <c r="O5" s="1641" t="s">
        <v>2099</v>
      </c>
      <c r="P5" s="1641" t="s">
        <v>2101</v>
      </c>
      <c r="Q5" s="1641" t="s">
        <v>2100</v>
      </c>
      <c r="R5" s="1642" t="s">
        <v>2100</v>
      </c>
      <c r="S5" s="1643"/>
    </row>
    <row r="6" spans="1:19" ht="37.5" customHeight="1">
      <c r="A6" s="1644" t="s">
        <v>2104</v>
      </c>
      <c r="B6" s="1645">
        <f t="shared" ref="B6:B15" si="0">C6+K6</f>
        <v>9501</v>
      </c>
      <c r="C6" s="1645">
        <f t="shared" ref="C6:C15" si="1">E6+G6</f>
        <v>9282</v>
      </c>
      <c r="D6" s="1646">
        <f t="shared" ref="D6:D15" si="2">SUM(F6,H6)</f>
        <v>100</v>
      </c>
      <c r="E6" s="1645">
        <v>7593</v>
      </c>
      <c r="F6" s="1646">
        <f t="shared" ref="F6:F15" si="3">E6/C6*100</f>
        <v>81.803490627020039</v>
      </c>
      <c r="G6" s="1645">
        <v>1689</v>
      </c>
      <c r="H6" s="1646">
        <f t="shared" ref="H6:H15" si="4">G6/C6*100</f>
        <v>18.196509372979961</v>
      </c>
      <c r="I6" s="1645">
        <v>1805</v>
      </c>
      <c r="J6" s="1645">
        <v>7477</v>
      </c>
      <c r="K6" s="1645">
        <f t="shared" ref="K6:L15" si="5">SUM(M6,O6)</f>
        <v>219</v>
      </c>
      <c r="L6" s="1646">
        <f t="shared" si="5"/>
        <v>99.999999999999986</v>
      </c>
      <c r="M6" s="1645">
        <v>160</v>
      </c>
      <c r="N6" s="1646">
        <f t="shared" ref="N6:N15" si="6">M6/K6*100</f>
        <v>73.059360730593596</v>
      </c>
      <c r="O6" s="1645">
        <v>59</v>
      </c>
      <c r="P6" s="1646">
        <f t="shared" ref="P6:P13" si="7">O6/K6*100</f>
        <v>26.94063926940639</v>
      </c>
      <c r="Q6" s="1645">
        <v>2</v>
      </c>
      <c r="R6" s="1647">
        <v>217</v>
      </c>
      <c r="S6" s="1648"/>
    </row>
    <row r="7" spans="1:19" ht="37.5" customHeight="1">
      <c r="A7" s="1644" t="s">
        <v>1107</v>
      </c>
      <c r="B7" s="1645">
        <f t="shared" si="0"/>
        <v>8482</v>
      </c>
      <c r="C7" s="1645">
        <f t="shared" si="1"/>
        <v>8313</v>
      </c>
      <c r="D7" s="1646">
        <f t="shared" si="2"/>
        <v>100</v>
      </c>
      <c r="E7" s="1645">
        <v>6914</v>
      </c>
      <c r="F7" s="1646">
        <f t="shared" si="3"/>
        <v>83.170937086491037</v>
      </c>
      <c r="G7" s="1645">
        <v>1399</v>
      </c>
      <c r="H7" s="1646">
        <f t="shared" si="4"/>
        <v>16.829062913508963</v>
      </c>
      <c r="I7" s="1645">
        <v>1346</v>
      </c>
      <c r="J7" s="1645">
        <v>6967</v>
      </c>
      <c r="K7" s="1645">
        <f t="shared" si="5"/>
        <v>169</v>
      </c>
      <c r="L7" s="1646">
        <f t="shared" si="5"/>
        <v>100</v>
      </c>
      <c r="M7" s="1645">
        <v>120</v>
      </c>
      <c r="N7" s="1646">
        <f t="shared" si="6"/>
        <v>71.005917159763314</v>
      </c>
      <c r="O7" s="1645">
        <v>49</v>
      </c>
      <c r="P7" s="1646">
        <f t="shared" si="7"/>
        <v>28.994082840236686</v>
      </c>
      <c r="Q7" s="1645">
        <v>1</v>
      </c>
      <c r="R7" s="1649">
        <v>168</v>
      </c>
      <c r="S7" s="1648"/>
    </row>
    <row r="8" spans="1:19" ht="37.5" customHeight="1">
      <c r="A8" s="1644" t="s">
        <v>1060</v>
      </c>
      <c r="B8" s="1645">
        <f t="shared" si="0"/>
        <v>6969</v>
      </c>
      <c r="C8" s="1645">
        <f t="shared" si="1"/>
        <v>6836</v>
      </c>
      <c r="D8" s="1646">
        <f t="shared" si="2"/>
        <v>100</v>
      </c>
      <c r="E8" s="1645">
        <v>5630</v>
      </c>
      <c r="F8" s="1646">
        <f t="shared" si="3"/>
        <v>82.358104154476294</v>
      </c>
      <c r="G8" s="1645">
        <v>1206</v>
      </c>
      <c r="H8" s="1646">
        <f t="shared" si="4"/>
        <v>17.641895845523699</v>
      </c>
      <c r="I8" s="1645">
        <v>916</v>
      </c>
      <c r="J8" s="1645">
        <v>5920</v>
      </c>
      <c r="K8" s="1645">
        <f t="shared" si="5"/>
        <v>133</v>
      </c>
      <c r="L8" s="1646">
        <f t="shared" si="5"/>
        <v>99.999999999999986</v>
      </c>
      <c r="M8" s="1645">
        <v>98</v>
      </c>
      <c r="N8" s="1646">
        <f t="shared" si="6"/>
        <v>73.68421052631578</v>
      </c>
      <c r="O8" s="1645">
        <v>35</v>
      </c>
      <c r="P8" s="1646">
        <f t="shared" si="7"/>
        <v>26.315789473684209</v>
      </c>
      <c r="Q8" s="1650" t="s">
        <v>2105</v>
      </c>
      <c r="R8" s="1649">
        <v>133</v>
      </c>
      <c r="S8" s="1648"/>
    </row>
    <row r="9" spans="1:19" ht="37.5" customHeight="1">
      <c r="A9" s="1644" t="s">
        <v>1061</v>
      </c>
      <c r="B9" s="1645">
        <f t="shared" si="0"/>
        <v>6700</v>
      </c>
      <c r="C9" s="1645">
        <f t="shared" si="1"/>
        <v>6598</v>
      </c>
      <c r="D9" s="1646">
        <f t="shared" si="2"/>
        <v>100</v>
      </c>
      <c r="E9" s="1645">
        <v>5452</v>
      </c>
      <c r="F9" s="1646">
        <f t="shared" si="3"/>
        <v>82.631100333434375</v>
      </c>
      <c r="G9" s="1645">
        <v>1146</v>
      </c>
      <c r="H9" s="1646">
        <f t="shared" si="4"/>
        <v>17.368899666565625</v>
      </c>
      <c r="I9" s="1645">
        <v>813</v>
      </c>
      <c r="J9" s="1645">
        <v>5785</v>
      </c>
      <c r="K9" s="1645">
        <f t="shared" si="5"/>
        <v>102</v>
      </c>
      <c r="L9" s="1646">
        <f t="shared" si="5"/>
        <v>100</v>
      </c>
      <c r="M9" s="1645">
        <v>79</v>
      </c>
      <c r="N9" s="1646">
        <f t="shared" si="6"/>
        <v>77.450980392156865</v>
      </c>
      <c r="O9" s="1645">
        <v>23</v>
      </c>
      <c r="P9" s="1646">
        <f t="shared" si="7"/>
        <v>22.549019607843139</v>
      </c>
      <c r="Q9" s="1645">
        <v>1</v>
      </c>
      <c r="R9" s="1649">
        <v>101</v>
      </c>
      <c r="S9" s="1648"/>
    </row>
    <row r="10" spans="1:19" ht="37.5" customHeight="1">
      <c r="A10" s="1644" t="s">
        <v>1062</v>
      </c>
      <c r="B10" s="1645">
        <f t="shared" si="0"/>
        <v>5978</v>
      </c>
      <c r="C10" s="1645">
        <f t="shared" si="1"/>
        <v>5855</v>
      </c>
      <c r="D10" s="1646">
        <f t="shared" si="2"/>
        <v>100</v>
      </c>
      <c r="E10" s="1645">
        <v>4950</v>
      </c>
      <c r="F10" s="1646">
        <f t="shared" si="3"/>
        <v>84.543125533731853</v>
      </c>
      <c r="G10" s="1645">
        <v>905</v>
      </c>
      <c r="H10" s="1646">
        <f t="shared" si="4"/>
        <v>15.456874466268147</v>
      </c>
      <c r="I10" s="1645">
        <v>602</v>
      </c>
      <c r="J10" s="1645">
        <v>5253</v>
      </c>
      <c r="K10" s="1645">
        <f t="shared" si="5"/>
        <v>123</v>
      </c>
      <c r="L10" s="1646">
        <f t="shared" si="5"/>
        <v>100</v>
      </c>
      <c r="M10" s="1645">
        <v>95</v>
      </c>
      <c r="N10" s="1646">
        <f t="shared" si="6"/>
        <v>77.235772357723576</v>
      </c>
      <c r="O10" s="1645">
        <v>28</v>
      </c>
      <c r="P10" s="1646">
        <f t="shared" si="7"/>
        <v>22.76422764227642</v>
      </c>
      <c r="Q10" s="1650" t="s">
        <v>2105</v>
      </c>
      <c r="R10" s="1649">
        <v>123</v>
      </c>
      <c r="S10" s="1648"/>
    </row>
    <row r="11" spans="1:19" ht="37.5" customHeight="1">
      <c r="A11" s="1644" t="s">
        <v>1063</v>
      </c>
      <c r="B11" s="1645">
        <f t="shared" si="0"/>
        <v>6715</v>
      </c>
      <c r="C11" s="1645">
        <f t="shared" si="1"/>
        <v>6642</v>
      </c>
      <c r="D11" s="1646">
        <f t="shared" si="2"/>
        <v>100</v>
      </c>
      <c r="E11" s="1645">
        <v>5673</v>
      </c>
      <c r="F11" s="1646">
        <f t="shared" si="3"/>
        <v>85.411020776874437</v>
      </c>
      <c r="G11" s="1645">
        <v>969</v>
      </c>
      <c r="H11" s="1646">
        <f t="shared" si="4"/>
        <v>14.588979223125564</v>
      </c>
      <c r="I11" s="1645">
        <v>649</v>
      </c>
      <c r="J11" s="1645">
        <v>5993</v>
      </c>
      <c r="K11" s="1645">
        <f t="shared" si="5"/>
        <v>73</v>
      </c>
      <c r="L11" s="1646">
        <f t="shared" si="5"/>
        <v>100</v>
      </c>
      <c r="M11" s="1645">
        <v>63</v>
      </c>
      <c r="N11" s="1646">
        <f t="shared" si="6"/>
        <v>86.301369863013704</v>
      </c>
      <c r="O11" s="1645">
        <v>10</v>
      </c>
      <c r="P11" s="1646">
        <f t="shared" si="7"/>
        <v>13.698630136986301</v>
      </c>
      <c r="Q11" s="1650" t="s">
        <v>2105</v>
      </c>
      <c r="R11" s="1649">
        <v>73</v>
      </c>
      <c r="S11" s="1648"/>
    </row>
    <row r="12" spans="1:19" ht="37.5" customHeight="1">
      <c r="A12" s="1644" t="s">
        <v>1064</v>
      </c>
      <c r="B12" s="1645">
        <f t="shared" si="0"/>
        <v>7714</v>
      </c>
      <c r="C12" s="1645">
        <f t="shared" si="1"/>
        <v>7650</v>
      </c>
      <c r="D12" s="1646">
        <f t="shared" si="2"/>
        <v>100</v>
      </c>
      <c r="E12" s="1645">
        <v>6597</v>
      </c>
      <c r="F12" s="1646">
        <f t="shared" si="3"/>
        <v>86.235294117647058</v>
      </c>
      <c r="G12" s="1645">
        <v>1053</v>
      </c>
      <c r="H12" s="1646">
        <f t="shared" si="4"/>
        <v>13.76470588235294</v>
      </c>
      <c r="I12" s="1645">
        <v>699</v>
      </c>
      <c r="J12" s="1645">
        <v>6951</v>
      </c>
      <c r="K12" s="1645">
        <f t="shared" si="5"/>
        <v>64</v>
      </c>
      <c r="L12" s="1646">
        <f t="shared" si="5"/>
        <v>100</v>
      </c>
      <c r="M12" s="1645">
        <v>57</v>
      </c>
      <c r="N12" s="1646">
        <f t="shared" si="6"/>
        <v>89.0625</v>
      </c>
      <c r="O12" s="1645">
        <v>7</v>
      </c>
      <c r="P12" s="1646">
        <f t="shared" si="7"/>
        <v>10.9375</v>
      </c>
      <c r="Q12" s="1645">
        <v>1</v>
      </c>
      <c r="R12" s="1649">
        <v>63</v>
      </c>
      <c r="S12" s="1648"/>
    </row>
    <row r="13" spans="1:19" ht="37.5" customHeight="1">
      <c r="A13" s="1644" t="s">
        <v>1065</v>
      </c>
      <c r="B13" s="1645">
        <f t="shared" si="0"/>
        <v>6720</v>
      </c>
      <c r="C13" s="1645">
        <f t="shared" si="1"/>
        <v>6674</v>
      </c>
      <c r="D13" s="1646">
        <f t="shared" si="2"/>
        <v>100</v>
      </c>
      <c r="E13" s="1645">
        <v>5672</v>
      </c>
      <c r="F13" s="1646">
        <f t="shared" si="3"/>
        <v>84.986514833682946</v>
      </c>
      <c r="G13" s="1645">
        <v>1002</v>
      </c>
      <c r="H13" s="1646">
        <f t="shared" si="4"/>
        <v>15.01348516631705</v>
      </c>
      <c r="I13" s="1645">
        <v>617</v>
      </c>
      <c r="J13" s="1645">
        <v>6057</v>
      </c>
      <c r="K13" s="1645">
        <f t="shared" si="5"/>
        <v>46</v>
      </c>
      <c r="L13" s="1646">
        <f t="shared" si="5"/>
        <v>100</v>
      </c>
      <c r="M13" s="1645">
        <v>41</v>
      </c>
      <c r="N13" s="1646">
        <f t="shared" si="6"/>
        <v>89.130434782608688</v>
      </c>
      <c r="O13" s="1645">
        <v>5</v>
      </c>
      <c r="P13" s="1646">
        <f t="shared" si="7"/>
        <v>10.869565217391305</v>
      </c>
      <c r="Q13" s="1650" t="s">
        <v>2105</v>
      </c>
      <c r="R13" s="1649">
        <v>46</v>
      </c>
      <c r="S13" s="1648"/>
    </row>
    <row r="14" spans="1:19" ht="37.5" customHeight="1">
      <c r="A14" s="1644" t="s">
        <v>1066</v>
      </c>
      <c r="B14" s="1645">
        <f t="shared" si="0"/>
        <v>5011</v>
      </c>
      <c r="C14" s="1645">
        <f t="shared" si="1"/>
        <v>5001</v>
      </c>
      <c r="D14" s="1646">
        <f t="shared" si="2"/>
        <v>100</v>
      </c>
      <c r="E14" s="1645">
        <v>4250</v>
      </c>
      <c r="F14" s="1646">
        <f t="shared" si="3"/>
        <v>84.98300339932014</v>
      </c>
      <c r="G14" s="1645">
        <v>751</v>
      </c>
      <c r="H14" s="1646">
        <f t="shared" si="4"/>
        <v>15.016996600679864</v>
      </c>
      <c r="I14" s="1645">
        <v>433</v>
      </c>
      <c r="J14" s="1645">
        <v>4568</v>
      </c>
      <c r="K14" s="1645">
        <f t="shared" si="5"/>
        <v>10</v>
      </c>
      <c r="L14" s="1646">
        <f t="shared" si="5"/>
        <v>100</v>
      </c>
      <c r="M14" s="1645">
        <v>10</v>
      </c>
      <c r="N14" s="1646">
        <f t="shared" si="6"/>
        <v>100</v>
      </c>
      <c r="O14" s="1650" t="s">
        <v>2106</v>
      </c>
      <c r="P14" s="1651" t="s">
        <v>994</v>
      </c>
      <c r="Q14" s="1650" t="s">
        <v>994</v>
      </c>
      <c r="R14" s="1649">
        <v>10</v>
      </c>
      <c r="S14" s="1648"/>
    </row>
    <row r="15" spans="1:19" ht="37.5" customHeight="1">
      <c r="A15" s="1652" t="s">
        <v>1067</v>
      </c>
      <c r="B15" s="1653">
        <f t="shared" si="0"/>
        <v>3786</v>
      </c>
      <c r="C15" s="1653">
        <f t="shared" si="1"/>
        <v>3784</v>
      </c>
      <c r="D15" s="1654">
        <f t="shared" si="2"/>
        <v>99.999999999999986</v>
      </c>
      <c r="E15" s="1653">
        <v>3248</v>
      </c>
      <c r="F15" s="1654">
        <f t="shared" si="3"/>
        <v>85.835095137420709</v>
      </c>
      <c r="G15" s="1653">
        <v>536</v>
      </c>
      <c r="H15" s="1654">
        <f t="shared" si="4"/>
        <v>14.164904862579281</v>
      </c>
      <c r="I15" s="1653">
        <v>362</v>
      </c>
      <c r="J15" s="1653">
        <v>3422</v>
      </c>
      <c r="K15" s="1653">
        <f t="shared" si="5"/>
        <v>2</v>
      </c>
      <c r="L15" s="1654">
        <f t="shared" si="5"/>
        <v>100</v>
      </c>
      <c r="M15" s="1653">
        <v>2</v>
      </c>
      <c r="N15" s="1654">
        <f t="shared" si="6"/>
        <v>100</v>
      </c>
      <c r="O15" s="1655" t="s">
        <v>2106</v>
      </c>
      <c r="P15" s="1656" t="s">
        <v>2105</v>
      </c>
      <c r="Q15" s="1653">
        <v>1</v>
      </c>
      <c r="R15" s="1657">
        <v>1</v>
      </c>
      <c r="S15" s="1648"/>
    </row>
    <row r="16" spans="1:19">
      <c r="A16" s="3558" t="s">
        <v>2107</v>
      </c>
      <c r="B16" s="3558"/>
      <c r="C16" s="3558"/>
      <c r="D16" s="3558"/>
      <c r="E16" s="3558"/>
      <c r="F16" s="1658"/>
    </row>
    <row r="17" spans="1:8" ht="17.45" customHeight="1">
      <c r="A17" s="3558"/>
      <c r="B17" s="3558"/>
      <c r="C17" s="3558"/>
      <c r="D17" s="3558"/>
      <c r="E17" s="3558"/>
      <c r="F17" s="3559"/>
      <c r="G17" s="3559"/>
      <c r="H17" s="3559"/>
    </row>
  </sheetData>
  <mergeCells count="17">
    <mergeCell ref="A17:H17"/>
    <mergeCell ref="Q3:R3"/>
    <mergeCell ref="E4:F4"/>
    <mergeCell ref="G4:H4"/>
    <mergeCell ref="M4:N4"/>
    <mergeCell ref="O4:P4"/>
    <mergeCell ref="A16:E16"/>
    <mergeCell ref="A1:R1"/>
    <mergeCell ref="A2:A5"/>
    <mergeCell ref="B2:B4"/>
    <mergeCell ref="D2:I2"/>
    <mergeCell ref="L2:Q2"/>
    <mergeCell ref="C3:D4"/>
    <mergeCell ref="E3:H3"/>
    <mergeCell ref="I3:J3"/>
    <mergeCell ref="K3:L4"/>
    <mergeCell ref="M3:P3"/>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59"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F16"/>
  <sheetViews>
    <sheetView showGridLines="0" zoomScale="85" zoomScaleNormal="85" workbookViewId="0">
      <selection activeCell="B16" sqref="B16"/>
    </sheetView>
  </sheetViews>
  <sheetFormatPr defaultColWidth="9" defaultRowHeight="15.75"/>
  <cols>
    <col min="1" max="2" width="16.125" style="1633" customWidth="1"/>
    <col min="3" max="6" width="17.125" style="1633" customWidth="1"/>
    <col min="7" max="16384" width="9" style="1633"/>
  </cols>
  <sheetData>
    <row r="1" spans="1:6" s="1659" customFormat="1" ht="20.25">
      <c r="A1" s="3562" t="s">
        <v>2108</v>
      </c>
      <c r="B1" s="3562"/>
      <c r="C1" s="3562"/>
      <c r="D1" s="3562"/>
      <c r="E1" s="3562"/>
      <c r="F1" s="3562"/>
    </row>
    <row r="2" spans="1:6">
      <c r="F2" s="1660" t="s">
        <v>2109</v>
      </c>
    </row>
    <row r="3" spans="1:6" ht="16.350000000000001" customHeight="1">
      <c r="A3" s="3563"/>
      <c r="B3" s="3564" t="s">
        <v>2087</v>
      </c>
      <c r="C3" s="3567" t="s">
        <v>2110</v>
      </c>
      <c r="D3" s="3568"/>
      <c r="E3" s="3567" t="s">
        <v>2111</v>
      </c>
      <c r="F3" s="3571"/>
    </row>
    <row r="4" spans="1:6" ht="27.95" customHeight="1">
      <c r="A4" s="3540"/>
      <c r="B4" s="3565"/>
      <c r="C4" s="3569"/>
      <c r="D4" s="3570"/>
      <c r="E4" s="3569"/>
      <c r="F4" s="3572"/>
    </row>
    <row r="5" spans="1:6" ht="49.5" customHeight="1">
      <c r="A5" s="3541"/>
      <c r="B5" s="3566"/>
      <c r="C5" s="1661" t="s">
        <v>2094</v>
      </c>
      <c r="D5" s="1662" t="s">
        <v>2095</v>
      </c>
      <c r="E5" s="1663" t="s">
        <v>756</v>
      </c>
      <c r="F5" s="1663" t="s">
        <v>2098</v>
      </c>
    </row>
    <row r="6" spans="1:6" ht="29.1" customHeight="1">
      <c r="A6" s="1644" t="s">
        <v>2112</v>
      </c>
      <c r="B6" s="1664">
        <v>1470</v>
      </c>
      <c r="C6" s="1665" t="s">
        <v>2113</v>
      </c>
      <c r="D6" s="1665" t="s">
        <v>2114</v>
      </c>
      <c r="E6" s="1665" t="s">
        <v>2115</v>
      </c>
      <c r="F6" s="1665" t="s">
        <v>2116</v>
      </c>
    </row>
    <row r="7" spans="1:6" ht="29.1" customHeight="1">
      <c r="A7" s="1644" t="s">
        <v>1107</v>
      </c>
      <c r="B7" s="1664">
        <v>1094</v>
      </c>
      <c r="C7" s="1665" t="s">
        <v>2117</v>
      </c>
      <c r="D7" s="1665" t="s">
        <v>2118</v>
      </c>
      <c r="E7" s="1665" t="s">
        <v>2119</v>
      </c>
      <c r="F7" s="1665" t="s">
        <v>2120</v>
      </c>
    </row>
    <row r="8" spans="1:6" ht="29.1" customHeight="1">
      <c r="A8" s="1644" t="s">
        <v>1060</v>
      </c>
      <c r="B8" s="1664">
        <v>801</v>
      </c>
      <c r="C8" s="1665" t="s">
        <v>2121</v>
      </c>
      <c r="D8" s="1665" t="s">
        <v>2122</v>
      </c>
      <c r="E8" s="1665" t="s">
        <v>2123</v>
      </c>
      <c r="F8" s="1665" t="s">
        <v>2124</v>
      </c>
    </row>
    <row r="9" spans="1:6" ht="29.1" customHeight="1">
      <c r="A9" s="1644" t="s">
        <v>1061</v>
      </c>
      <c r="B9" s="1664">
        <v>675</v>
      </c>
      <c r="C9" s="1665" t="s">
        <v>2125</v>
      </c>
      <c r="D9" s="1665" t="s">
        <v>2126</v>
      </c>
      <c r="E9" s="1665" t="s">
        <v>2127</v>
      </c>
      <c r="F9" s="1665" t="s">
        <v>2128</v>
      </c>
    </row>
    <row r="10" spans="1:6" ht="29.1" customHeight="1">
      <c r="A10" s="1644" t="s">
        <v>1062</v>
      </c>
      <c r="B10" s="1664">
        <v>623</v>
      </c>
      <c r="C10" s="1665" t="s">
        <v>2129</v>
      </c>
      <c r="D10" s="1665" t="s">
        <v>2130</v>
      </c>
      <c r="E10" s="1665" t="s">
        <v>2131</v>
      </c>
      <c r="F10" s="1665" t="s">
        <v>2132</v>
      </c>
    </row>
    <row r="11" spans="1:6" ht="29.1" customHeight="1">
      <c r="A11" s="1644" t="s">
        <v>1063</v>
      </c>
      <c r="B11" s="1664">
        <v>640</v>
      </c>
      <c r="C11" s="1665" t="s">
        <v>2133</v>
      </c>
      <c r="D11" s="1665" t="s">
        <v>2134</v>
      </c>
      <c r="E11" s="1665" t="s">
        <v>2135</v>
      </c>
      <c r="F11" s="1665" t="s">
        <v>2136</v>
      </c>
    </row>
    <row r="12" spans="1:6" ht="29.1" customHeight="1">
      <c r="A12" s="1644" t="s">
        <v>1064</v>
      </c>
      <c r="B12" s="1664">
        <v>710</v>
      </c>
      <c r="C12" s="1665" t="s">
        <v>2137</v>
      </c>
      <c r="D12" s="1665" t="s">
        <v>2138</v>
      </c>
      <c r="E12" s="1665" t="s">
        <v>2139</v>
      </c>
      <c r="F12" s="1665" t="s">
        <v>2140</v>
      </c>
    </row>
    <row r="13" spans="1:6" ht="29.1" customHeight="1">
      <c r="A13" s="1644" t="s">
        <v>1065</v>
      </c>
      <c r="B13" s="1664">
        <v>620</v>
      </c>
      <c r="C13" s="1665" t="s">
        <v>2141</v>
      </c>
      <c r="D13" s="1665" t="s">
        <v>2142</v>
      </c>
      <c r="E13" s="1665" t="s">
        <v>2143</v>
      </c>
      <c r="F13" s="1665" t="s">
        <v>2144</v>
      </c>
    </row>
    <row r="14" spans="1:6" ht="29.1" customHeight="1">
      <c r="A14" s="1644" t="s">
        <v>1066</v>
      </c>
      <c r="B14" s="1664">
        <v>481</v>
      </c>
      <c r="C14" s="1665" t="s">
        <v>2145</v>
      </c>
      <c r="D14" s="1665" t="s">
        <v>2146</v>
      </c>
      <c r="E14" s="1665" t="s">
        <v>2147</v>
      </c>
      <c r="F14" s="1665" t="s">
        <v>2148</v>
      </c>
    </row>
    <row r="15" spans="1:6" ht="29.1" customHeight="1">
      <c r="A15" s="1652" t="s">
        <v>1067</v>
      </c>
      <c r="B15" s="1666">
        <v>397</v>
      </c>
      <c r="C15" s="1667" t="s">
        <v>2149</v>
      </c>
      <c r="D15" s="1667" t="s">
        <v>2150</v>
      </c>
      <c r="E15" s="1667" t="s">
        <v>2151</v>
      </c>
      <c r="F15" s="1667" t="s">
        <v>2152</v>
      </c>
    </row>
    <row r="16" spans="1:6">
      <c r="A16" s="1658" t="s">
        <v>997</v>
      </c>
    </row>
  </sheetData>
  <mergeCells count="5">
    <mergeCell ref="A1:F1"/>
    <mergeCell ref="A3:A5"/>
    <mergeCell ref="B3:B5"/>
    <mergeCell ref="C3:D4"/>
    <mergeCell ref="E3:F4"/>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75"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Q27"/>
  <sheetViews>
    <sheetView showGridLines="0" workbookViewId="0">
      <selection activeCell="B16" sqref="B16"/>
    </sheetView>
  </sheetViews>
  <sheetFormatPr defaultColWidth="9" defaultRowHeight="15.75"/>
  <cols>
    <col min="1" max="1" width="22.5" style="1633" customWidth="1"/>
    <col min="2" max="2" width="6.375" style="1633" customWidth="1"/>
    <col min="3" max="17" width="7.75" style="1633" customWidth="1"/>
    <col min="18" max="16384" width="9" style="1633"/>
  </cols>
  <sheetData>
    <row r="1" spans="1:17" s="1659" customFormat="1" ht="25.35" customHeight="1">
      <c r="A1" s="3538" t="s">
        <v>2153</v>
      </c>
      <c r="B1" s="3538"/>
      <c r="C1" s="3538"/>
      <c r="D1" s="3538"/>
      <c r="E1" s="3538"/>
      <c r="F1" s="3538"/>
      <c r="G1" s="3538"/>
      <c r="H1" s="3538"/>
      <c r="I1" s="3538"/>
      <c r="J1" s="3538"/>
      <c r="K1" s="3538"/>
      <c r="L1" s="3538"/>
      <c r="M1" s="3538"/>
      <c r="N1" s="3538"/>
      <c r="O1" s="3574"/>
      <c r="P1" s="3574"/>
      <c r="Q1" s="3574"/>
    </row>
    <row r="2" spans="1:17" ht="36.6" customHeight="1">
      <c r="A2" s="3575"/>
      <c r="B2" s="3576"/>
      <c r="C2" s="3552" t="s">
        <v>2154</v>
      </c>
      <c r="D2" s="3552"/>
      <c r="E2" s="3552"/>
      <c r="F2" s="3551" t="s">
        <v>1064</v>
      </c>
      <c r="G2" s="3552"/>
      <c r="H2" s="3553"/>
      <c r="I2" s="3551" t="s">
        <v>1065</v>
      </c>
      <c r="J2" s="3552"/>
      <c r="K2" s="3553"/>
      <c r="L2" s="3551" t="s">
        <v>1066</v>
      </c>
      <c r="M2" s="3552"/>
      <c r="N2" s="3553"/>
      <c r="O2" s="3551" t="s">
        <v>1067</v>
      </c>
      <c r="P2" s="3552"/>
      <c r="Q2" s="3552"/>
    </row>
    <row r="3" spans="1:17" ht="37.35" customHeight="1">
      <c r="A3" s="3577"/>
      <c r="B3" s="3578"/>
      <c r="C3" s="1668" t="s">
        <v>2155</v>
      </c>
      <c r="D3" s="1669" t="s">
        <v>2156</v>
      </c>
      <c r="E3" s="1669" t="s">
        <v>2157</v>
      </c>
      <c r="F3" s="1669" t="s">
        <v>2155</v>
      </c>
      <c r="G3" s="1669" t="s">
        <v>2156</v>
      </c>
      <c r="H3" s="1669" t="s">
        <v>2158</v>
      </c>
      <c r="I3" s="1669" t="s">
        <v>2159</v>
      </c>
      <c r="J3" s="1669" t="s">
        <v>2160</v>
      </c>
      <c r="K3" s="1669" t="s">
        <v>2158</v>
      </c>
      <c r="L3" s="1663" t="s">
        <v>2161</v>
      </c>
      <c r="M3" s="1669" t="s">
        <v>2096</v>
      </c>
      <c r="N3" s="1669" t="s">
        <v>2158</v>
      </c>
      <c r="O3" s="1663" t="s">
        <v>1774</v>
      </c>
      <c r="P3" s="1669" t="s">
        <v>2156</v>
      </c>
      <c r="Q3" s="1669" t="s">
        <v>2162</v>
      </c>
    </row>
    <row r="4" spans="1:17" ht="21" customHeight="1">
      <c r="A4" s="3579" t="s">
        <v>2163</v>
      </c>
      <c r="B4" s="1670" t="s">
        <v>2164</v>
      </c>
      <c r="C4" s="1671">
        <f t="shared" ref="C4:Q5" si="0">SUM(C6,C8,C10,C12,C14,C16,C18,C20,C22,C24)</f>
        <v>73</v>
      </c>
      <c r="D4" s="1671">
        <f t="shared" si="0"/>
        <v>73</v>
      </c>
      <c r="E4" s="1671">
        <f t="shared" si="0"/>
        <v>0</v>
      </c>
      <c r="F4" s="1671">
        <f t="shared" si="0"/>
        <v>46</v>
      </c>
      <c r="G4" s="1671">
        <f t="shared" si="0"/>
        <v>46</v>
      </c>
      <c r="H4" s="1671">
        <f t="shared" si="0"/>
        <v>0</v>
      </c>
      <c r="I4" s="1671">
        <f t="shared" si="0"/>
        <v>41</v>
      </c>
      <c r="J4" s="1671">
        <f t="shared" si="0"/>
        <v>40</v>
      </c>
      <c r="K4" s="1671">
        <f t="shared" si="0"/>
        <v>1</v>
      </c>
      <c r="L4" s="1671">
        <f t="shared" si="0"/>
        <v>73</v>
      </c>
      <c r="M4" s="1671">
        <f t="shared" si="0"/>
        <v>68</v>
      </c>
      <c r="N4" s="1671">
        <f t="shared" si="0"/>
        <v>5</v>
      </c>
      <c r="O4" s="1671">
        <f t="shared" si="0"/>
        <v>64</v>
      </c>
      <c r="P4" s="1671">
        <f t="shared" si="0"/>
        <v>61</v>
      </c>
      <c r="Q4" s="1672">
        <f t="shared" si="0"/>
        <v>3</v>
      </c>
    </row>
    <row r="5" spans="1:17" ht="18" customHeight="1">
      <c r="A5" s="3573"/>
      <c r="B5" s="1670" t="s">
        <v>2165</v>
      </c>
      <c r="C5" s="1673">
        <f t="shared" si="0"/>
        <v>100.00000000000001</v>
      </c>
      <c r="D5" s="1673">
        <f t="shared" si="0"/>
        <v>100.00000000000001</v>
      </c>
      <c r="E5" s="1673">
        <f t="shared" si="0"/>
        <v>0</v>
      </c>
      <c r="F5" s="1673">
        <f t="shared" si="0"/>
        <v>99.999999999999986</v>
      </c>
      <c r="G5" s="1673">
        <f t="shared" si="0"/>
        <v>99.999999999999986</v>
      </c>
      <c r="H5" s="1673">
        <f t="shared" si="0"/>
        <v>0</v>
      </c>
      <c r="I5" s="1673">
        <f t="shared" si="0"/>
        <v>99.999999999999986</v>
      </c>
      <c r="J5" s="1673">
        <f t="shared" si="0"/>
        <v>100</v>
      </c>
      <c r="K5" s="1673">
        <f t="shared" si="0"/>
        <v>100</v>
      </c>
      <c r="L5" s="1673">
        <f t="shared" si="0"/>
        <v>99.999999999999986</v>
      </c>
      <c r="M5" s="1673">
        <f t="shared" si="0"/>
        <v>99.999999999999986</v>
      </c>
      <c r="N5" s="1673">
        <f t="shared" si="0"/>
        <v>100</v>
      </c>
      <c r="O5" s="1673">
        <f t="shared" si="0"/>
        <v>100</v>
      </c>
      <c r="P5" s="1673">
        <f t="shared" si="0"/>
        <v>100</v>
      </c>
      <c r="Q5" s="1673">
        <f t="shared" si="0"/>
        <v>100</v>
      </c>
    </row>
    <row r="6" spans="1:17" ht="18" customHeight="1">
      <c r="A6" s="3573" t="s">
        <v>2166</v>
      </c>
      <c r="B6" s="1670" t="s">
        <v>2167</v>
      </c>
      <c r="C6" s="1671">
        <v>50</v>
      </c>
      <c r="D6" s="1671">
        <v>50</v>
      </c>
      <c r="E6" s="1671" t="s">
        <v>1</v>
      </c>
      <c r="F6" s="1671">
        <v>34</v>
      </c>
      <c r="G6" s="1671">
        <v>34</v>
      </c>
      <c r="H6" s="1671" t="s">
        <v>1</v>
      </c>
      <c r="I6" s="1671">
        <v>28</v>
      </c>
      <c r="J6" s="1671">
        <v>27</v>
      </c>
      <c r="K6" s="1671">
        <v>1</v>
      </c>
      <c r="L6" s="1671">
        <v>27</v>
      </c>
      <c r="M6" s="1671">
        <v>27</v>
      </c>
      <c r="N6" s="1671" t="s">
        <v>1</v>
      </c>
      <c r="O6" s="1671">
        <v>10</v>
      </c>
      <c r="P6" s="1671">
        <v>10</v>
      </c>
      <c r="Q6" s="1674" t="s">
        <v>1</v>
      </c>
    </row>
    <row r="7" spans="1:17" ht="18" customHeight="1">
      <c r="A7" s="3573"/>
      <c r="B7" s="1670" t="s">
        <v>2168</v>
      </c>
      <c r="C7" s="1673">
        <f>C6/C4*100</f>
        <v>68.493150684931507</v>
      </c>
      <c r="D7" s="1673">
        <f>D6/D4*100</f>
        <v>68.493150684931507</v>
      </c>
      <c r="E7" s="1673" t="s">
        <v>2105</v>
      </c>
      <c r="F7" s="1673">
        <f>F6/F4*100</f>
        <v>73.91304347826086</v>
      </c>
      <c r="G7" s="1673">
        <f>G6/G4*100</f>
        <v>73.91304347826086</v>
      </c>
      <c r="H7" s="1671" t="s">
        <v>1</v>
      </c>
      <c r="I7" s="1673">
        <f>I6/I4*100</f>
        <v>68.292682926829272</v>
      </c>
      <c r="J7" s="1673">
        <f>J6/J4*100</f>
        <v>67.5</v>
      </c>
      <c r="K7" s="1673">
        <f>K6/K4*100</f>
        <v>100</v>
      </c>
      <c r="L7" s="1673">
        <f>L6/L4*100</f>
        <v>36.986301369863014</v>
      </c>
      <c r="M7" s="1673">
        <f>M6/M4*100</f>
        <v>39.705882352941174</v>
      </c>
      <c r="N7" s="1671" t="s">
        <v>1</v>
      </c>
      <c r="O7" s="1673">
        <f>O6/O4*100</f>
        <v>15.625</v>
      </c>
      <c r="P7" s="1673">
        <f>P6/P4*100</f>
        <v>16.393442622950818</v>
      </c>
      <c r="Q7" s="1674" t="s">
        <v>1</v>
      </c>
    </row>
    <row r="8" spans="1:17" ht="18" customHeight="1">
      <c r="A8" s="3573" t="s">
        <v>2169</v>
      </c>
      <c r="B8" s="1670" t="s">
        <v>2170</v>
      </c>
      <c r="C8" s="1671">
        <v>4</v>
      </c>
      <c r="D8" s="1671">
        <v>4</v>
      </c>
      <c r="E8" s="1671" t="s">
        <v>1</v>
      </c>
      <c r="F8" s="1671">
        <v>2</v>
      </c>
      <c r="G8" s="1671">
        <v>2</v>
      </c>
      <c r="H8" s="1671" t="s">
        <v>1</v>
      </c>
      <c r="I8" s="1671" t="s">
        <v>1</v>
      </c>
      <c r="J8" s="1671" t="s">
        <v>1</v>
      </c>
      <c r="K8" s="1671" t="s">
        <v>1</v>
      </c>
      <c r="L8" s="1671">
        <v>1</v>
      </c>
      <c r="M8" s="1671">
        <v>1</v>
      </c>
      <c r="N8" s="1671" t="s">
        <v>1</v>
      </c>
      <c r="O8" s="1671">
        <v>2</v>
      </c>
      <c r="P8" s="1671">
        <v>2</v>
      </c>
      <c r="Q8" s="1674" t="s">
        <v>1</v>
      </c>
    </row>
    <row r="9" spans="1:17" ht="18.600000000000001" customHeight="1">
      <c r="A9" s="3573"/>
      <c r="B9" s="1670" t="s">
        <v>2168</v>
      </c>
      <c r="C9" s="1673">
        <f>C8/C4*100</f>
        <v>5.4794520547945202</v>
      </c>
      <c r="D9" s="1673">
        <f>D8/D4*100</f>
        <v>5.4794520547945202</v>
      </c>
      <c r="E9" s="1673" t="s">
        <v>2105</v>
      </c>
      <c r="F9" s="1673">
        <f>F8/F4*100</f>
        <v>4.3478260869565215</v>
      </c>
      <c r="G9" s="1673">
        <f>G8/G4*100</f>
        <v>4.3478260869565215</v>
      </c>
      <c r="H9" s="1671" t="s">
        <v>1</v>
      </c>
      <c r="I9" s="1673" t="s">
        <v>2171</v>
      </c>
      <c r="J9" s="1673" t="s">
        <v>2105</v>
      </c>
      <c r="K9" s="1671" t="s">
        <v>1</v>
      </c>
      <c r="L9" s="1673">
        <f>L8/L4*100</f>
        <v>1.3698630136986301</v>
      </c>
      <c r="M9" s="1673">
        <f>M8/M4*100</f>
        <v>1.4705882352941175</v>
      </c>
      <c r="N9" s="1671" t="s">
        <v>1</v>
      </c>
      <c r="O9" s="1673">
        <f>O8/O4*100</f>
        <v>3.125</v>
      </c>
      <c r="P9" s="1673">
        <f>P8/P4*100</f>
        <v>3.278688524590164</v>
      </c>
      <c r="Q9" s="1674" t="s">
        <v>1</v>
      </c>
    </row>
    <row r="10" spans="1:17" ht="18" customHeight="1">
      <c r="A10" s="3573" t="s">
        <v>2172</v>
      </c>
      <c r="B10" s="1670" t="s">
        <v>2170</v>
      </c>
      <c r="C10" s="1671">
        <v>4</v>
      </c>
      <c r="D10" s="1671">
        <v>4</v>
      </c>
      <c r="E10" s="1671" t="s">
        <v>1</v>
      </c>
      <c r="F10" s="1671" t="s">
        <v>1</v>
      </c>
      <c r="G10" s="1671" t="s">
        <v>1</v>
      </c>
      <c r="H10" s="1671" t="s">
        <v>1</v>
      </c>
      <c r="I10" s="1671">
        <v>2</v>
      </c>
      <c r="J10" s="1671">
        <v>2</v>
      </c>
      <c r="K10" s="1671" t="s">
        <v>1</v>
      </c>
      <c r="L10" s="1671">
        <v>2</v>
      </c>
      <c r="M10" s="1671">
        <v>2</v>
      </c>
      <c r="N10" s="1671" t="s">
        <v>1</v>
      </c>
      <c r="O10" s="1671">
        <v>2</v>
      </c>
      <c r="P10" s="1671">
        <v>2</v>
      </c>
      <c r="Q10" s="1674" t="s">
        <v>1</v>
      </c>
    </row>
    <row r="11" spans="1:17" ht="18" customHeight="1">
      <c r="A11" s="3573"/>
      <c r="B11" s="1670" t="s">
        <v>2168</v>
      </c>
      <c r="C11" s="1673">
        <f>C10/C4*100</f>
        <v>5.4794520547945202</v>
      </c>
      <c r="D11" s="1673">
        <f>D10/D4*100</f>
        <v>5.4794520547945202</v>
      </c>
      <c r="E11" s="1673" t="s">
        <v>2171</v>
      </c>
      <c r="F11" s="1673" t="s">
        <v>2105</v>
      </c>
      <c r="G11" s="1673" t="s">
        <v>2105</v>
      </c>
      <c r="H11" s="1671" t="s">
        <v>1</v>
      </c>
      <c r="I11" s="1673">
        <f>I10/I4*100</f>
        <v>4.8780487804878048</v>
      </c>
      <c r="J11" s="1673">
        <f>J10/J4*100</f>
        <v>5</v>
      </c>
      <c r="K11" s="1671" t="s">
        <v>1</v>
      </c>
      <c r="L11" s="1673">
        <f>L10/L4*100</f>
        <v>2.7397260273972601</v>
      </c>
      <c r="M11" s="1673">
        <f>M10/M4*100</f>
        <v>2.9411764705882351</v>
      </c>
      <c r="N11" s="1671" t="s">
        <v>1</v>
      </c>
      <c r="O11" s="1673">
        <f>O10/O4*100</f>
        <v>3.125</v>
      </c>
      <c r="P11" s="1673">
        <f>P10/P4*100</f>
        <v>3.278688524590164</v>
      </c>
      <c r="Q11" s="1674" t="s">
        <v>1</v>
      </c>
    </row>
    <row r="12" spans="1:17" ht="18" customHeight="1">
      <c r="A12" s="3573" t="s">
        <v>2173</v>
      </c>
      <c r="B12" s="1670" t="s">
        <v>2164</v>
      </c>
      <c r="C12" s="1671">
        <v>5</v>
      </c>
      <c r="D12" s="1671">
        <v>5</v>
      </c>
      <c r="E12" s="1671" t="s">
        <v>1</v>
      </c>
      <c r="F12" s="1671">
        <v>2</v>
      </c>
      <c r="G12" s="1671">
        <v>2</v>
      </c>
      <c r="H12" s="1671" t="s">
        <v>1</v>
      </c>
      <c r="I12" s="1671">
        <v>3</v>
      </c>
      <c r="J12" s="1671">
        <v>3</v>
      </c>
      <c r="K12" s="1671" t="s">
        <v>1</v>
      </c>
      <c r="L12" s="1671">
        <v>5</v>
      </c>
      <c r="M12" s="1671">
        <v>2</v>
      </c>
      <c r="N12" s="1671">
        <v>3</v>
      </c>
      <c r="O12" s="1671">
        <v>6</v>
      </c>
      <c r="P12" s="1671">
        <v>6</v>
      </c>
      <c r="Q12" s="1674" t="s">
        <v>1</v>
      </c>
    </row>
    <row r="13" spans="1:17" ht="18" customHeight="1">
      <c r="A13" s="3573"/>
      <c r="B13" s="1670" t="s">
        <v>2174</v>
      </c>
      <c r="C13" s="1673">
        <f>C12/C4*100</f>
        <v>6.8493150684931505</v>
      </c>
      <c r="D13" s="1673">
        <f>D12/D4*100</f>
        <v>6.8493150684931505</v>
      </c>
      <c r="E13" s="1673" t="s">
        <v>980</v>
      </c>
      <c r="F13" s="1673">
        <f>F12/F4*100</f>
        <v>4.3478260869565215</v>
      </c>
      <c r="G13" s="1673">
        <f>G12/G4*100</f>
        <v>4.3478260869565215</v>
      </c>
      <c r="H13" s="1671" t="s">
        <v>1</v>
      </c>
      <c r="I13" s="1673">
        <f>I12/I4*100</f>
        <v>7.3170731707317067</v>
      </c>
      <c r="J13" s="1673">
        <f>J12/J4*100</f>
        <v>7.5</v>
      </c>
      <c r="K13" s="1671" t="s">
        <v>1</v>
      </c>
      <c r="L13" s="1673">
        <f>L12/L4*100</f>
        <v>6.8493150684931505</v>
      </c>
      <c r="M13" s="1673">
        <f>M12/M4*100</f>
        <v>2.9411764705882351</v>
      </c>
      <c r="N13" s="1673">
        <f>N12/N4*100</f>
        <v>60</v>
      </c>
      <c r="O13" s="1673">
        <f>O12/O4*100</f>
        <v>9.375</v>
      </c>
      <c r="P13" s="1673">
        <f>P12/P4*100</f>
        <v>9.8360655737704921</v>
      </c>
      <c r="Q13" s="1674" t="s">
        <v>1</v>
      </c>
    </row>
    <row r="14" spans="1:17" ht="20.45" customHeight="1">
      <c r="A14" s="3573" t="s">
        <v>2175</v>
      </c>
      <c r="B14" s="1670" t="s">
        <v>2170</v>
      </c>
      <c r="C14" s="1671">
        <v>1</v>
      </c>
      <c r="D14" s="1671">
        <v>1</v>
      </c>
      <c r="E14" s="1671" t="s">
        <v>1</v>
      </c>
      <c r="F14" s="1671" t="s">
        <v>1</v>
      </c>
      <c r="G14" s="1671" t="s">
        <v>1</v>
      </c>
      <c r="H14" s="1671" t="s">
        <v>1</v>
      </c>
      <c r="I14" s="1671" t="s">
        <v>1</v>
      </c>
      <c r="J14" s="1671" t="s">
        <v>1</v>
      </c>
      <c r="K14" s="1671" t="s">
        <v>1</v>
      </c>
      <c r="L14" s="1671" t="s">
        <v>1</v>
      </c>
      <c r="M14" s="1671" t="s">
        <v>1</v>
      </c>
      <c r="N14" s="1671" t="s">
        <v>1</v>
      </c>
      <c r="O14" s="1671">
        <v>1</v>
      </c>
      <c r="P14" s="1671">
        <v>1</v>
      </c>
      <c r="Q14" s="1674" t="s">
        <v>1</v>
      </c>
    </row>
    <row r="15" spans="1:17" ht="18" customHeight="1">
      <c r="A15" s="3573"/>
      <c r="B15" s="1670" t="s">
        <v>2176</v>
      </c>
      <c r="C15" s="1673">
        <f>C14/C4*100</f>
        <v>1.3698630136986301</v>
      </c>
      <c r="D15" s="1673">
        <f>D14/D4*100</f>
        <v>1.3698630136986301</v>
      </c>
      <c r="E15" s="1673" t="s">
        <v>2105</v>
      </c>
      <c r="F15" s="1673" t="s">
        <v>2105</v>
      </c>
      <c r="G15" s="1673" t="s">
        <v>2105</v>
      </c>
      <c r="H15" s="1671" t="s">
        <v>1</v>
      </c>
      <c r="I15" s="1671" t="s">
        <v>1</v>
      </c>
      <c r="J15" s="1671" t="s">
        <v>1</v>
      </c>
      <c r="K15" s="1671" t="s">
        <v>1</v>
      </c>
      <c r="L15" s="1671" t="s">
        <v>1</v>
      </c>
      <c r="M15" s="1671" t="s">
        <v>1</v>
      </c>
      <c r="N15" s="1671" t="s">
        <v>1</v>
      </c>
      <c r="O15" s="1673">
        <f>O14/O4*100</f>
        <v>1.5625</v>
      </c>
      <c r="P15" s="1673">
        <f>P14/P4*100</f>
        <v>1.639344262295082</v>
      </c>
      <c r="Q15" s="1674" t="s">
        <v>1</v>
      </c>
    </row>
    <row r="16" spans="1:17" ht="18" customHeight="1">
      <c r="A16" s="3573" t="s">
        <v>2177</v>
      </c>
      <c r="B16" s="1670" t="s">
        <v>2170</v>
      </c>
      <c r="C16" s="1671" t="s">
        <v>1</v>
      </c>
      <c r="D16" s="1671" t="s">
        <v>1</v>
      </c>
      <c r="E16" s="1671" t="s">
        <v>1</v>
      </c>
      <c r="F16" s="1671" t="s">
        <v>1</v>
      </c>
      <c r="G16" s="1671" t="s">
        <v>1</v>
      </c>
      <c r="H16" s="1671" t="s">
        <v>1</v>
      </c>
      <c r="I16" s="1671" t="s">
        <v>1</v>
      </c>
      <c r="J16" s="1671" t="s">
        <v>1</v>
      </c>
      <c r="K16" s="1671" t="s">
        <v>1</v>
      </c>
      <c r="L16" s="1671" t="s">
        <v>1</v>
      </c>
      <c r="M16" s="1671" t="s">
        <v>1</v>
      </c>
      <c r="N16" s="1671" t="s">
        <v>1</v>
      </c>
      <c r="O16" s="1671" t="s">
        <v>1</v>
      </c>
      <c r="P16" s="1671" t="s">
        <v>1</v>
      </c>
      <c r="Q16" s="1674" t="s">
        <v>1</v>
      </c>
    </row>
    <row r="17" spans="1:17" ht="18" customHeight="1">
      <c r="A17" s="3573"/>
      <c r="B17" s="1670" t="s">
        <v>2168</v>
      </c>
      <c r="C17" s="1673" t="s">
        <v>2105</v>
      </c>
      <c r="D17" s="1673" t="s">
        <v>2105</v>
      </c>
      <c r="E17" s="1673" t="s">
        <v>2105</v>
      </c>
      <c r="F17" s="1673" t="s">
        <v>2105</v>
      </c>
      <c r="G17" s="1673" t="s">
        <v>2178</v>
      </c>
      <c r="H17" s="1671" t="s">
        <v>1</v>
      </c>
      <c r="I17" s="1671" t="s">
        <v>1</v>
      </c>
      <c r="J17" s="1671" t="s">
        <v>1</v>
      </c>
      <c r="K17" s="1671" t="s">
        <v>1</v>
      </c>
      <c r="L17" s="1671" t="s">
        <v>1</v>
      </c>
      <c r="M17" s="1671" t="s">
        <v>1</v>
      </c>
      <c r="N17" s="1671" t="s">
        <v>1</v>
      </c>
      <c r="O17" s="1671" t="s">
        <v>1</v>
      </c>
      <c r="P17" s="1673" t="s">
        <v>980</v>
      </c>
      <c r="Q17" s="1674" t="s">
        <v>1</v>
      </c>
    </row>
    <row r="18" spans="1:17" ht="18" customHeight="1">
      <c r="A18" s="3573" t="s">
        <v>2179</v>
      </c>
      <c r="B18" s="1670" t="s">
        <v>2180</v>
      </c>
      <c r="C18" s="1671">
        <v>1</v>
      </c>
      <c r="D18" s="1671">
        <v>1</v>
      </c>
      <c r="E18" s="1671" t="s">
        <v>1</v>
      </c>
      <c r="F18" s="1671">
        <v>2</v>
      </c>
      <c r="G18" s="1671">
        <v>2</v>
      </c>
      <c r="H18" s="1671" t="s">
        <v>1</v>
      </c>
      <c r="I18" s="1671" t="s">
        <v>1</v>
      </c>
      <c r="J18" s="1671" t="s">
        <v>1</v>
      </c>
      <c r="K18" s="1671" t="s">
        <v>1</v>
      </c>
      <c r="L18" s="1671" t="s">
        <v>1</v>
      </c>
      <c r="M18" s="1671" t="s">
        <v>1</v>
      </c>
      <c r="N18" s="1671" t="s">
        <v>1</v>
      </c>
      <c r="O18" s="1671" t="s">
        <v>1</v>
      </c>
      <c r="P18" s="1671" t="s">
        <v>1</v>
      </c>
      <c r="Q18" s="1674" t="s">
        <v>1</v>
      </c>
    </row>
    <row r="19" spans="1:17" ht="18" customHeight="1">
      <c r="A19" s="3573"/>
      <c r="B19" s="1670" t="s">
        <v>2181</v>
      </c>
      <c r="C19" s="1673">
        <f>C18/C4*100</f>
        <v>1.3698630136986301</v>
      </c>
      <c r="D19" s="1673">
        <f>D18/D4*100</f>
        <v>1.3698630136986301</v>
      </c>
      <c r="E19" s="1673" t="s">
        <v>2105</v>
      </c>
      <c r="F19" s="1673">
        <f>F18/F4*100</f>
        <v>4.3478260869565215</v>
      </c>
      <c r="G19" s="1673">
        <f>G18/G4*100</f>
        <v>4.3478260869565215</v>
      </c>
      <c r="H19" s="1671" t="s">
        <v>1</v>
      </c>
      <c r="I19" s="1671" t="s">
        <v>1</v>
      </c>
      <c r="J19" s="1671" t="s">
        <v>1</v>
      </c>
      <c r="K19" s="1671" t="s">
        <v>1</v>
      </c>
      <c r="L19" s="1671" t="s">
        <v>1</v>
      </c>
      <c r="M19" s="1671" t="s">
        <v>1</v>
      </c>
      <c r="N19" s="1671" t="s">
        <v>1</v>
      </c>
      <c r="O19" s="1671" t="s">
        <v>1</v>
      </c>
      <c r="P19" s="1673" t="s">
        <v>2105</v>
      </c>
      <c r="Q19" s="1674" t="s">
        <v>1</v>
      </c>
    </row>
    <row r="20" spans="1:17" ht="20.45" customHeight="1">
      <c r="A20" s="3573" t="s">
        <v>2182</v>
      </c>
      <c r="B20" s="1670" t="s">
        <v>2180</v>
      </c>
      <c r="C20" s="1671" t="s">
        <v>1</v>
      </c>
      <c r="D20" s="1671" t="s">
        <v>1</v>
      </c>
      <c r="E20" s="1671" t="s">
        <v>1</v>
      </c>
      <c r="F20" s="1671" t="s">
        <v>1</v>
      </c>
      <c r="G20" s="1671" t="s">
        <v>1</v>
      </c>
      <c r="H20" s="1671" t="s">
        <v>1</v>
      </c>
      <c r="I20" s="1671" t="s">
        <v>1</v>
      </c>
      <c r="J20" s="1671" t="s">
        <v>1</v>
      </c>
      <c r="K20" s="1671" t="s">
        <v>1</v>
      </c>
      <c r="L20" s="1671" t="s">
        <v>1</v>
      </c>
      <c r="M20" s="1671" t="s">
        <v>1</v>
      </c>
      <c r="N20" s="1671" t="s">
        <v>1</v>
      </c>
      <c r="O20" s="1671" t="s">
        <v>1</v>
      </c>
      <c r="P20" s="1671" t="s">
        <v>1</v>
      </c>
      <c r="Q20" s="1674" t="s">
        <v>1</v>
      </c>
    </row>
    <row r="21" spans="1:17" ht="18" customHeight="1">
      <c r="A21" s="3573"/>
      <c r="B21" s="1670" t="s">
        <v>2183</v>
      </c>
      <c r="C21" s="1673" t="s">
        <v>980</v>
      </c>
      <c r="D21" s="1673" t="s">
        <v>980</v>
      </c>
      <c r="E21" s="1673" t="s">
        <v>2184</v>
      </c>
      <c r="F21" s="1673" t="s">
        <v>994</v>
      </c>
      <c r="G21" s="1673" t="s">
        <v>994</v>
      </c>
      <c r="H21" s="1671" t="s">
        <v>1</v>
      </c>
      <c r="I21" s="1671" t="s">
        <v>1</v>
      </c>
      <c r="J21" s="1671" t="s">
        <v>1</v>
      </c>
      <c r="K21" s="1671" t="s">
        <v>1</v>
      </c>
      <c r="L21" s="1671" t="s">
        <v>1</v>
      </c>
      <c r="M21" s="1671" t="s">
        <v>1</v>
      </c>
      <c r="N21" s="1671" t="s">
        <v>1</v>
      </c>
      <c r="O21" s="1671" t="s">
        <v>1</v>
      </c>
      <c r="P21" s="1673" t="s">
        <v>2185</v>
      </c>
      <c r="Q21" s="1674" t="s">
        <v>1</v>
      </c>
    </row>
    <row r="22" spans="1:17" ht="18" customHeight="1">
      <c r="A22" s="3573" t="s">
        <v>2186</v>
      </c>
      <c r="B22" s="1670" t="s">
        <v>2180</v>
      </c>
      <c r="C22" s="1671">
        <v>5</v>
      </c>
      <c r="D22" s="1671">
        <v>5</v>
      </c>
      <c r="E22" s="1671" t="s">
        <v>2187</v>
      </c>
      <c r="F22" s="1671">
        <v>5</v>
      </c>
      <c r="G22" s="1671">
        <v>5</v>
      </c>
      <c r="H22" s="1671" t="s">
        <v>1</v>
      </c>
      <c r="I22" s="1671">
        <v>4</v>
      </c>
      <c r="J22" s="1671">
        <v>4</v>
      </c>
      <c r="K22" s="1671" t="s">
        <v>1</v>
      </c>
      <c r="L22" s="1671">
        <v>36</v>
      </c>
      <c r="M22" s="1671">
        <v>34</v>
      </c>
      <c r="N22" s="1671">
        <v>2</v>
      </c>
      <c r="O22" s="1671">
        <v>40</v>
      </c>
      <c r="P22" s="1671">
        <v>37</v>
      </c>
      <c r="Q22" s="1674">
        <v>3</v>
      </c>
    </row>
    <row r="23" spans="1:17" ht="18" customHeight="1">
      <c r="A23" s="3573"/>
      <c r="B23" s="1670" t="s">
        <v>2181</v>
      </c>
      <c r="C23" s="1673">
        <f>C22/C4*100</f>
        <v>6.8493150684931505</v>
      </c>
      <c r="D23" s="1673">
        <f>D22/D4*100</f>
        <v>6.8493150684931505</v>
      </c>
      <c r="E23" s="1673" t="s">
        <v>2105</v>
      </c>
      <c r="F23" s="1673">
        <f>F22/F4*100</f>
        <v>10.869565217391305</v>
      </c>
      <c r="G23" s="1673">
        <f>G22/G4*100</f>
        <v>10.869565217391305</v>
      </c>
      <c r="H23" s="1671" t="s">
        <v>1</v>
      </c>
      <c r="I23" s="1673">
        <f>I22/I4*100</f>
        <v>9.7560975609756095</v>
      </c>
      <c r="J23" s="1673">
        <f>J22/J4*100</f>
        <v>10</v>
      </c>
      <c r="K23" s="1671" t="s">
        <v>1</v>
      </c>
      <c r="L23" s="1673">
        <f t="shared" ref="L23:Q23" si="1">L22/L4*100</f>
        <v>49.315068493150683</v>
      </c>
      <c r="M23" s="1673">
        <f t="shared" si="1"/>
        <v>50</v>
      </c>
      <c r="N23" s="1673">
        <f t="shared" si="1"/>
        <v>40</v>
      </c>
      <c r="O23" s="1673">
        <f t="shared" si="1"/>
        <v>62.5</v>
      </c>
      <c r="P23" s="1673">
        <f t="shared" si="1"/>
        <v>60.655737704918032</v>
      </c>
      <c r="Q23" s="1673">
        <f t="shared" si="1"/>
        <v>100</v>
      </c>
    </row>
    <row r="24" spans="1:17" ht="18" customHeight="1">
      <c r="A24" s="3573" t="s">
        <v>434</v>
      </c>
      <c r="B24" s="1670" t="s">
        <v>2170</v>
      </c>
      <c r="C24" s="1671">
        <v>3</v>
      </c>
      <c r="D24" s="1671">
        <v>3</v>
      </c>
      <c r="E24" s="1671" t="s">
        <v>2105</v>
      </c>
      <c r="F24" s="1671">
        <v>1</v>
      </c>
      <c r="G24" s="1671">
        <v>1</v>
      </c>
      <c r="H24" s="1671" t="s">
        <v>1</v>
      </c>
      <c r="I24" s="1671">
        <v>4</v>
      </c>
      <c r="J24" s="1671">
        <v>4</v>
      </c>
      <c r="K24" s="1671" t="s">
        <v>1</v>
      </c>
      <c r="L24" s="1671">
        <v>2</v>
      </c>
      <c r="M24" s="1671">
        <v>2</v>
      </c>
      <c r="N24" s="1671" t="s">
        <v>1</v>
      </c>
      <c r="O24" s="1671">
        <v>3</v>
      </c>
      <c r="P24" s="1671">
        <v>3</v>
      </c>
      <c r="Q24" s="1674" t="s">
        <v>1</v>
      </c>
    </row>
    <row r="25" spans="1:17" ht="18" customHeight="1">
      <c r="A25" s="3580"/>
      <c r="B25" s="1675" t="s">
        <v>2168</v>
      </c>
      <c r="C25" s="1676">
        <f>C24/C4*100</f>
        <v>4.10958904109589</v>
      </c>
      <c r="D25" s="1676">
        <f>D24/D4*100</f>
        <v>4.10958904109589</v>
      </c>
      <c r="E25" s="1676" t="s">
        <v>980</v>
      </c>
      <c r="F25" s="1676">
        <f>F24/F4*100</f>
        <v>2.1739130434782608</v>
      </c>
      <c r="G25" s="1676">
        <f>G24/G4*100</f>
        <v>2.1739130434782608</v>
      </c>
      <c r="H25" s="1677" t="s">
        <v>1</v>
      </c>
      <c r="I25" s="1676">
        <f>I24/I4*100</f>
        <v>9.7560975609756095</v>
      </c>
      <c r="J25" s="1676">
        <f>J24/J4*100</f>
        <v>10</v>
      </c>
      <c r="K25" s="1677" t="s">
        <v>1</v>
      </c>
      <c r="L25" s="1676">
        <f>L24/L4*100</f>
        <v>2.7397260273972601</v>
      </c>
      <c r="M25" s="1676">
        <f>M24/M4*100</f>
        <v>2.9411764705882351</v>
      </c>
      <c r="N25" s="1676" t="s">
        <v>2187</v>
      </c>
      <c r="O25" s="1676">
        <f>O24/O4*100</f>
        <v>4.6875</v>
      </c>
      <c r="P25" s="1676">
        <f>P24/P4*100</f>
        <v>4.918032786885246</v>
      </c>
      <c r="Q25" s="1676" t="s">
        <v>980</v>
      </c>
    </row>
    <row r="26" spans="1:17" ht="16.899999999999999" customHeight="1">
      <c r="A26" s="1658" t="s">
        <v>2188</v>
      </c>
      <c r="B26" s="1678"/>
      <c r="C26" s="1658"/>
      <c r="D26" s="1658"/>
      <c r="E26" s="1658"/>
      <c r="F26" s="1658"/>
      <c r="G26" s="1658"/>
      <c r="H26" s="1658"/>
      <c r="I26" s="1658"/>
      <c r="J26" s="1658"/>
      <c r="K26" s="1658"/>
    </row>
    <row r="27" spans="1:17" ht="17.45" customHeight="1"/>
  </sheetData>
  <mergeCells count="18">
    <mergeCell ref="A16:A17"/>
    <mergeCell ref="A18:A19"/>
    <mergeCell ref="A20:A21"/>
    <mergeCell ref="A22:A23"/>
    <mergeCell ref="A24:A25"/>
    <mergeCell ref="A14:A15"/>
    <mergeCell ref="A1:Q1"/>
    <mergeCell ref="A2:B3"/>
    <mergeCell ref="C2:E2"/>
    <mergeCell ref="F2:H2"/>
    <mergeCell ref="I2:K2"/>
    <mergeCell ref="L2:N2"/>
    <mergeCell ref="O2:Q2"/>
    <mergeCell ref="A4:A5"/>
    <mergeCell ref="A6:A7"/>
    <mergeCell ref="A8:A9"/>
    <mergeCell ref="A10:A11"/>
    <mergeCell ref="A12:A13"/>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3" orientation="landscape" r:id="rId1"/>
  <headerFooter differentOddEven="1" scaleWithDoc="0">
    <oddHeader>&amp;L&amp;"Times New Roman,標準"&amp;8 107&amp;"標楷體,標準"年犯罪狀況及其分析</oddHeader>
    <evenHeader>&amp;R&amp;"標楷體,標準"&amp;8第二篇　犯罪之處理</even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Y35"/>
  <sheetViews>
    <sheetView showGridLines="0" zoomScaleNormal="100" workbookViewId="0">
      <selection activeCell="J25" sqref="J25"/>
    </sheetView>
  </sheetViews>
  <sheetFormatPr defaultColWidth="9" defaultRowHeight="15"/>
  <cols>
    <col min="1" max="1" width="7.625" style="6" customWidth="1"/>
    <col min="2" max="2" width="6.375" style="6" customWidth="1"/>
    <col min="3" max="3" width="13.25" style="6" customWidth="1"/>
    <col min="4" max="4" width="9.5" style="6" hidden="1" customWidth="1"/>
    <col min="5" max="5" width="7.5" style="6" hidden="1" customWidth="1"/>
    <col min="6" max="15" width="9" style="6" customWidth="1"/>
    <col min="16" max="16384" width="9" style="6"/>
  </cols>
  <sheetData>
    <row r="1" spans="1:25" ht="23.25" customHeight="1">
      <c r="A1" s="2821" t="s">
        <v>78</v>
      </c>
      <c r="B1" s="2821"/>
      <c r="C1" s="2821"/>
      <c r="D1" s="2821"/>
      <c r="E1" s="2821"/>
      <c r="F1" s="2821"/>
      <c r="G1" s="2821"/>
      <c r="H1" s="2821"/>
      <c r="I1" s="2821"/>
      <c r="J1" s="2821"/>
      <c r="K1" s="2821"/>
      <c r="L1" s="2821"/>
      <c r="M1" s="2821"/>
      <c r="N1" s="2821"/>
      <c r="O1" s="2821"/>
      <c r="P1" s="2821"/>
      <c r="Q1" s="2821"/>
      <c r="R1" s="2821"/>
      <c r="S1" s="2821"/>
      <c r="T1" s="2821"/>
      <c r="U1" s="2821"/>
      <c r="V1" s="2821"/>
      <c r="W1" s="2821"/>
      <c r="X1" s="2821"/>
      <c r="Y1" s="2821"/>
    </row>
    <row r="2" spans="1:25" s="48" customFormat="1" ht="18.75" customHeight="1">
      <c r="A2" s="2876"/>
      <c r="B2" s="2876"/>
      <c r="C2" s="2876"/>
      <c r="D2" s="2813" t="s">
        <v>79</v>
      </c>
      <c r="E2" s="2813"/>
      <c r="F2" s="2813" t="s">
        <v>80</v>
      </c>
      <c r="G2" s="2879"/>
      <c r="H2" s="2837" t="s">
        <v>81</v>
      </c>
      <c r="I2" s="2879"/>
      <c r="J2" s="2837" t="s">
        <v>82</v>
      </c>
      <c r="K2" s="2879"/>
      <c r="L2" s="2837" t="s">
        <v>83</v>
      </c>
      <c r="M2" s="2879"/>
      <c r="N2" s="2837" t="s">
        <v>84</v>
      </c>
      <c r="O2" s="2813"/>
      <c r="P2" s="2837" t="s">
        <v>394</v>
      </c>
      <c r="Q2" s="2813"/>
      <c r="R2" s="2837" t="s">
        <v>395</v>
      </c>
      <c r="S2" s="2813"/>
      <c r="T2" s="2837" t="s">
        <v>396</v>
      </c>
      <c r="U2" s="2813"/>
      <c r="V2" s="2837" t="s">
        <v>397</v>
      </c>
      <c r="W2" s="2813"/>
      <c r="X2" s="2837" t="s">
        <v>398</v>
      </c>
      <c r="Y2" s="2813"/>
    </row>
    <row r="3" spans="1:25" s="48" customFormat="1" ht="18.75" customHeight="1">
      <c r="A3" s="2839"/>
      <c r="B3" s="2839"/>
      <c r="C3" s="2839"/>
      <c r="D3" s="395" t="s">
        <v>85</v>
      </c>
      <c r="E3" s="396" t="s">
        <v>86</v>
      </c>
      <c r="F3" s="397" t="s">
        <v>399</v>
      </c>
      <c r="G3" s="398" t="s">
        <v>400</v>
      </c>
      <c r="H3" s="398" t="s">
        <v>399</v>
      </c>
      <c r="I3" s="398" t="s">
        <v>400</v>
      </c>
      <c r="J3" s="398" t="s">
        <v>399</v>
      </c>
      <c r="K3" s="398" t="s">
        <v>400</v>
      </c>
      <c r="L3" s="398" t="s">
        <v>399</v>
      </c>
      <c r="M3" s="398" t="s">
        <v>400</v>
      </c>
      <c r="N3" s="398" t="s">
        <v>399</v>
      </c>
      <c r="O3" s="398" t="s">
        <v>400</v>
      </c>
      <c r="P3" s="398" t="s">
        <v>399</v>
      </c>
      <c r="Q3" s="398" t="s">
        <v>400</v>
      </c>
      <c r="R3" s="398" t="s">
        <v>399</v>
      </c>
      <c r="S3" s="398" t="s">
        <v>400</v>
      </c>
      <c r="T3" s="398" t="s">
        <v>399</v>
      </c>
      <c r="U3" s="398" t="s">
        <v>400</v>
      </c>
      <c r="V3" s="398" t="s">
        <v>399</v>
      </c>
      <c r="W3" s="398" t="s">
        <v>400</v>
      </c>
      <c r="X3" s="398" t="s">
        <v>399</v>
      </c>
      <c r="Y3" s="399" t="s">
        <v>400</v>
      </c>
    </row>
    <row r="4" spans="1:25" s="48" customFormat="1" ht="18.75" customHeight="1">
      <c r="A4" s="2876" t="s">
        <v>87</v>
      </c>
      <c r="B4" s="2877"/>
      <c r="C4" s="2869"/>
      <c r="D4" s="237">
        <v>39927</v>
      </c>
      <c r="E4" s="238">
        <v>100</v>
      </c>
      <c r="F4" s="268">
        <v>37554</v>
      </c>
      <c r="G4" s="400">
        <v>100</v>
      </c>
      <c r="H4" s="268">
        <v>36278</v>
      </c>
      <c r="I4" s="400">
        <v>100</v>
      </c>
      <c r="J4" s="268">
        <v>37059</v>
      </c>
      <c r="K4" s="400">
        <v>100</v>
      </c>
      <c r="L4" s="268">
        <v>33468</v>
      </c>
      <c r="M4" s="402">
        <v>100</v>
      </c>
      <c r="N4" s="268">
        <v>34574</v>
      </c>
      <c r="O4" s="402">
        <v>100</v>
      </c>
      <c r="P4" s="271">
        <v>33913</v>
      </c>
      <c r="Q4" s="73">
        <v>100</v>
      </c>
      <c r="R4" s="70">
        <v>31543</v>
      </c>
      <c r="S4" s="73">
        <v>100</v>
      </c>
      <c r="T4" s="273">
        <v>32204</v>
      </c>
      <c r="U4" s="73">
        <v>100</v>
      </c>
      <c r="V4" s="273">
        <v>32028</v>
      </c>
      <c r="W4" s="32">
        <v>100</v>
      </c>
      <c r="X4" s="267">
        <v>31398</v>
      </c>
      <c r="Y4" s="404">
        <v>100</v>
      </c>
    </row>
    <row r="5" spans="1:25" s="48" customFormat="1" ht="18.75" customHeight="1">
      <c r="A5" s="2878" t="s">
        <v>88</v>
      </c>
      <c r="B5" s="2873" t="s">
        <v>401</v>
      </c>
      <c r="C5" s="2869"/>
      <c r="D5" s="239">
        <v>9409</v>
      </c>
      <c r="E5" s="240">
        <v>23.57</v>
      </c>
      <c r="F5" s="268">
        <v>14625</v>
      </c>
      <c r="G5" s="400">
        <v>38.94</v>
      </c>
      <c r="H5" s="268">
        <v>15122</v>
      </c>
      <c r="I5" s="400">
        <v>41.68</v>
      </c>
      <c r="J5" s="268">
        <v>17476</v>
      </c>
      <c r="K5" s="400">
        <v>47.16</v>
      </c>
      <c r="L5" s="268">
        <v>16995</v>
      </c>
      <c r="M5" s="402">
        <v>50.78</v>
      </c>
      <c r="N5" s="268">
        <v>18640</v>
      </c>
      <c r="O5" s="402">
        <v>53.91</v>
      </c>
      <c r="P5" s="271">
        <v>18128</v>
      </c>
      <c r="Q5" s="73">
        <v>53.45</v>
      </c>
      <c r="R5" s="70">
        <v>17766</v>
      </c>
      <c r="S5" s="73">
        <v>56.32</v>
      </c>
      <c r="T5" s="274">
        <v>19251</v>
      </c>
      <c r="U5" s="73">
        <v>59.778288411377467</v>
      </c>
      <c r="V5" s="274">
        <v>19803</v>
      </c>
      <c r="W5" s="32">
        <v>61.830273510678154</v>
      </c>
      <c r="X5" s="267">
        <v>18981</v>
      </c>
      <c r="Y5" s="404">
        <v>60.45</v>
      </c>
    </row>
    <row r="6" spans="1:25" s="48" customFormat="1" ht="18.75" customHeight="1">
      <c r="A6" s="2867"/>
      <c r="B6" s="2872" t="s">
        <v>90</v>
      </c>
      <c r="C6" s="2798"/>
      <c r="D6" s="239">
        <v>7509</v>
      </c>
      <c r="E6" s="240">
        <v>18.809999999999999</v>
      </c>
      <c r="F6" s="268">
        <v>13196</v>
      </c>
      <c r="G6" s="400">
        <v>35.14</v>
      </c>
      <c r="H6" s="268">
        <v>13560</v>
      </c>
      <c r="I6" s="400">
        <v>37.380000000000003</v>
      </c>
      <c r="J6" s="268">
        <v>15728</v>
      </c>
      <c r="K6" s="400">
        <v>42.44</v>
      </c>
      <c r="L6" s="268">
        <v>15225</v>
      </c>
      <c r="M6" s="402">
        <v>45.49</v>
      </c>
      <c r="N6" s="268">
        <v>17215</v>
      </c>
      <c r="O6" s="402">
        <v>49.79</v>
      </c>
      <c r="P6" s="271">
        <v>16938</v>
      </c>
      <c r="Q6" s="73">
        <v>49.95</v>
      </c>
      <c r="R6" s="70">
        <v>16733</v>
      </c>
      <c r="S6" s="73">
        <v>53.05</v>
      </c>
      <c r="T6" s="274">
        <v>18106</v>
      </c>
      <c r="U6" s="73">
        <v>56.222829462178616</v>
      </c>
      <c r="V6" s="274">
        <v>18676</v>
      </c>
      <c r="W6" s="32">
        <v>58.311477457224925</v>
      </c>
      <c r="X6" s="267">
        <v>17978</v>
      </c>
      <c r="Y6" s="404">
        <v>57.26</v>
      </c>
    </row>
    <row r="7" spans="1:25" s="48" customFormat="1" ht="18.75" customHeight="1">
      <c r="A7" s="2867"/>
      <c r="B7" s="2872" t="s">
        <v>91</v>
      </c>
      <c r="C7" s="2798"/>
      <c r="D7" s="239">
        <v>1900</v>
      </c>
      <c r="E7" s="240">
        <v>4.76</v>
      </c>
      <c r="F7" s="268">
        <v>1429</v>
      </c>
      <c r="G7" s="400">
        <v>3.81</v>
      </c>
      <c r="H7" s="268">
        <v>1562</v>
      </c>
      <c r="I7" s="400">
        <v>4.3099999999999996</v>
      </c>
      <c r="J7" s="268">
        <v>1748</v>
      </c>
      <c r="K7" s="400">
        <v>4.72</v>
      </c>
      <c r="L7" s="268">
        <v>1770</v>
      </c>
      <c r="M7" s="402">
        <v>5.29</v>
      </c>
      <c r="N7" s="268">
        <v>1425</v>
      </c>
      <c r="O7" s="402">
        <v>4.12</v>
      </c>
      <c r="P7" s="271">
        <v>1190</v>
      </c>
      <c r="Q7" s="73">
        <v>3.51</v>
      </c>
      <c r="R7" s="70">
        <v>1033</v>
      </c>
      <c r="S7" s="73">
        <v>3.27</v>
      </c>
      <c r="T7" s="274">
        <v>1145</v>
      </c>
      <c r="U7" s="73">
        <v>3.5554589491988571</v>
      </c>
      <c r="V7" s="274">
        <v>1127</v>
      </c>
      <c r="W7" s="32">
        <v>3.5187960534532285</v>
      </c>
      <c r="X7" s="267">
        <v>1003</v>
      </c>
      <c r="Y7" s="404">
        <v>3.19</v>
      </c>
    </row>
    <row r="8" spans="1:25" s="48" customFormat="1" ht="18.75" customHeight="1">
      <c r="A8" s="2866" t="s">
        <v>92</v>
      </c>
      <c r="B8" s="2868" t="s">
        <v>93</v>
      </c>
      <c r="C8" s="2869"/>
      <c r="D8" s="239">
        <v>19588</v>
      </c>
      <c r="E8" s="240">
        <v>49.06</v>
      </c>
      <c r="F8" s="268">
        <v>14620</v>
      </c>
      <c r="G8" s="400">
        <v>38.93</v>
      </c>
      <c r="H8" s="268">
        <v>13402</v>
      </c>
      <c r="I8" s="400">
        <v>36.94</v>
      </c>
      <c r="J8" s="268">
        <v>13350</v>
      </c>
      <c r="K8" s="400">
        <v>36.020000000000003</v>
      </c>
      <c r="L8" s="268">
        <v>11716</v>
      </c>
      <c r="M8" s="402">
        <v>35.01</v>
      </c>
      <c r="N8" s="268">
        <v>10733</v>
      </c>
      <c r="O8" s="402">
        <v>31.04</v>
      </c>
      <c r="P8" s="271">
        <v>10138</v>
      </c>
      <c r="Q8" s="73">
        <v>29.89</v>
      </c>
      <c r="R8" s="70">
        <v>8575</v>
      </c>
      <c r="S8" s="73">
        <v>27.19</v>
      </c>
      <c r="T8" s="274">
        <v>8350</v>
      </c>
      <c r="U8" s="73">
        <v>25.92845609241088</v>
      </c>
      <c r="V8" s="274">
        <v>8440</v>
      </c>
      <c r="W8" s="32">
        <v>26.351942050705635</v>
      </c>
      <c r="X8" s="267">
        <v>7487</v>
      </c>
      <c r="Y8" s="404">
        <v>23.85</v>
      </c>
    </row>
    <row r="9" spans="1:25" s="48" customFormat="1" ht="18.75" customHeight="1">
      <c r="A9" s="2867"/>
      <c r="B9" s="2870" t="s">
        <v>94</v>
      </c>
      <c r="C9" s="407" t="s">
        <v>89</v>
      </c>
      <c r="D9" s="239">
        <v>14526</v>
      </c>
      <c r="E9" s="240">
        <v>36.380000000000003</v>
      </c>
      <c r="F9" s="268">
        <v>11456</v>
      </c>
      <c r="G9" s="400">
        <v>30.51</v>
      </c>
      <c r="H9" s="268">
        <v>10603</v>
      </c>
      <c r="I9" s="400">
        <v>29.23</v>
      </c>
      <c r="J9" s="268">
        <v>11168</v>
      </c>
      <c r="K9" s="400">
        <v>30.14</v>
      </c>
      <c r="L9" s="268">
        <v>9852</v>
      </c>
      <c r="M9" s="402">
        <v>29.44</v>
      </c>
      <c r="N9" s="268">
        <v>9098</v>
      </c>
      <c r="O9" s="402">
        <v>26.31</v>
      </c>
      <c r="P9" s="271">
        <v>8695</v>
      </c>
      <c r="Q9" s="73">
        <v>25.64</v>
      </c>
      <c r="R9" s="70">
        <v>7220</v>
      </c>
      <c r="S9" s="73">
        <v>22.89</v>
      </c>
      <c r="T9" s="274">
        <v>7101</v>
      </c>
      <c r="U9" s="73">
        <v>22.050055893677804</v>
      </c>
      <c r="V9" s="274">
        <v>7370</v>
      </c>
      <c r="W9" s="32">
        <v>23.011115274135133</v>
      </c>
      <c r="X9" s="267">
        <v>6605</v>
      </c>
      <c r="Y9" s="404">
        <v>21.04</v>
      </c>
    </row>
    <row r="10" spans="1:25" s="48" customFormat="1" ht="18.75" customHeight="1">
      <c r="A10" s="2867"/>
      <c r="B10" s="2871"/>
      <c r="C10" s="408" t="s">
        <v>97</v>
      </c>
      <c r="D10" s="239">
        <v>9857</v>
      </c>
      <c r="E10" s="240">
        <v>24.69</v>
      </c>
      <c r="F10" s="268">
        <v>7556</v>
      </c>
      <c r="G10" s="400">
        <v>20.12</v>
      </c>
      <c r="H10" s="268">
        <v>6808</v>
      </c>
      <c r="I10" s="400">
        <v>18.77</v>
      </c>
      <c r="J10" s="268">
        <v>7166</v>
      </c>
      <c r="K10" s="400">
        <v>19.34</v>
      </c>
      <c r="L10" s="268">
        <v>6704</v>
      </c>
      <c r="M10" s="402">
        <v>20.03</v>
      </c>
      <c r="N10" s="268">
        <v>6165</v>
      </c>
      <c r="O10" s="402">
        <v>17.829999999999998</v>
      </c>
      <c r="P10" s="271">
        <v>6298</v>
      </c>
      <c r="Q10" s="73">
        <v>18.57</v>
      </c>
      <c r="R10" s="70">
        <v>5361</v>
      </c>
      <c r="S10" s="73">
        <v>17</v>
      </c>
      <c r="T10" s="274">
        <v>5110</v>
      </c>
      <c r="U10" s="73">
        <v>15.86759408769097</v>
      </c>
      <c r="V10" s="274">
        <v>5142</v>
      </c>
      <c r="W10" s="32">
        <v>16.05470213563132</v>
      </c>
      <c r="X10" s="267">
        <v>4508</v>
      </c>
      <c r="Y10" s="404">
        <v>14.36</v>
      </c>
    </row>
    <row r="11" spans="1:25" s="48" customFormat="1" ht="18.75" customHeight="1">
      <c r="A11" s="2867"/>
      <c r="B11" s="2871"/>
      <c r="C11" s="408" t="s">
        <v>98</v>
      </c>
      <c r="D11" s="239">
        <v>3758</v>
      </c>
      <c r="E11" s="240">
        <v>9.41</v>
      </c>
      <c r="F11" s="268">
        <v>3100</v>
      </c>
      <c r="G11" s="400">
        <v>8.25</v>
      </c>
      <c r="H11" s="268">
        <v>3105</v>
      </c>
      <c r="I11" s="400">
        <v>8.56</v>
      </c>
      <c r="J11" s="268">
        <v>3281</v>
      </c>
      <c r="K11" s="400">
        <v>8.85</v>
      </c>
      <c r="L11" s="268">
        <v>2560</v>
      </c>
      <c r="M11" s="402">
        <v>7.65</v>
      </c>
      <c r="N11" s="268">
        <v>2243</v>
      </c>
      <c r="O11" s="402">
        <v>6.49</v>
      </c>
      <c r="P11" s="271">
        <v>1788</v>
      </c>
      <c r="Q11" s="73">
        <v>5.27</v>
      </c>
      <c r="R11" s="70">
        <v>1411</v>
      </c>
      <c r="S11" s="73">
        <v>4.47</v>
      </c>
      <c r="T11" s="274">
        <v>1501</v>
      </c>
      <c r="U11" s="73">
        <v>4.6609116879890697</v>
      </c>
      <c r="V11" s="274">
        <v>1720</v>
      </c>
      <c r="W11" s="32">
        <v>5.3703009866366926</v>
      </c>
      <c r="X11" s="267">
        <v>1812</v>
      </c>
      <c r="Y11" s="404">
        <v>5.77</v>
      </c>
    </row>
    <row r="12" spans="1:25" s="48" customFormat="1" ht="18.75" customHeight="1">
      <c r="A12" s="2867"/>
      <c r="B12" s="2871"/>
      <c r="C12" s="408" t="s">
        <v>96</v>
      </c>
      <c r="D12" s="239">
        <v>344</v>
      </c>
      <c r="E12" s="240">
        <v>0.86</v>
      </c>
      <c r="F12" s="268">
        <v>232</v>
      </c>
      <c r="G12" s="400">
        <v>0.62</v>
      </c>
      <c r="H12" s="268">
        <v>211</v>
      </c>
      <c r="I12" s="400">
        <v>0.57999999999999996</v>
      </c>
      <c r="J12" s="268">
        <v>214</v>
      </c>
      <c r="K12" s="400">
        <v>0.57999999999999996</v>
      </c>
      <c r="L12" s="268">
        <v>160</v>
      </c>
      <c r="M12" s="402">
        <v>0.48</v>
      </c>
      <c r="N12" s="268">
        <v>201</v>
      </c>
      <c r="O12" s="402">
        <v>0.57999999999999996</v>
      </c>
      <c r="P12" s="271">
        <v>145</v>
      </c>
      <c r="Q12" s="73">
        <v>0.43</v>
      </c>
      <c r="R12" s="70">
        <v>131</v>
      </c>
      <c r="S12" s="73">
        <v>0.42</v>
      </c>
      <c r="T12" s="274">
        <v>127</v>
      </c>
      <c r="U12" s="73">
        <v>0.39436094895044088</v>
      </c>
      <c r="V12" s="274">
        <v>127</v>
      </c>
      <c r="W12" s="32">
        <v>0.3965280379667791</v>
      </c>
      <c r="X12" s="267">
        <v>145</v>
      </c>
      <c r="Y12" s="404">
        <v>0.46</v>
      </c>
    </row>
    <row r="13" spans="1:25" s="48" customFormat="1" ht="18.75" customHeight="1">
      <c r="A13" s="2867"/>
      <c r="B13" s="2871"/>
      <c r="C13" s="408" t="s">
        <v>95</v>
      </c>
      <c r="D13" s="239">
        <v>55</v>
      </c>
      <c r="E13" s="240">
        <v>0.14000000000000001</v>
      </c>
      <c r="F13" s="268">
        <v>31</v>
      </c>
      <c r="G13" s="400">
        <v>0.08</v>
      </c>
      <c r="H13" s="268">
        <v>30</v>
      </c>
      <c r="I13" s="400">
        <v>0.08</v>
      </c>
      <c r="J13" s="268">
        <v>21</v>
      </c>
      <c r="K13" s="400">
        <v>0.06</v>
      </c>
      <c r="L13" s="268">
        <v>12</v>
      </c>
      <c r="M13" s="402">
        <v>0.04</v>
      </c>
      <c r="N13" s="268">
        <v>24</v>
      </c>
      <c r="O13" s="402">
        <v>7.0000000000000007E-2</v>
      </c>
      <c r="P13" s="271">
        <v>24</v>
      </c>
      <c r="Q13" s="73">
        <v>7.0000000000000007E-2</v>
      </c>
      <c r="R13" s="70">
        <v>23</v>
      </c>
      <c r="S13" s="73">
        <v>7.0000000000000007E-2</v>
      </c>
      <c r="T13" s="274">
        <v>21</v>
      </c>
      <c r="U13" s="73">
        <v>6.5209290771332751E-2</v>
      </c>
      <c r="V13" s="274">
        <v>11</v>
      </c>
      <c r="W13" s="32">
        <v>3.4344948170350942E-2</v>
      </c>
      <c r="X13" s="267">
        <v>16</v>
      </c>
      <c r="Y13" s="404">
        <v>0.05</v>
      </c>
    </row>
    <row r="14" spans="1:25" s="48" customFormat="1" ht="18.75" customHeight="1">
      <c r="A14" s="2867"/>
      <c r="B14" s="2871"/>
      <c r="C14" s="408" t="s">
        <v>99</v>
      </c>
      <c r="D14" s="239">
        <v>512</v>
      </c>
      <c r="E14" s="240">
        <v>1.28</v>
      </c>
      <c r="F14" s="268">
        <v>537</v>
      </c>
      <c r="G14" s="400">
        <v>1.43</v>
      </c>
      <c r="H14" s="268">
        <v>449</v>
      </c>
      <c r="I14" s="400">
        <v>1.24</v>
      </c>
      <c r="J14" s="268">
        <v>486</v>
      </c>
      <c r="K14" s="400">
        <v>1.31</v>
      </c>
      <c r="L14" s="268">
        <v>416</v>
      </c>
      <c r="M14" s="402">
        <v>1.24</v>
      </c>
      <c r="N14" s="268">
        <v>465</v>
      </c>
      <c r="O14" s="402">
        <v>1.34</v>
      </c>
      <c r="P14" s="271">
        <v>440</v>
      </c>
      <c r="Q14" s="73">
        <v>1.3</v>
      </c>
      <c r="R14" s="70">
        <v>294</v>
      </c>
      <c r="S14" s="73">
        <v>0.93</v>
      </c>
      <c r="T14" s="274">
        <v>342</v>
      </c>
      <c r="U14" s="73">
        <v>1.0619798782759906</v>
      </c>
      <c r="V14" s="274">
        <v>370</v>
      </c>
      <c r="W14" s="32">
        <v>1.1552391657299863</v>
      </c>
      <c r="X14" s="267">
        <v>124</v>
      </c>
      <c r="Y14" s="404">
        <v>0.39</v>
      </c>
    </row>
    <row r="15" spans="1:25" s="48" customFormat="1" ht="18.75" customHeight="1">
      <c r="A15" s="2867"/>
      <c r="B15" s="2870" t="s">
        <v>100</v>
      </c>
      <c r="C15" s="407" t="s">
        <v>89</v>
      </c>
      <c r="D15" s="239">
        <v>5062</v>
      </c>
      <c r="E15" s="240">
        <v>12.68</v>
      </c>
      <c r="F15" s="268">
        <v>3164</v>
      </c>
      <c r="G15" s="400">
        <v>8.43</v>
      </c>
      <c r="H15" s="268">
        <v>2799</v>
      </c>
      <c r="I15" s="400">
        <v>7.72</v>
      </c>
      <c r="J15" s="268">
        <v>2182</v>
      </c>
      <c r="K15" s="400">
        <v>5.89</v>
      </c>
      <c r="L15" s="268">
        <v>1864</v>
      </c>
      <c r="M15" s="402">
        <v>5.57</v>
      </c>
      <c r="N15" s="268">
        <v>1635</v>
      </c>
      <c r="O15" s="402">
        <v>4.7300000000000004</v>
      </c>
      <c r="P15" s="271">
        <v>1443</v>
      </c>
      <c r="Q15" s="73">
        <v>4.26</v>
      </c>
      <c r="R15" s="70">
        <v>1355</v>
      </c>
      <c r="S15" s="73">
        <v>4.3</v>
      </c>
      <c r="T15" s="274">
        <v>1249</v>
      </c>
      <c r="U15" s="73">
        <v>3.8784001987330763</v>
      </c>
      <c r="V15" s="274">
        <v>1070</v>
      </c>
      <c r="W15" s="32">
        <v>3.3408267765705006</v>
      </c>
      <c r="X15" s="267">
        <v>882</v>
      </c>
      <c r="Y15" s="404">
        <v>2.81</v>
      </c>
    </row>
    <row r="16" spans="1:25" s="48" customFormat="1" ht="18.75" customHeight="1">
      <c r="A16" s="2867"/>
      <c r="B16" s="2871"/>
      <c r="C16" s="408" t="s">
        <v>97</v>
      </c>
      <c r="D16" s="239">
        <v>3907</v>
      </c>
      <c r="E16" s="240">
        <v>9.7899999999999991</v>
      </c>
      <c r="F16" s="268">
        <v>2353</v>
      </c>
      <c r="G16" s="400">
        <v>6.27</v>
      </c>
      <c r="H16" s="268">
        <v>2040</v>
      </c>
      <c r="I16" s="400">
        <v>5.62</v>
      </c>
      <c r="J16" s="268">
        <v>1577</v>
      </c>
      <c r="K16" s="400">
        <v>4.26</v>
      </c>
      <c r="L16" s="268">
        <v>1501</v>
      </c>
      <c r="M16" s="402">
        <v>4.4800000000000004</v>
      </c>
      <c r="N16" s="268">
        <v>1304</v>
      </c>
      <c r="O16" s="402">
        <v>3.77</v>
      </c>
      <c r="P16" s="271">
        <v>1110</v>
      </c>
      <c r="Q16" s="73">
        <v>3.27</v>
      </c>
      <c r="R16" s="70">
        <v>1057</v>
      </c>
      <c r="S16" s="73">
        <v>3.35</v>
      </c>
      <c r="T16" s="274">
        <v>958</v>
      </c>
      <c r="U16" s="73">
        <v>2.9747857409017513</v>
      </c>
      <c r="V16" s="274">
        <v>832</v>
      </c>
      <c r="W16" s="32">
        <v>2.5977269888847259</v>
      </c>
      <c r="X16" s="267">
        <v>702</v>
      </c>
      <c r="Y16" s="404">
        <v>2.2400000000000002</v>
      </c>
    </row>
    <row r="17" spans="1:25" s="48" customFormat="1" ht="18.75" customHeight="1">
      <c r="A17" s="2867"/>
      <c r="B17" s="2871"/>
      <c r="C17" s="408" t="s">
        <v>98</v>
      </c>
      <c r="D17" s="239">
        <v>656</v>
      </c>
      <c r="E17" s="240">
        <v>1.64</v>
      </c>
      <c r="F17" s="268">
        <v>352</v>
      </c>
      <c r="G17" s="400">
        <v>0.94</v>
      </c>
      <c r="H17" s="268">
        <v>331</v>
      </c>
      <c r="I17" s="400">
        <v>0.91</v>
      </c>
      <c r="J17" s="268">
        <v>388</v>
      </c>
      <c r="K17" s="400">
        <v>1.05</v>
      </c>
      <c r="L17" s="268">
        <v>255</v>
      </c>
      <c r="M17" s="402">
        <v>0.76</v>
      </c>
      <c r="N17" s="268">
        <v>215</v>
      </c>
      <c r="O17" s="402">
        <v>0.62</v>
      </c>
      <c r="P17" s="271">
        <v>212</v>
      </c>
      <c r="Q17" s="73">
        <v>0.63</v>
      </c>
      <c r="R17" s="70">
        <v>158</v>
      </c>
      <c r="S17" s="73">
        <v>0.5</v>
      </c>
      <c r="T17" s="274">
        <v>167</v>
      </c>
      <c r="U17" s="73">
        <v>0.51856912184821757</v>
      </c>
      <c r="V17" s="274">
        <v>151</v>
      </c>
      <c r="W17" s="32">
        <v>0.4714624703384539</v>
      </c>
      <c r="X17" s="267">
        <v>128</v>
      </c>
      <c r="Y17" s="404">
        <v>0.41</v>
      </c>
    </row>
    <row r="18" spans="1:25" s="48" customFormat="1" ht="18.75" customHeight="1">
      <c r="A18" s="2867"/>
      <c r="B18" s="2871"/>
      <c r="C18" s="408" t="s">
        <v>96</v>
      </c>
      <c r="D18" s="239">
        <v>338</v>
      </c>
      <c r="E18" s="240">
        <v>0.85</v>
      </c>
      <c r="F18" s="268">
        <v>266</v>
      </c>
      <c r="G18" s="400">
        <v>0.71</v>
      </c>
      <c r="H18" s="268">
        <v>207</v>
      </c>
      <c r="I18" s="400">
        <v>0.56999999999999995</v>
      </c>
      <c r="J18" s="268">
        <v>130</v>
      </c>
      <c r="K18" s="400">
        <v>0.35</v>
      </c>
      <c r="L18" s="268">
        <v>63</v>
      </c>
      <c r="M18" s="402">
        <v>0.19</v>
      </c>
      <c r="N18" s="268">
        <v>65</v>
      </c>
      <c r="O18" s="402">
        <v>0.19</v>
      </c>
      <c r="P18" s="271">
        <v>73</v>
      </c>
      <c r="Q18" s="73">
        <v>0.22</v>
      </c>
      <c r="R18" s="70">
        <v>88</v>
      </c>
      <c r="S18" s="73">
        <v>0.28000000000000003</v>
      </c>
      <c r="T18" s="274">
        <v>87</v>
      </c>
      <c r="U18" s="73">
        <v>0.27015277605266425</v>
      </c>
      <c r="V18" s="274">
        <v>50</v>
      </c>
      <c r="W18" s="32">
        <v>0.15611340077432248</v>
      </c>
      <c r="X18" s="267">
        <v>45</v>
      </c>
      <c r="Y18" s="404">
        <v>0.14000000000000001</v>
      </c>
    </row>
    <row r="19" spans="1:25" s="48" customFormat="1" ht="18.75" customHeight="1">
      <c r="A19" s="2867"/>
      <c r="B19" s="2871"/>
      <c r="C19" s="408" t="s">
        <v>95</v>
      </c>
      <c r="D19" s="239">
        <v>8</v>
      </c>
      <c r="E19" s="240">
        <v>0.02</v>
      </c>
      <c r="F19" s="268">
        <v>8</v>
      </c>
      <c r="G19" s="400">
        <v>0.02</v>
      </c>
      <c r="H19" s="268">
        <v>6</v>
      </c>
      <c r="I19" s="400">
        <v>0.02</v>
      </c>
      <c r="J19" s="268">
        <v>2</v>
      </c>
      <c r="K19" s="400">
        <v>0.01</v>
      </c>
      <c r="L19" s="268">
        <v>2</v>
      </c>
      <c r="M19" s="402">
        <v>0.01</v>
      </c>
      <c r="N19" s="268">
        <v>5</v>
      </c>
      <c r="O19" s="402">
        <v>0.01</v>
      </c>
      <c r="P19" s="271">
        <v>8</v>
      </c>
      <c r="Q19" s="73">
        <v>0.02</v>
      </c>
      <c r="R19" s="70">
        <v>9</v>
      </c>
      <c r="S19" s="73">
        <v>0.03</v>
      </c>
      <c r="T19" s="274">
        <v>8</v>
      </c>
      <c r="U19" s="73">
        <v>2.4841634579555332E-2</v>
      </c>
      <c r="V19" s="274">
        <v>9</v>
      </c>
      <c r="W19" s="32">
        <v>2.8100412139378046E-2</v>
      </c>
      <c r="X19" s="267">
        <v>3</v>
      </c>
      <c r="Y19" s="404">
        <v>0.01</v>
      </c>
    </row>
    <row r="20" spans="1:25" s="48" customFormat="1" ht="18.75" customHeight="1">
      <c r="A20" s="2867"/>
      <c r="B20" s="2871"/>
      <c r="C20" s="408" t="s">
        <v>99</v>
      </c>
      <c r="D20" s="239">
        <v>153</v>
      </c>
      <c r="E20" s="240">
        <v>0.38</v>
      </c>
      <c r="F20" s="268">
        <v>185</v>
      </c>
      <c r="G20" s="400">
        <v>0.49</v>
      </c>
      <c r="H20" s="268">
        <v>215</v>
      </c>
      <c r="I20" s="400">
        <v>0.59</v>
      </c>
      <c r="J20" s="268">
        <v>85</v>
      </c>
      <c r="K20" s="400">
        <v>0.23</v>
      </c>
      <c r="L20" s="268">
        <v>43</v>
      </c>
      <c r="M20" s="402">
        <v>0.13</v>
      </c>
      <c r="N20" s="268">
        <v>46</v>
      </c>
      <c r="O20" s="402">
        <v>0.13</v>
      </c>
      <c r="P20" s="271">
        <v>40</v>
      </c>
      <c r="Q20" s="73">
        <v>0.12</v>
      </c>
      <c r="R20" s="70">
        <v>43</v>
      </c>
      <c r="S20" s="73">
        <v>0.14000000000000001</v>
      </c>
      <c r="T20" s="274">
        <v>29</v>
      </c>
      <c r="U20" s="73">
        <v>9.0050925350888086E-2</v>
      </c>
      <c r="V20" s="274">
        <v>28</v>
      </c>
      <c r="W20" s="32">
        <v>8.7423504433620583E-2</v>
      </c>
      <c r="X20" s="267">
        <v>4</v>
      </c>
      <c r="Y20" s="404">
        <v>0.01</v>
      </c>
    </row>
    <row r="21" spans="1:25" s="9" customFormat="1" ht="18.75" customHeight="1">
      <c r="A21" s="2881" t="s">
        <v>102</v>
      </c>
      <c r="B21" s="2883" t="s">
        <v>103</v>
      </c>
      <c r="C21" s="2884"/>
      <c r="D21" s="293">
        <f t="shared" ref="D21" si="0">IF(B21&lt;&gt;"--",IF(E21&lt;&gt;"--",SUM(B21)-SUM(E21),"--"),"--")</f>
        <v>-432</v>
      </c>
      <c r="E21" s="293">
        <f>SUM(E22:E27)</f>
        <v>432</v>
      </c>
      <c r="F21" s="410" t="s">
        <v>5</v>
      </c>
      <c r="G21" s="410" t="s">
        <v>5</v>
      </c>
      <c r="H21" s="410" t="s">
        <v>5</v>
      </c>
      <c r="I21" s="410" t="s">
        <v>5</v>
      </c>
      <c r="J21" s="410" t="s">
        <v>5</v>
      </c>
      <c r="K21" s="411" t="s">
        <v>5</v>
      </c>
      <c r="L21" s="411" t="s">
        <v>5</v>
      </c>
      <c r="M21" s="411" t="s">
        <v>5</v>
      </c>
      <c r="N21" s="411" t="s">
        <v>5</v>
      </c>
      <c r="O21" s="378" t="s">
        <v>5</v>
      </c>
      <c r="P21" s="410" t="s">
        <v>5</v>
      </c>
      <c r="Q21" s="411" t="s">
        <v>5</v>
      </c>
      <c r="R21" s="411" t="s">
        <v>5</v>
      </c>
      <c r="S21" s="411" t="s">
        <v>5</v>
      </c>
      <c r="T21" s="411" t="s">
        <v>5</v>
      </c>
      <c r="U21" s="411" t="s">
        <v>5</v>
      </c>
      <c r="V21" s="411" t="s">
        <v>5</v>
      </c>
      <c r="W21" s="411" t="s">
        <v>5</v>
      </c>
      <c r="X21" s="267">
        <v>2072</v>
      </c>
      <c r="Y21" s="405">
        <v>6.6</v>
      </c>
    </row>
    <row r="22" spans="1:25" s="9" customFormat="1" ht="18.75" customHeight="1">
      <c r="A22" s="2882"/>
      <c r="B22" s="2885" t="s">
        <v>108</v>
      </c>
      <c r="C22" s="2886"/>
      <c r="D22" s="293">
        <f t="shared" ref="D22:D27" si="1">IF(B22&lt;&gt;"--",IF(E22&lt;&gt;"--",SUM(B22)-SUM(E22),"--"),"--")</f>
        <v>-369</v>
      </c>
      <c r="E22" s="293">
        <v>369</v>
      </c>
      <c r="F22" s="410" t="s">
        <v>5</v>
      </c>
      <c r="G22" s="410" t="s">
        <v>5</v>
      </c>
      <c r="H22" s="410" t="s">
        <v>5</v>
      </c>
      <c r="I22" s="410" t="s">
        <v>5</v>
      </c>
      <c r="J22" s="410" t="s">
        <v>5</v>
      </c>
      <c r="K22" s="411" t="s">
        <v>5</v>
      </c>
      <c r="L22" s="411" t="s">
        <v>5</v>
      </c>
      <c r="M22" s="411" t="s">
        <v>5</v>
      </c>
      <c r="N22" s="411" t="s">
        <v>5</v>
      </c>
      <c r="O22" s="378" t="s">
        <v>5</v>
      </c>
      <c r="P22" s="410" t="s">
        <v>5</v>
      </c>
      <c r="Q22" s="411" t="s">
        <v>5</v>
      </c>
      <c r="R22" s="411" t="s">
        <v>5</v>
      </c>
      <c r="S22" s="411" t="s">
        <v>5</v>
      </c>
      <c r="T22" s="411" t="s">
        <v>5</v>
      </c>
      <c r="U22" s="411" t="s">
        <v>5</v>
      </c>
      <c r="V22" s="411" t="s">
        <v>5</v>
      </c>
      <c r="W22" s="411" t="s">
        <v>5</v>
      </c>
      <c r="X22" s="267">
        <v>1637</v>
      </c>
      <c r="Y22" s="405">
        <v>5.21</v>
      </c>
    </row>
    <row r="23" spans="1:25" s="9" customFormat="1" ht="18.75" customHeight="1">
      <c r="A23" s="2882"/>
      <c r="B23" s="2885" t="s">
        <v>107</v>
      </c>
      <c r="C23" s="2886"/>
      <c r="D23" s="293">
        <f t="shared" si="1"/>
        <v>-53</v>
      </c>
      <c r="E23" s="293">
        <v>53</v>
      </c>
      <c r="F23" s="410" t="s">
        <v>5</v>
      </c>
      <c r="G23" s="410" t="s">
        <v>5</v>
      </c>
      <c r="H23" s="410" t="s">
        <v>5</v>
      </c>
      <c r="I23" s="410" t="s">
        <v>5</v>
      </c>
      <c r="J23" s="410" t="s">
        <v>5</v>
      </c>
      <c r="K23" s="411" t="s">
        <v>5</v>
      </c>
      <c r="L23" s="411" t="s">
        <v>5</v>
      </c>
      <c r="M23" s="411" t="s">
        <v>5</v>
      </c>
      <c r="N23" s="411" t="s">
        <v>5</v>
      </c>
      <c r="O23" s="378" t="s">
        <v>5</v>
      </c>
      <c r="P23" s="410" t="s">
        <v>5</v>
      </c>
      <c r="Q23" s="411" t="s">
        <v>5</v>
      </c>
      <c r="R23" s="411" t="s">
        <v>5</v>
      </c>
      <c r="S23" s="411" t="s">
        <v>5</v>
      </c>
      <c r="T23" s="411" t="s">
        <v>5</v>
      </c>
      <c r="U23" s="411" t="s">
        <v>5</v>
      </c>
      <c r="V23" s="411" t="s">
        <v>5</v>
      </c>
      <c r="W23" s="411" t="s">
        <v>5</v>
      </c>
      <c r="X23" s="267">
        <v>249</v>
      </c>
      <c r="Y23" s="405">
        <v>0.79</v>
      </c>
    </row>
    <row r="24" spans="1:25" s="9" customFormat="1" ht="18.75" customHeight="1">
      <c r="A24" s="2882"/>
      <c r="B24" s="2885" t="s">
        <v>104</v>
      </c>
      <c r="C24" s="2886"/>
      <c r="D24" s="293">
        <f t="shared" si="1"/>
        <v>-5</v>
      </c>
      <c r="E24" s="293">
        <v>5</v>
      </c>
      <c r="F24" s="410" t="s">
        <v>5</v>
      </c>
      <c r="G24" s="410" t="s">
        <v>5</v>
      </c>
      <c r="H24" s="410" t="s">
        <v>5</v>
      </c>
      <c r="I24" s="410" t="s">
        <v>5</v>
      </c>
      <c r="J24" s="410" t="s">
        <v>5</v>
      </c>
      <c r="K24" s="411" t="s">
        <v>5</v>
      </c>
      <c r="L24" s="411" t="s">
        <v>5</v>
      </c>
      <c r="M24" s="411" t="s">
        <v>5</v>
      </c>
      <c r="N24" s="411" t="s">
        <v>5</v>
      </c>
      <c r="O24" s="378" t="s">
        <v>5</v>
      </c>
      <c r="P24" s="410" t="s">
        <v>5</v>
      </c>
      <c r="Q24" s="411" t="s">
        <v>5</v>
      </c>
      <c r="R24" s="411" t="s">
        <v>5</v>
      </c>
      <c r="S24" s="411" t="s">
        <v>5</v>
      </c>
      <c r="T24" s="411" t="s">
        <v>5</v>
      </c>
      <c r="U24" s="411" t="s">
        <v>5</v>
      </c>
      <c r="V24" s="411" t="s">
        <v>5</v>
      </c>
      <c r="W24" s="411" t="s">
        <v>5</v>
      </c>
      <c r="X24" s="267">
        <v>84</v>
      </c>
      <c r="Y24" s="405">
        <v>0.27</v>
      </c>
    </row>
    <row r="25" spans="1:25" s="9" customFormat="1" ht="18.75" customHeight="1">
      <c r="A25" s="2882"/>
      <c r="B25" s="2885" t="s">
        <v>105</v>
      </c>
      <c r="C25" s="2886"/>
      <c r="D25" s="293">
        <f t="shared" si="1"/>
        <v>-2</v>
      </c>
      <c r="E25" s="293">
        <v>2</v>
      </c>
      <c r="F25" s="410" t="s">
        <v>5</v>
      </c>
      <c r="G25" s="410" t="s">
        <v>5</v>
      </c>
      <c r="H25" s="410" t="s">
        <v>5</v>
      </c>
      <c r="I25" s="410" t="s">
        <v>5</v>
      </c>
      <c r="J25" s="410" t="s">
        <v>5</v>
      </c>
      <c r="K25" s="411" t="s">
        <v>5</v>
      </c>
      <c r="L25" s="411" t="s">
        <v>5</v>
      </c>
      <c r="M25" s="411" t="s">
        <v>5</v>
      </c>
      <c r="N25" s="411" t="s">
        <v>5</v>
      </c>
      <c r="O25" s="378" t="s">
        <v>5</v>
      </c>
      <c r="P25" s="410" t="s">
        <v>5</v>
      </c>
      <c r="Q25" s="411" t="s">
        <v>5</v>
      </c>
      <c r="R25" s="411" t="s">
        <v>5</v>
      </c>
      <c r="S25" s="411" t="s">
        <v>5</v>
      </c>
      <c r="T25" s="411" t="s">
        <v>5</v>
      </c>
      <c r="U25" s="411" t="s">
        <v>5</v>
      </c>
      <c r="V25" s="411" t="s">
        <v>5</v>
      </c>
      <c r="W25" s="411" t="s">
        <v>5</v>
      </c>
      <c r="X25" s="267">
        <v>52</v>
      </c>
      <c r="Y25" s="405">
        <v>0.17</v>
      </c>
    </row>
    <row r="26" spans="1:25" s="9" customFormat="1" ht="18.75" customHeight="1">
      <c r="A26" s="2882"/>
      <c r="B26" s="2885" t="s">
        <v>109</v>
      </c>
      <c r="C26" s="2886"/>
      <c r="D26" s="293">
        <f t="shared" si="1"/>
        <v>-1</v>
      </c>
      <c r="E26" s="293">
        <v>1</v>
      </c>
      <c r="F26" s="410" t="s">
        <v>5</v>
      </c>
      <c r="G26" s="410" t="s">
        <v>5</v>
      </c>
      <c r="H26" s="410" t="s">
        <v>5</v>
      </c>
      <c r="I26" s="410" t="s">
        <v>5</v>
      </c>
      <c r="J26" s="410" t="s">
        <v>5</v>
      </c>
      <c r="K26" s="411" t="s">
        <v>5</v>
      </c>
      <c r="L26" s="411" t="s">
        <v>5</v>
      </c>
      <c r="M26" s="411" t="s">
        <v>5</v>
      </c>
      <c r="N26" s="411" t="s">
        <v>5</v>
      </c>
      <c r="O26" s="378" t="s">
        <v>5</v>
      </c>
      <c r="P26" s="410" t="s">
        <v>5</v>
      </c>
      <c r="Q26" s="411" t="s">
        <v>5</v>
      </c>
      <c r="R26" s="411" t="s">
        <v>5</v>
      </c>
      <c r="S26" s="411" t="s">
        <v>5</v>
      </c>
      <c r="T26" s="411" t="s">
        <v>5</v>
      </c>
      <c r="U26" s="411" t="s">
        <v>5</v>
      </c>
      <c r="V26" s="411" t="s">
        <v>5</v>
      </c>
      <c r="W26" s="411" t="s">
        <v>5</v>
      </c>
      <c r="X26" s="267">
        <v>39</v>
      </c>
      <c r="Y26" s="405">
        <v>0.12</v>
      </c>
    </row>
    <row r="27" spans="1:25" s="9" customFormat="1" ht="18.75" customHeight="1">
      <c r="A27" s="2882"/>
      <c r="B27" s="2885" t="s">
        <v>106</v>
      </c>
      <c r="C27" s="2886"/>
      <c r="D27" s="293">
        <f t="shared" si="1"/>
        <v>-2</v>
      </c>
      <c r="E27" s="293">
        <v>2</v>
      </c>
      <c r="F27" s="410" t="s">
        <v>5</v>
      </c>
      <c r="G27" s="410" t="s">
        <v>5</v>
      </c>
      <c r="H27" s="410" t="s">
        <v>5</v>
      </c>
      <c r="I27" s="410" t="s">
        <v>5</v>
      </c>
      <c r="J27" s="410" t="s">
        <v>5</v>
      </c>
      <c r="K27" s="411" t="s">
        <v>5</v>
      </c>
      <c r="L27" s="411" t="s">
        <v>5</v>
      </c>
      <c r="M27" s="411" t="s">
        <v>5</v>
      </c>
      <c r="N27" s="411" t="s">
        <v>5</v>
      </c>
      <c r="O27" s="378" t="s">
        <v>5</v>
      </c>
      <c r="P27" s="410" t="s">
        <v>5</v>
      </c>
      <c r="Q27" s="411" t="s">
        <v>5</v>
      </c>
      <c r="R27" s="411" t="s">
        <v>5</v>
      </c>
      <c r="S27" s="411" t="s">
        <v>5</v>
      </c>
      <c r="T27" s="411" t="s">
        <v>5</v>
      </c>
      <c r="U27" s="411" t="s">
        <v>5</v>
      </c>
      <c r="V27" s="411" t="s">
        <v>5</v>
      </c>
      <c r="W27" s="411" t="s">
        <v>5</v>
      </c>
      <c r="X27" s="267">
        <v>11</v>
      </c>
      <c r="Y27" s="405">
        <v>0.04</v>
      </c>
    </row>
    <row r="28" spans="1:25" s="48" customFormat="1" ht="18.75" customHeight="1">
      <c r="A28" s="2808" t="s">
        <v>111</v>
      </c>
      <c r="B28" s="2808"/>
      <c r="C28" s="2809"/>
      <c r="D28" s="239">
        <v>6669</v>
      </c>
      <c r="E28" s="240">
        <v>16.7</v>
      </c>
      <c r="F28" s="268">
        <v>4669</v>
      </c>
      <c r="G28" s="400">
        <v>12.43</v>
      </c>
      <c r="H28" s="268">
        <v>4374</v>
      </c>
      <c r="I28" s="400">
        <v>12.06</v>
      </c>
      <c r="J28" s="268">
        <v>3817</v>
      </c>
      <c r="K28" s="400">
        <v>10.3</v>
      </c>
      <c r="L28" s="268">
        <v>3300</v>
      </c>
      <c r="M28" s="402">
        <v>9.86</v>
      </c>
      <c r="N28" s="268">
        <v>3376</v>
      </c>
      <c r="O28" s="402">
        <v>9.76</v>
      </c>
      <c r="P28" s="271">
        <v>3497</v>
      </c>
      <c r="Q28" s="73">
        <v>10.31</v>
      </c>
      <c r="R28" s="70">
        <v>3237</v>
      </c>
      <c r="S28" s="73">
        <v>10.26</v>
      </c>
      <c r="T28" s="274">
        <v>2937</v>
      </c>
      <c r="U28" s="73">
        <v>9.1199850950192527</v>
      </c>
      <c r="V28" s="274">
        <v>2336</v>
      </c>
      <c r="W28" s="32">
        <v>7.2936180841763454</v>
      </c>
      <c r="X28" s="267">
        <v>1916</v>
      </c>
      <c r="Y28" s="404">
        <v>6.1</v>
      </c>
    </row>
    <row r="29" spans="1:25" s="48" customFormat="1" ht="18.75" customHeight="1">
      <c r="A29" s="2797" t="s">
        <v>110</v>
      </c>
      <c r="B29" s="2797"/>
      <c r="C29" s="2798"/>
      <c r="D29" s="239">
        <v>2489</v>
      </c>
      <c r="E29" s="240">
        <v>6.23</v>
      </c>
      <c r="F29" s="268">
        <v>2287</v>
      </c>
      <c r="G29" s="400">
        <v>6.09</v>
      </c>
      <c r="H29" s="268">
        <v>1955</v>
      </c>
      <c r="I29" s="400">
        <v>5.39</v>
      </c>
      <c r="J29" s="294">
        <v>1657</v>
      </c>
      <c r="K29" s="400">
        <v>4.47</v>
      </c>
      <c r="L29" s="268">
        <v>1328</v>
      </c>
      <c r="M29" s="402">
        <v>3.97</v>
      </c>
      <c r="N29" s="305">
        <v>1725</v>
      </c>
      <c r="O29" s="402">
        <v>4.99</v>
      </c>
      <c r="P29" s="271">
        <v>2052</v>
      </c>
      <c r="Q29" s="73">
        <v>6.05</v>
      </c>
      <c r="R29" s="70">
        <v>1793</v>
      </c>
      <c r="S29" s="73">
        <v>5.68</v>
      </c>
      <c r="T29" s="274">
        <v>1297</v>
      </c>
      <c r="U29" s="73">
        <v>4.0274500062104082</v>
      </c>
      <c r="V29" s="274">
        <v>1109</v>
      </c>
      <c r="W29" s="32">
        <v>3.4625952291744722</v>
      </c>
      <c r="X29" s="267">
        <v>694</v>
      </c>
      <c r="Y29" s="404">
        <v>2.21</v>
      </c>
    </row>
    <row r="30" spans="1:25" s="48" customFormat="1" ht="18.75" customHeight="1">
      <c r="A30" s="2874" t="s">
        <v>101</v>
      </c>
      <c r="B30" s="2874"/>
      <c r="C30" s="2875"/>
      <c r="D30" s="239">
        <v>549</v>
      </c>
      <c r="E30" s="240">
        <v>1.38</v>
      </c>
      <c r="F30" s="268">
        <v>437</v>
      </c>
      <c r="G30" s="400">
        <v>1.1599999999999999</v>
      </c>
      <c r="H30" s="268">
        <v>483</v>
      </c>
      <c r="I30" s="400">
        <v>1.33</v>
      </c>
      <c r="J30" s="268">
        <v>244</v>
      </c>
      <c r="K30" s="400">
        <v>0.66</v>
      </c>
      <c r="L30" s="268">
        <v>113</v>
      </c>
      <c r="M30" s="402">
        <v>0.34</v>
      </c>
      <c r="N30" s="350">
        <v>86</v>
      </c>
      <c r="O30" s="402">
        <v>0.25</v>
      </c>
      <c r="P30" s="271">
        <v>90</v>
      </c>
      <c r="Q30" s="73">
        <v>0.27</v>
      </c>
      <c r="R30" s="70">
        <v>146</v>
      </c>
      <c r="S30" s="329">
        <v>0.46</v>
      </c>
      <c r="T30" s="274">
        <v>188</v>
      </c>
      <c r="U30" s="73">
        <v>0.58377841261955044</v>
      </c>
      <c r="V30" s="274">
        <v>202</v>
      </c>
      <c r="W30" s="32">
        <v>0.63069813912826278</v>
      </c>
      <c r="X30" s="267">
        <v>81</v>
      </c>
      <c r="Y30" s="404">
        <v>0.26</v>
      </c>
    </row>
    <row r="31" spans="1:25" s="48" customFormat="1" ht="18.75" customHeight="1">
      <c r="A31" s="2786" t="s">
        <v>99</v>
      </c>
      <c r="B31" s="2786"/>
      <c r="C31" s="2787"/>
      <c r="D31" s="241">
        <v>1223</v>
      </c>
      <c r="E31" s="242">
        <v>3.06</v>
      </c>
      <c r="F31" s="269">
        <v>916</v>
      </c>
      <c r="G31" s="401">
        <v>2.44</v>
      </c>
      <c r="H31" s="269">
        <v>942</v>
      </c>
      <c r="I31" s="401">
        <v>2.6</v>
      </c>
      <c r="J31" s="269">
        <v>515</v>
      </c>
      <c r="K31" s="401">
        <v>1.39</v>
      </c>
      <c r="L31" s="269">
        <v>16</v>
      </c>
      <c r="M31" s="403">
        <v>0.05</v>
      </c>
      <c r="N31" s="270">
        <v>14</v>
      </c>
      <c r="O31" s="403">
        <v>0.04</v>
      </c>
      <c r="P31" s="275">
        <v>8</v>
      </c>
      <c r="Q31" s="74">
        <v>0.02</v>
      </c>
      <c r="R31" s="276">
        <v>26</v>
      </c>
      <c r="S31" s="74">
        <v>0.08</v>
      </c>
      <c r="T31" s="277">
        <v>181</v>
      </c>
      <c r="U31" s="74">
        <v>0.56204198236243941</v>
      </c>
      <c r="V31" s="277">
        <v>138</v>
      </c>
      <c r="W31" s="33">
        <v>0.43087298613713004</v>
      </c>
      <c r="X31" s="278">
        <v>167</v>
      </c>
      <c r="Y31" s="406">
        <v>0.53</v>
      </c>
    </row>
    <row r="32" spans="1:25" s="109" customFormat="1" ht="18.75" customHeight="1">
      <c r="A32" s="2887" t="s">
        <v>116</v>
      </c>
      <c r="B32" s="2887"/>
      <c r="C32" s="2887"/>
      <c r="D32" s="2887"/>
      <c r="E32" s="2887"/>
      <c r="F32" s="2887"/>
    </row>
    <row r="33" spans="1:16" ht="46.5" customHeight="1">
      <c r="A33" s="2888" t="s">
        <v>393</v>
      </c>
      <c r="B33" s="2887"/>
      <c r="C33" s="2887"/>
      <c r="D33" s="2887"/>
      <c r="E33" s="2887"/>
      <c r="F33" s="2887"/>
      <c r="G33" s="2887"/>
      <c r="H33" s="2887"/>
      <c r="I33" s="2887"/>
      <c r="J33" s="2887"/>
    </row>
    <row r="34" spans="1:16">
      <c r="A34" s="2880"/>
      <c r="B34" s="2880"/>
      <c r="C34" s="2880"/>
      <c r="D34" s="2880"/>
      <c r="E34" s="2880"/>
      <c r="F34" s="2880"/>
      <c r="G34" s="2880"/>
      <c r="H34" s="2880"/>
      <c r="I34" s="2880"/>
      <c r="J34" s="2880"/>
      <c r="K34" s="2880"/>
      <c r="L34" s="2880"/>
      <c r="M34" s="2880"/>
      <c r="N34" s="2880"/>
      <c r="O34" s="295"/>
      <c r="P34" s="295"/>
    </row>
    <row r="35" spans="1:16">
      <c r="A35" s="2880"/>
      <c r="B35" s="2880"/>
      <c r="C35" s="2880"/>
      <c r="D35" s="2880"/>
      <c r="E35" s="2880"/>
      <c r="F35" s="2880"/>
      <c r="G35" s="2880"/>
      <c r="H35" s="2880"/>
      <c r="I35" s="2880"/>
      <c r="J35" s="2880"/>
      <c r="K35" s="2880"/>
      <c r="L35" s="2880"/>
      <c r="M35" s="2880"/>
      <c r="N35" s="2880"/>
      <c r="O35" s="295"/>
      <c r="P35" s="295"/>
    </row>
  </sheetData>
  <sortState ref="A28:Y30">
    <sortCondition descending="1" ref="X28:X30"/>
  </sortState>
  <mergeCells count="38">
    <mergeCell ref="A34:N34"/>
    <mergeCell ref="V2:W2"/>
    <mergeCell ref="A1:Y1"/>
    <mergeCell ref="A35:N35"/>
    <mergeCell ref="A21:A27"/>
    <mergeCell ref="B21:C21"/>
    <mergeCell ref="B22:C22"/>
    <mergeCell ref="B23:C23"/>
    <mergeCell ref="B24:C24"/>
    <mergeCell ref="B25:C25"/>
    <mergeCell ref="B26:C26"/>
    <mergeCell ref="B27:C27"/>
    <mergeCell ref="A32:F32"/>
    <mergeCell ref="A33:J33"/>
    <mergeCell ref="N2:O2"/>
    <mergeCell ref="D2:E2"/>
    <mergeCell ref="T2:U2"/>
    <mergeCell ref="B6:C6"/>
    <mergeCell ref="X2:Y2"/>
    <mergeCell ref="B5:C5"/>
    <mergeCell ref="A30:C30"/>
    <mergeCell ref="A2:C3"/>
    <mergeCell ref="A4:C4"/>
    <mergeCell ref="A5:A7"/>
    <mergeCell ref="H2:I2"/>
    <mergeCell ref="B7:C7"/>
    <mergeCell ref="F2:G2"/>
    <mergeCell ref="J2:K2"/>
    <mergeCell ref="L2:M2"/>
    <mergeCell ref="P2:Q2"/>
    <mergeCell ref="R2:S2"/>
    <mergeCell ref="A31:C31"/>
    <mergeCell ref="A8:A20"/>
    <mergeCell ref="B8:C8"/>
    <mergeCell ref="B9:B14"/>
    <mergeCell ref="B15:B20"/>
    <mergeCell ref="A28:C28"/>
    <mergeCell ref="A29:C29"/>
  </mergeCells>
  <phoneticPr fontId="44" type="noConversion"/>
  <printOptions horizontalCentered="1" verticalCentered="1"/>
  <pageMargins left="0.70866141732283472" right="0.70866141732283472" top="0.74803149606299213" bottom="0.74803149606299213" header="0.31496062992125984" footer="0.31496062992125984"/>
  <pageSetup paperSize="11" scale="42" orientation="landscape" r:id="rId1"/>
  <headerFooter differentOddEven="1" scaleWithDoc="0">
    <oddHeader>&amp;L&amp;"Times New Roman,標準"&amp;8 107&amp;"標楷體,標準"年犯罪狀況及其分析</oddHeader>
    <evenHeader>&amp;R&amp;"標楷體,標準"&amp;8第一篇　&amp;"Times New Roman,標準"107&amp;"標楷體,標準"年犯罪狀況及近&amp;"Times New Roman,標準"10&amp;"標楷體,標準"年犯罪趨勢分析</even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N21"/>
  <sheetViews>
    <sheetView showGridLines="0" workbookViewId="0">
      <selection activeCell="B16" sqref="B16"/>
    </sheetView>
  </sheetViews>
  <sheetFormatPr defaultColWidth="8.875" defaultRowHeight="15.75"/>
  <cols>
    <col min="1" max="1" width="8.625" style="961" customWidth="1"/>
    <col min="2" max="2" width="11.5" style="961" customWidth="1"/>
    <col min="3" max="4" width="10.625" style="961" customWidth="1"/>
    <col min="5" max="6" width="11.25" style="961" customWidth="1"/>
    <col min="7" max="7" width="10.625" style="961" customWidth="1"/>
    <col min="8" max="9" width="9.25" style="961" customWidth="1"/>
    <col min="10" max="12" width="9.125" style="961" customWidth="1"/>
    <col min="13" max="14" width="9.25" style="961" customWidth="1"/>
    <col min="15" max="256" width="8.875" style="961"/>
    <col min="257" max="257" width="8.625" style="961" customWidth="1"/>
    <col min="258" max="258" width="11.5" style="961" customWidth="1"/>
    <col min="259" max="260" width="10.625" style="961" customWidth="1"/>
    <col min="261" max="262" width="11.25" style="961" customWidth="1"/>
    <col min="263" max="263" width="10.625" style="961" customWidth="1"/>
    <col min="264" max="265" width="9.25" style="961" customWidth="1"/>
    <col min="266" max="268" width="9.125" style="961" customWidth="1"/>
    <col min="269" max="270" width="9.25" style="961" customWidth="1"/>
    <col min="271" max="512" width="8.875" style="961"/>
    <col min="513" max="513" width="8.625" style="961" customWidth="1"/>
    <col min="514" max="514" width="11.5" style="961" customWidth="1"/>
    <col min="515" max="516" width="10.625" style="961" customWidth="1"/>
    <col min="517" max="518" width="11.25" style="961" customWidth="1"/>
    <col min="519" max="519" width="10.625" style="961" customWidth="1"/>
    <col min="520" max="521" width="9.25" style="961" customWidth="1"/>
    <col min="522" max="524" width="9.125" style="961" customWidth="1"/>
    <col min="525" max="526" width="9.25" style="961" customWidth="1"/>
    <col min="527" max="768" width="8.875" style="961"/>
    <col min="769" max="769" width="8.625" style="961" customWidth="1"/>
    <col min="770" max="770" width="11.5" style="961" customWidth="1"/>
    <col min="771" max="772" width="10.625" style="961" customWidth="1"/>
    <col min="773" max="774" width="11.25" style="961" customWidth="1"/>
    <col min="775" max="775" width="10.625" style="961" customWidth="1"/>
    <col min="776" max="777" width="9.25" style="961" customWidth="1"/>
    <col min="778" max="780" width="9.125" style="961" customWidth="1"/>
    <col min="781" max="782" width="9.25" style="961" customWidth="1"/>
    <col min="783" max="1024" width="8.875" style="961"/>
    <col min="1025" max="1025" width="8.625" style="961" customWidth="1"/>
    <col min="1026" max="1026" width="11.5" style="961" customWidth="1"/>
    <col min="1027" max="1028" width="10.625" style="961" customWidth="1"/>
    <col min="1029" max="1030" width="11.25" style="961" customWidth="1"/>
    <col min="1031" max="1031" width="10.625" style="961" customWidth="1"/>
    <col min="1032" max="1033" width="9.25" style="961" customWidth="1"/>
    <col min="1034" max="1036" width="9.125" style="961" customWidth="1"/>
    <col min="1037" max="1038" width="9.25" style="961" customWidth="1"/>
    <col min="1039" max="1280" width="8.875" style="961"/>
    <col min="1281" max="1281" width="8.625" style="961" customWidth="1"/>
    <col min="1282" max="1282" width="11.5" style="961" customWidth="1"/>
    <col min="1283" max="1284" width="10.625" style="961" customWidth="1"/>
    <col min="1285" max="1286" width="11.25" style="961" customWidth="1"/>
    <col min="1287" max="1287" width="10.625" style="961" customWidth="1"/>
    <col min="1288" max="1289" width="9.25" style="961" customWidth="1"/>
    <col min="1290" max="1292" width="9.125" style="961" customWidth="1"/>
    <col min="1293" max="1294" width="9.25" style="961" customWidth="1"/>
    <col min="1295" max="1536" width="8.875" style="961"/>
    <col min="1537" max="1537" width="8.625" style="961" customWidth="1"/>
    <col min="1538" max="1538" width="11.5" style="961" customWidth="1"/>
    <col min="1539" max="1540" width="10.625" style="961" customWidth="1"/>
    <col min="1541" max="1542" width="11.25" style="961" customWidth="1"/>
    <col min="1543" max="1543" width="10.625" style="961" customWidth="1"/>
    <col min="1544" max="1545" width="9.25" style="961" customWidth="1"/>
    <col min="1546" max="1548" width="9.125" style="961" customWidth="1"/>
    <col min="1549" max="1550" width="9.25" style="961" customWidth="1"/>
    <col min="1551" max="1792" width="8.875" style="961"/>
    <col min="1793" max="1793" width="8.625" style="961" customWidth="1"/>
    <col min="1794" max="1794" width="11.5" style="961" customWidth="1"/>
    <col min="1795" max="1796" width="10.625" style="961" customWidth="1"/>
    <col min="1797" max="1798" width="11.25" style="961" customWidth="1"/>
    <col min="1799" max="1799" width="10.625" style="961" customWidth="1"/>
    <col min="1800" max="1801" width="9.25" style="961" customWidth="1"/>
    <col min="1802" max="1804" width="9.125" style="961" customWidth="1"/>
    <col min="1805" max="1806" width="9.25" style="961" customWidth="1"/>
    <col min="1807" max="2048" width="8.875" style="961"/>
    <col min="2049" max="2049" width="8.625" style="961" customWidth="1"/>
    <col min="2050" max="2050" width="11.5" style="961" customWidth="1"/>
    <col min="2051" max="2052" width="10.625" style="961" customWidth="1"/>
    <col min="2053" max="2054" width="11.25" style="961" customWidth="1"/>
    <col min="2055" max="2055" width="10.625" style="961" customWidth="1"/>
    <col min="2056" max="2057" width="9.25" style="961" customWidth="1"/>
    <col min="2058" max="2060" width="9.125" style="961" customWidth="1"/>
    <col min="2061" max="2062" width="9.25" style="961" customWidth="1"/>
    <col min="2063" max="2304" width="8.875" style="961"/>
    <col min="2305" max="2305" width="8.625" style="961" customWidth="1"/>
    <col min="2306" max="2306" width="11.5" style="961" customWidth="1"/>
    <col min="2307" max="2308" width="10.625" style="961" customWidth="1"/>
    <col min="2309" max="2310" width="11.25" style="961" customWidth="1"/>
    <col min="2311" max="2311" width="10.625" style="961" customWidth="1"/>
    <col min="2312" max="2313" width="9.25" style="961" customWidth="1"/>
    <col min="2314" max="2316" width="9.125" style="961" customWidth="1"/>
    <col min="2317" max="2318" width="9.25" style="961" customWidth="1"/>
    <col min="2319" max="2560" width="8.875" style="961"/>
    <col min="2561" max="2561" width="8.625" style="961" customWidth="1"/>
    <col min="2562" max="2562" width="11.5" style="961" customWidth="1"/>
    <col min="2563" max="2564" width="10.625" style="961" customWidth="1"/>
    <col min="2565" max="2566" width="11.25" style="961" customWidth="1"/>
    <col min="2567" max="2567" width="10.625" style="961" customWidth="1"/>
    <col min="2568" max="2569" width="9.25" style="961" customWidth="1"/>
    <col min="2570" max="2572" width="9.125" style="961" customWidth="1"/>
    <col min="2573" max="2574" width="9.25" style="961" customWidth="1"/>
    <col min="2575" max="2816" width="8.875" style="961"/>
    <col min="2817" max="2817" width="8.625" style="961" customWidth="1"/>
    <col min="2818" max="2818" width="11.5" style="961" customWidth="1"/>
    <col min="2819" max="2820" width="10.625" style="961" customWidth="1"/>
    <col min="2821" max="2822" width="11.25" style="961" customWidth="1"/>
    <col min="2823" max="2823" width="10.625" style="961" customWidth="1"/>
    <col min="2824" max="2825" width="9.25" style="961" customWidth="1"/>
    <col min="2826" max="2828" width="9.125" style="961" customWidth="1"/>
    <col min="2829" max="2830" width="9.25" style="961" customWidth="1"/>
    <col min="2831" max="3072" width="8.875" style="961"/>
    <col min="3073" max="3073" width="8.625" style="961" customWidth="1"/>
    <col min="3074" max="3074" width="11.5" style="961" customWidth="1"/>
    <col min="3075" max="3076" width="10.625" style="961" customWidth="1"/>
    <col min="3077" max="3078" width="11.25" style="961" customWidth="1"/>
    <col min="3079" max="3079" width="10.625" style="961" customWidth="1"/>
    <col min="3080" max="3081" width="9.25" style="961" customWidth="1"/>
    <col min="3082" max="3084" width="9.125" style="961" customWidth="1"/>
    <col min="3085" max="3086" width="9.25" style="961" customWidth="1"/>
    <col min="3087" max="3328" width="8.875" style="961"/>
    <col min="3329" max="3329" width="8.625" style="961" customWidth="1"/>
    <col min="3330" max="3330" width="11.5" style="961" customWidth="1"/>
    <col min="3331" max="3332" width="10.625" style="961" customWidth="1"/>
    <col min="3333" max="3334" width="11.25" style="961" customWidth="1"/>
    <col min="3335" max="3335" width="10.625" style="961" customWidth="1"/>
    <col min="3336" max="3337" width="9.25" style="961" customWidth="1"/>
    <col min="3338" max="3340" width="9.125" style="961" customWidth="1"/>
    <col min="3341" max="3342" width="9.25" style="961" customWidth="1"/>
    <col min="3343" max="3584" width="8.875" style="961"/>
    <col min="3585" max="3585" width="8.625" style="961" customWidth="1"/>
    <col min="3586" max="3586" width="11.5" style="961" customWidth="1"/>
    <col min="3587" max="3588" width="10.625" style="961" customWidth="1"/>
    <col min="3589" max="3590" width="11.25" style="961" customWidth="1"/>
    <col min="3591" max="3591" width="10.625" style="961" customWidth="1"/>
    <col min="3592" max="3593" width="9.25" style="961" customWidth="1"/>
    <col min="3594" max="3596" width="9.125" style="961" customWidth="1"/>
    <col min="3597" max="3598" width="9.25" style="961" customWidth="1"/>
    <col min="3599" max="3840" width="8.875" style="961"/>
    <col min="3841" max="3841" width="8.625" style="961" customWidth="1"/>
    <col min="3842" max="3842" width="11.5" style="961" customWidth="1"/>
    <col min="3843" max="3844" width="10.625" style="961" customWidth="1"/>
    <col min="3845" max="3846" width="11.25" style="961" customWidth="1"/>
    <col min="3847" max="3847" width="10.625" style="961" customWidth="1"/>
    <col min="3848" max="3849" width="9.25" style="961" customWidth="1"/>
    <col min="3850" max="3852" width="9.125" style="961" customWidth="1"/>
    <col min="3853" max="3854" width="9.25" style="961" customWidth="1"/>
    <col min="3855" max="4096" width="8.875" style="961"/>
    <col min="4097" max="4097" width="8.625" style="961" customWidth="1"/>
    <col min="4098" max="4098" width="11.5" style="961" customWidth="1"/>
    <col min="4099" max="4100" width="10.625" style="961" customWidth="1"/>
    <col min="4101" max="4102" width="11.25" style="961" customWidth="1"/>
    <col min="4103" max="4103" width="10.625" style="961" customWidth="1"/>
    <col min="4104" max="4105" width="9.25" style="961" customWidth="1"/>
    <col min="4106" max="4108" width="9.125" style="961" customWidth="1"/>
    <col min="4109" max="4110" width="9.25" style="961" customWidth="1"/>
    <col min="4111" max="4352" width="8.875" style="961"/>
    <col min="4353" max="4353" width="8.625" style="961" customWidth="1"/>
    <col min="4354" max="4354" width="11.5" style="961" customWidth="1"/>
    <col min="4355" max="4356" width="10.625" style="961" customWidth="1"/>
    <col min="4357" max="4358" width="11.25" style="961" customWidth="1"/>
    <col min="4359" max="4359" width="10.625" style="961" customWidth="1"/>
    <col min="4360" max="4361" width="9.25" style="961" customWidth="1"/>
    <col min="4362" max="4364" width="9.125" style="961" customWidth="1"/>
    <col min="4365" max="4366" width="9.25" style="961" customWidth="1"/>
    <col min="4367" max="4608" width="8.875" style="961"/>
    <col min="4609" max="4609" width="8.625" style="961" customWidth="1"/>
    <col min="4610" max="4610" width="11.5" style="961" customWidth="1"/>
    <col min="4611" max="4612" width="10.625" style="961" customWidth="1"/>
    <col min="4613" max="4614" width="11.25" style="961" customWidth="1"/>
    <col min="4615" max="4615" width="10.625" style="961" customWidth="1"/>
    <col min="4616" max="4617" width="9.25" style="961" customWidth="1"/>
    <col min="4618" max="4620" width="9.125" style="961" customWidth="1"/>
    <col min="4621" max="4622" width="9.25" style="961" customWidth="1"/>
    <col min="4623" max="4864" width="8.875" style="961"/>
    <col min="4865" max="4865" width="8.625" style="961" customWidth="1"/>
    <col min="4866" max="4866" width="11.5" style="961" customWidth="1"/>
    <col min="4867" max="4868" width="10.625" style="961" customWidth="1"/>
    <col min="4869" max="4870" width="11.25" style="961" customWidth="1"/>
    <col min="4871" max="4871" width="10.625" style="961" customWidth="1"/>
    <col min="4872" max="4873" width="9.25" style="961" customWidth="1"/>
    <col min="4874" max="4876" width="9.125" style="961" customWidth="1"/>
    <col min="4877" max="4878" width="9.25" style="961" customWidth="1"/>
    <col min="4879" max="5120" width="8.875" style="961"/>
    <col min="5121" max="5121" width="8.625" style="961" customWidth="1"/>
    <col min="5122" max="5122" width="11.5" style="961" customWidth="1"/>
    <col min="5123" max="5124" width="10.625" style="961" customWidth="1"/>
    <col min="5125" max="5126" width="11.25" style="961" customWidth="1"/>
    <col min="5127" max="5127" width="10.625" style="961" customWidth="1"/>
    <col min="5128" max="5129" width="9.25" style="961" customWidth="1"/>
    <col min="5130" max="5132" width="9.125" style="961" customWidth="1"/>
    <col min="5133" max="5134" width="9.25" style="961" customWidth="1"/>
    <col min="5135" max="5376" width="8.875" style="961"/>
    <col min="5377" max="5377" width="8.625" style="961" customWidth="1"/>
    <col min="5378" max="5378" width="11.5" style="961" customWidth="1"/>
    <col min="5379" max="5380" width="10.625" style="961" customWidth="1"/>
    <col min="5381" max="5382" width="11.25" style="961" customWidth="1"/>
    <col min="5383" max="5383" width="10.625" style="961" customWidth="1"/>
    <col min="5384" max="5385" width="9.25" style="961" customWidth="1"/>
    <col min="5386" max="5388" width="9.125" style="961" customWidth="1"/>
    <col min="5389" max="5390" width="9.25" style="961" customWidth="1"/>
    <col min="5391" max="5632" width="8.875" style="961"/>
    <col min="5633" max="5633" width="8.625" style="961" customWidth="1"/>
    <col min="5634" max="5634" width="11.5" style="961" customWidth="1"/>
    <col min="5635" max="5636" width="10.625" style="961" customWidth="1"/>
    <col min="5637" max="5638" width="11.25" style="961" customWidth="1"/>
    <col min="5639" max="5639" width="10.625" style="961" customWidth="1"/>
    <col min="5640" max="5641" width="9.25" style="961" customWidth="1"/>
    <col min="5642" max="5644" width="9.125" style="961" customWidth="1"/>
    <col min="5645" max="5646" width="9.25" style="961" customWidth="1"/>
    <col min="5647" max="5888" width="8.875" style="961"/>
    <col min="5889" max="5889" width="8.625" style="961" customWidth="1"/>
    <col min="5890" max="5890" width="11.5" style="961" customWidth="1"/>
    <col min="5891" max="5892" width="10.625" style="961" customWidth="1"/>
    <col min="5893" max="5894" width="11.25" style="961" customWidth="1"/>
    <col min="5895" max="5895" width="10.625" style="961" customWidth="1"/>
    <col min="5896" max="5897" width="9.25" style="961" customWidth="1"/>
    <col min="5898" max="5900" width="9.125" style="961" customWidth="1"/>
    <col min="5901" max="5902" width="9.25" style="961" customWidth="1"/>
    <col min="5903" max="6144" width="8.875" style="961"/>
    <col min="6145" max="6145" width="8.625" style="961" customWidth="1"/>
    <col min="6146" max="6146" width="11.5" style="961" customWidth="1"/>
    <col min="6147" max="6148" width="10.625" style="961" customWidth="1"/>
    <col min="6149" max="6150" width="11.25" style="961" customWidth="1"/>
    <col min="6151" max="6151" width="10.625" style="961" customWidth="1"/>
    <col min="6152" max="6153" width="9.25" style="961" customWidth="1"/>
    <col min="6154" max="6156" width="9.125" style="961" customWidth="1"/>
    <col min="6157" max="6158" width="9.25" style="961" customWidth="1"/>
    <col min="6159" max="6400" width="8.875" style="961"/>
    <col min="6401" max="6401" width="8.625" style="961" customWidth="1"/>
    <col min="6402" max="6402" width="11.5" style="961" customWidth="1"/>
    <col min="6403" max="6404" width="10.625" style="961" customWidth="1"/>
    <col min="6405" max="6406" width="11.25" style="961" customWidth="1"/>
    <col min="6407" max="6407" width="10.625" style="961" customWidth="1"/>
    <col min="6408" max="6409" width="9.25" style="961" customWidth="1"/>
    <col min="6410" max="6412" width="9.125" style="961" customWidth="1"/>
    <col min="6413" max="6414" width="9.25" style="961" customWidth="1"/>
    <col min="6415" max="6656" width="8.875" style="961"/>
    <col min="6657" max="6657" width="8.625" style="961" customWidth="1"/>
    <col min="6658" max="6658" width="11.5" style="961" customWidth="1"/>
    <col min="6659" max="6660" width="10.625" style="961" customWidth="1"/>
    <col min="6661" max="6662" width="11.25" style="961" customWidth="1"/>
    <col min="6663" max="6663" width="10.625" style="961" customWidth="1"/>
    <col min="6664" max="6665" width="9.25" style="961" customWidth="1"/>
    <col min="6666" max="6668" width="9.125" style="961" customWidth="1"/>
    <col min="6669" max="6670" width="9.25" style="961" customWidth="1"/>
    <col min="6671" max="6912" width="8.875" style="961"/>
    <col min="6913" max="6913" width="8.625" style="961" customWidth="1"/>
    <col min="6914" max="6914" width="11.5" style="961" customWidth="1"/>
    <col min="6915" max="6916" width="10.625" style="961" customWidth="1"/>
    <col min="6917" max="6918" width="11.25" style="961" customWidth="1"/>
    <col min="6919" max="6919" width="10.625" style="961" customWidth="1"/>
    <col min="6920" max="6921" width="9.25" style="961" customWidth="1"/>
    <col min="6922" max="6924" width="9.125" style="961" customWidth="1"/>
    <col min="6925" max="6926" width="9.25" style="961" customWidth="1"/>
    <col min="6927" max="7168" width="8.875" style="961"/>
    <col min="7169" max="7169" width="8.625" style="961" customWidth="1"/>
    <col min="7170" max="7170" width="11.5" style="961" customWidth="1"/>
    <col min="7171" max="7172" width="10.625" style="961" customWidth="1"/>
    <col min="7173" max="7174" width="11.25" style="961" customWidth="1"/>
    <col min="7175" max="7175" width="10.625" style="961" customWidth="1"/>
    <col min="7176" max="7177" width="9.25" style="961" customWidth="1"/>
    <col min="7178" max="7180" width="9.125" style="961" customWidth="1"/>
    <col min="7181" max="7182" width="9.25" style="961" customWidth="1"/>
    <col min="7183" max="7424" width="8.875" style="961"/>
    <col min="7425" max="7425" width="8.625" style="961" customWidth="1"/>
    <col min="7426" max="7426" width="11.5" style="961" customWidth="1"/>
    <col min="7427" max="7428" width="10.625" style="961" customWidth="1"/>
    <col min="7429" max="7430" width="11.25" style="961" customWidth="1"/>
    <col min="7431" max="7431" width="10.625" style="961" customWidth="1"/>
    <col min="7432" max="7433" width="9.25" style="961" customWidth="1"/>
    <col min="7434" max="7436" width="9.125" style="961" customWidth="1"/>
    <col min="7437" max="7438" width="9.25" style="961" customWidth="1"/>
    <col min="7439" max="7680" width="8.875" style="961"/>
    <col min="7681" max="7681" width="8.625" style="961" customWidth="1"/>
    <col min="7682" max="7682" width="11.5" style="961" customWidth="1"/>
    <col min="7683" max="7684" width="10.625" style="961" customWidth="1"/>
    <col min="7685" max="7686" width="11.25" style="961" customWidth="1"/>
    <col min="7687" max="7687" width="10.625" style="961" customWidth="1"/>
    <col min="7688" max="7689" width="9.25" style="961" customWidth="1"/>
    <col min="7690" max="7692" width="9.125" style="961" customWidth="1"/>
    <col min="7693" max="7694" width="9.25" style="961" customWidth="1"/>
    <col min="7695" max="7936" width="8.875" style="961"/>
    <col min="7937" max="7937" width="8.625" style="961" customWidth="1"/>
    <col min="7938" max="7938" width="11.5" style="961" customWidth="1"/>
    <col min="7939" max="7940" width="10.625" style="961" customWidth="1"/>
    <col min="7941" max="7942" width="11.25" style="961" customWidth="1"/>
    <col min="7943" max="7943" width="10.625" style="961" customWidth="1"/>
    <col min="7944" max="7945" width="9.25" style="961" customWidth="1"/>
    <col min="7946" max="7948" width="9.125" style="961" customWidth="1"/>
    <col min="7949" max="7950" width="9.25" style="961" customWidth="1"/>
    <col min="7951" max="8192" width="8.875" style="961"/>
    <col min="8193" max="8193" width="8.625" style="961" customWidth="1"/>
    <col min="8194" max="8194" width="11.5" style="961" customWidth="1"/>
    <col min="8195" max="8196" width="10.625" style="961" customWidth="1"/>
    <col min="8197" max="8198" width="11.25" style="961" customWidth="1"/>
    <col min="8199" max="8199" width="10.625" style="961" customWidth="1"/>
    <col min="8200" max="8201" width="9.25" style="961" customWidth="1"/>
    <col min="8202" max="8204" width="9.125" style="961" customWidth="1"/>
    <col min="8205" max="8206" width="9.25" style="961" customWidth="1"/>
    <col min="8207" max="8448" width="8.875" style="961"/>
    <col min="8449" max="8449" width="8.625" style="961" customWidth="1"/>
    <col min="8450" max="8450" width="11.5" style="961" customWidth="1"/>
    <col min="8451" max="8452" width="10.625" style="961" customWidth="1"/>
    <col min="8453" max="8454" width="11.25" style="961" customWidth="1"/>
    <col min="8455" max="8455" width="10.625" style="961" customWidth="1"/>
    <col min="8456" max="8457" width="9.25" style="961" customWidth="1"/>
    <col min="8458" max="8460" width="9.125" style="961" customWidth="1"/>
    <col min="8461" max="8462" width="9.25" style="961" customWidth="1"/>
    <col min="8463" max="8704" width="8.875" style="961"/>
    <col min="8705" max="8705" width="8.625" style="961" customWidth="1"/>
    <col min="8706" max="8706" width="11.5" style="961" customWidth="1"/>
    <col min="8707" max="8708" width="10.625" style="961" customWidth="1"/>
    <col min="8709" max="8710" width="11.25" style="961" customWidth="1"/>
    <col min="8711" max="8711" width="10.625" style="961" customWidth="1"/>
    <col min="8712" max="8713" width="9.25" style="961" customWidth="1"/>
    <col min="8714" max="8716" width="9.125" style="961" customWidth="1"/>
    <col min="8717" max="8718" width="9.25" style="961" customWidth="1"/>
    <col min="8719" max="8960" width="8.875" style="961"/>
    <col min="8961" max="8961" width="8.625" style="961" customWidth="1"/>
    <col min="8962" max="8962" width="11.5" style="961" customWidth="1"/>
    <col min="8963" max="8964" width="10.625" style="961" customWidth="1"/>
    <col min="8965" max="8966" width="11.25" style="961" customWidth="1"/>
    <col min="8967" max="8967" width="10.625" style="961" customWidth="1"/>
    <col min="8968" max="8969" width="9.25" style="961" customWidth="1"/>
    <col min="8970" max="8972" width="9.125" style="961" customWidth="1"/>
    <col min="8973" max="8974" width="9.25" style="961" customWidth="1"/>
    <col min="8975" max="9216" width="8.875" style="961"/>
    <col min="9217" max="9217" width="8.625" style="961" customWidth="1"/>
    <col min="9218" max="9218" width="11.5" style="961" customWidth="1"/>
    <col min="9219" max="9220" width="10.625" style="961" customWidth="1"/>
    <col min="9221" max="9222" width="11.25" style="961" customWidth="1"/>
    <col min="9223" max="9223" width="10.625" style="961" customWidth="1"/>
    <col min="9224" max="9225" width="9.25" style="961" customWidth="1"/>
    <col min="9226" max="9228" width="9.125" style="961" customWidth="1"/>
    <col min="9229" max="9230" width="9.25" style="961" customWidth="1"/>
    <col min="9231" max="9472" width="8.875" style="961"/>
    <col min="9473" max="9473" width="8.625" style="961" customWidth="1"/>
    <col min="9474" max="9474" width="11.5" style="961" customWidth="1"/>
    <col min="9475" max="9476" width="10.625" style="961" customWidth="1"/>
    <col min="9477" max="9478" width="11.25" style="961" customWidth="1"/>
    <col min="9479" max="9479" width="10.625" style="961" customWidth="1"/>
    <col min="9480" max="9481" width="9.25" style="961" customWidth="1"/>
    <col min="9482" max="9484" width="9.125" style="961" customWidth="1"/>
    <col min="9485" max="9486" width="9.25" style="961" customWidth="1"/>
    <col min="9487" max="9728" width="8.875" style="961"/>
    <col min="9729" max="9729" width="8.625" style="961" customWidth="1"/>
    <col min="9730" max="9730" width="11.5" style="961" customWidth="1"/>
    <col min="9731" max="9732" width="10.625" style="961" customWidth="1"/>
    <col min="9733" max="9734" width="11.25" style="961" customWidth="1"/>
    <col min="9735" max="9735" width="10.625" style="961" customWidth="1"/>
    <col min="9736" max="9737" width="9.25" style="961" customWidth="1"/>
    <col min="9738" max="9740" width="9.125" style="961" customWidth="1"/>
    <col min="9741" max="9742" width="9.25" style="961" customWidth="1"/>
    <col min="9743" max="9984" width="8.875" style="961"/>
    <col min="9985" max="9985" width="8.625" style="961" customWidth="1"/>
    <col min="9986" max="9986" width="11.5" style="961" customWidth="1"/>
    <col min="9987" max="9988" width="10.625" style="961" customWidth="1"/>
    <col min="9989" max="9990" width="11.25" style="961" customWidth="1"/>
    <col min="9991" max="9991" width="10.625" style="961" customWidth="1"/>
    <col min="9992" max="9993" width="9.25" style="961" customWidth="1"/>
    <col min="9994" max="9996" width="9.125" style="961" customWidth="1"/>
    <col min="9997" max="9998" width="9.25" style="961" customWidth="1"/>
    <col min="9999" max="10240" width="8.875" style="961"/>
    <col min="10241" max="10241" width="8.625" style="961" customWidth="1"/>
    <col min="10242" max="10242" width="11.5" style="961" customWidth="1"/>
    <col min="10243" max="10244" width="10.625" style="961" customWidth="1"/>
    <col min="10245" max="10246" width="11.25" style="961" customWidth="1"/>
    <col min="10247" max="10247" width="10.625" style="961" customWidth="1"/>
    <col min="10248" max="10249" width="9.25" style="961" customWidth="1"/>
    <col min="10250" max="10252" width="9.125" style="961" customWidth="1"/>
    <col min="10253" max="10254" width="9.25" style="961" customWidth="1"/>
    <col min="10255" max="10496" width="8.875" style="961"/>
    <col min="10497" max="10497" width="8.625" style="961" customWidth="1"/>
    <col min="10498" max="10498" width="11.5" style="961" customWidth="1"/>
    <col min="10499" max="10500" width="10.625" style="961" customWidth="1"/>
    <col min="10501" max="10502" width="11.25" style="961" customWidth="1"/>
    <col min="10503" max="10503" width="10.625" style="961" customWidth="1"/>
    <col min="10504" max="10505" width="9.25" style="961" customWidth="1"/>
    <col min="10506" max="10508" width="9.125" style="961" customWidth="1"/>
    <col min="10509" max="10510" width="9.25" style="961" customWidth="1"/>
    <col min="10511" max="10752" width="8.875" style="961"/>
    <col min="10753" max="10753" width="8.625" style="961" customWidth="1"/>
    <col min="10754" max="10754" width="11.5" style="961" customWidth="1"/>
    <col min="10755" max="10756" width="10.625" style="961" customWidth="1"/>
    <col min="10757" max="10758" width="11.25" style="961" customWidth="1"/>
    <col min="10759" max="10759" width="10.625" style="961" customWidth="1"/>
    <col min="10760" max="10761" width="9.25" style="961" customWidth="1"/>
    <col min="10762" max="10764" width="9.125" style="961" customWidth="1"/>
    <col min="10765" max="10766" width="9.25" style="961" customWidth="1"/>
    <col min="10767" max="11008" width="8.875" style="961"/>
    <col min="11009" max="11009" width="8.625" style="961" customWidth="1"/>
    <col min="11010" max="11010" width="11.5" style="961" customWidth="1"/>
    <col min="11011" max="11012" width="10.625" style="961" customWidth="1"/>
    <col min="11013" max="11014" width="11.25" style="961" customWidth="1"/>
    <col min="11015" max="11015" width="10.625" style="961" customWidth="1"/>
    <col min="11016" max="11017" width="9.25" style="961" customWidth="1"/>
    <col min="11018" max="11020" width="9.125" style="961" customWidth="1"/>
    <col min="11021" max="11022" width="9.25" style="961" customWidth="1"/>
    <col min="11023" max="11264" width="8.875" style="961"/>
    <col min="11265" max="11265" width="8.625" style="961" customWidth="1"/>
    <col min="11266" max="11266" width="11.5" style="961" customWidth="1"/>
    <col min="11267" max="11268" width="10.625" style="961" customWidth="1"/>
    <col min="11269" max="11270" width="11.25" style="961" customWidth="1"/>
    <col min="11271" max="11271" width="10.625" style="961" customWidth="1"/>
    <col min="11272" max="11273" width="9.25" style="961" customWidth="1"/>
    <col min="11274" max="11276" width="9.125" style="961" customWidth="1"/>
    <col min="11277" max="11278" width="9.25" style="961" customWidth="1"/>
    <col min="11279" max="11520" width="8.875" style="961"/>
    <col min="11521" max="11521" width="8.625" style="961" customWidth="1"/>
    <col min="11522" max="11522" width="11.5" style="961" customWidth="1"/>
    <col min="11523" max="11524" width="10.625" style="961" customWidth="1"/>
    <col min="11525" max="11526" width="11.25" style="961" customWidth="1"/>
    <col min="11527" max="11527" width="10.625" style="961" customWidth="1"/>
    <col min="11528" max="11529" width="9.25" style="961" customWidth="1"/>
    <col min="11530" max="11532" width="9.125" style="961" customWidth="1"/>
    <col min="11533" max="11534" width="9.25" style="961" customWidth="1"/>
    <col min="11535" max="11776" width="8.875" style="961"/>
    <col min="11777" max="11777" width="8.625" style="961" customWidth="1"/>
    <col min="11778" max="11778" width="11.5" style="961" customWidth="1"/>
    <col min="11779" max="11780" width="10.625" style="961" customWidth="1"/>
    <col min="11781" max="11782" width="11.25" style="961" customWidth="1"/>
    <col min="11783" max="11783" width="10.625" style="961" customWidth="1"/>
    <col min="11784" max="11785" width="9.25" style="961" customWidth="1"/>
    <col min="11786" max="11788" width="9.125" style="961" customWidth="1"/>
    <col min="11789" max="11790" width="9.25" style="961" customWidth="1"/>
    <col min="11791" max="12032" width="8.875" style="961"/>
    <col min="12033" max="12033" width="8.625" style="961" customWidth="1"/>
    <col min="12034" max="12034" width="11.5" style="961" customWidth="1"/>
    <col min="12035" max="12036" width="10.625" style="961" customWidth="1"/>
    <col min="12037" max="12038" width="11.25" style="961" customWidth="1"/>
    <col min="12039" max="12039" width="10.625" style="961" customWidth="1"/>
    <col min="12040" max="12041" width="9.25" style="961" customWidth="1"/>
    <col min="12042" max="12044" width="9.125" style="961" customWidth="1"/>
    <col min="12045" max="12046" width="9.25" style="961" customWidth="1"/>
    <col min="12047" max="12288" width="8.875" style="961"/>
    <col min="12289" max="12289" width="8.625" style="961" customWidth="1"/>
    <col min="12290" max="12290" width="11.5" style="961" customWidth="1"/>
    <col min="12291" max="12292" width="10.625" style="961" customWidth="1"/>
    <col min="12293" max="12294" width="11.25" style="961" customWidth="1"/>
    <col min="12295" max="12295" width="10.625" style="961" customWidth="1"/>
    <col min="12296" max="12297" width="9.25" style="961" customWidth="1"/>
    <col min="12298" max="12300" width="9.125" style="961" customWidth="1"/>
    <col min="12301" max="12302" width="9.25" style="961" customWidth="1"/>
    <col min="12303" max="12544" width="8.875" style="961"/>
    <col min="12545" max="12545" width="8.625" style="961" customWidth="1"/>
    <col min="12546" max="12546" width="11.5" style="961" customWidth="1"/>
    <col min="12547" max="12548" width="10.625" style="961" customWidth="1"/>
    <col min="12549" max="12550" width="11.25" style="961" customWidth="1"/>
    <col min="12551" max="12551" width="10.625" style="961" customWidth="1"/>
    <col min="12552" max="12553" width="9.25" style="961" customWidth="1"/>
    <col min="12554" max="12556" width="9.125" style="961" customWidth="1"/>
    <col min="12557" max="12558" width="9.25" style="961" customWidth="1"/>
    <col min="12559" max="12800" width="8.875" style="961"/>
    <col min="12801" max="12801" width="8.625" style="961" customWidth="1"/>
    <col min="12802" max="12802" width="11.5" style="961" customWidth="1"/>
    <col min="12803" max="12804" width="10.625" style="961" customWidth="1"/>
    <col min="12805" max="12806" width="11.25" style="961" customWidth="1"/>
    <col min="12807" max="12807" width="10.625" style="961" customWidth="1"/>
    <col min="12808" max="12809" width="9.25" style="961" customWidth="1"/>
    <col min="12810" max="12812" width="9.125" style="961" customWidth="1"/>
    <col min="12813" max="12814" width="9.25" style="961" customWidth="1"/>
    <col min="12815" max="13056" width="8.875" style="961"/>
    <col min="13057" max="13057" width="8.625" style="961" customWidth="1"/>
    <col min="13058" max="13058" width="11.5" style="961" customWidth="1"/>
    <col min="13059" max="13060" width="10.625" style="961" customWidth="1"/>
    <col min="13061" max="13062" width="11.25" style="961" customWidth="1"/>
    <col min="13063" max="13063" width="10.625" style="961" customWidth="1"/>
    <col min="13064" max="13065" width="9.25" style="961" customWidth="1"/>
    <col min="13066" max="13068" width="9.125" style="961" customWidth="1"/>
    <col min="13069" max="13070" width="9.25" style="961" customWidth="1"/>
    <col min="13071" max="13312" width="8.875" style="961"/>
    <col min="13313" max="13313" width="8.625" style="961" customWidth="1"/>
    <col min="13314" max="13314" width="11.5" style="961" customWidth="1"/>
    <col min="13315" max="13316" width="10.625" style="961" customWidth="1"/>
    <col min="13317" max="13318" width="11.25" style="961" customWidth="1"/>
    <col min="13319" max="13319" width="10.625" style="961" customWidth="1"/>
    <col min="13320" max="13321" width="9.25" style="961" customWidth="1"/>
    <col min="13322" max="13324" width="9.125" style="961" customWidth="1"/>
    <col min="13325" max="13326" width="9.25" style="961" customWidth="1"/>
    <col min="13327" max="13568" width="8.875" style="961"/>
    <col min="13569" max="13569" width="8.625" style="961" customWidth="1"/>
    <col min="13570" max="13570" width="11.5" style="961" customWidth="1"/>
    <col min="13571" max="13572" width="10.625" style="961" customWidth="1"/>
    <col min="13573" max="13574" width="11.25" style="961" customWidth="1"/>
    <col min="13575" max="13575" width="10.625" style="961" customWidth="1"/>
    <col min="13576" max="13577" width="9.25" style="961" customWidth="1"/>
    <col min="13578" max="13580" width="9.125" style="961" customWidth="1"/>
    <col min="13581" max="13582" width="9.25" style="961" customWidth="1"/>
    <col min="13583" max="13824" width="8.875" style="961"/>
    <col min="13825" max="13825" width="8.625" style="961" customWidth="1"/>
    <col min="13826" max="13826" width="11.5" style="961" customWidth="1"/>
    <col min="13827" max="13828" width="10.625" style="961" customWidth="1"/>
    <col min="13829" max="13830" width="11.25" style="961" customWidth="1"/>
    <col min="13831" max="13831" width="10.625" style="961" customWidth="1"/>
    <col min="13832" max="13833" width="9.25" style="961" customWidth="1"/>
    <col min="13834" max="13836" width="9.125" style="961" customWidth="1"/>
    <col min="13837" max="13838" width="9.25" style="961" customWidth="1"/>
    <col min="13839" max="14080" width="8.875" style="961"/>
    <col min="14081" max="14081" width="8.625" style="961" customWidth="1"/>
    <col min="14082" max="14082" width="11.5" style="961" customWidth="1"/>
    <col min="14083" max="14084" width="10.625" style="961" customWidth="1"/>
    <col min="14085" max="14086" width="11.25" style="961" customWidth="1"/>
    <col min="14087" max="14087" width="10.625" style="961" customWidth="1"/>
    <col min="14088" max="14089" width="9.25" style="961" customWidth="1"/>
    <col min="14090" max="14092" width="9.125" style="961" customWidth="1"/>
    <col min="14093" max="14094" width="9.25" style="961" customWidth="1"/>
    <col min="14095" max="14336" width="8.875" style="961"/>
    <col min="14337" max="14337" width="8.625" style="961" customWidth="1"/>
    <col min="14338" max="14338" width="11.5" style="961" customWidth="1"/>
    <col min="14339" max="14340" width="10.625" style="961" customWidth="1"/>
    <col min="14341" max="14342" width="11.25" style="961" customWidth="1"/>
    <col min="14343" max="14343" width="10.625" style="961" customWidth="1"/>
    <col min="14344" max="14345" width="9.25" style="961" customWidth="1"/>
    <col min="14346" max="14348" width="9.125" style="961" customWidth="1"/>
    <col min="14349" max="14350" width="9.25" style="961" customWidth="1"/>
    <col min="14351" max="14592" width="8.875" style="961"/>
    <col min="14593" max="14593" width="8.625" style="961" customWidth="1"/>
    <col min="14594" max="14594" width="11.5" style="961" customWidth="1"/>
    <col min="14595" max="14596" width="10.625" style="961" customWidth="1"/>
    <col min="14597" max="14598" width="11.25" style="961" customWidth="1"/>
    <col min="14599" max="14599" width="10.625" style="961" customWidth="1"/>
    <col min="14600" max="14601" width="9.25" style="961" customWidth="1"/>
    <col min="14602" max="14604" width="9.125" style="961" customWidth="1"/>
    <col min="14605" max="14606" width="9.25" style="961" customWidth="1"/>
    <col min="14607" max="14848" width="8.875" style="961"/>
    <col min="14849" max="14849" width="8.625" style="961" customWidth="1"/>
    <col min="14850" max="14850" width="11.5" style="961" customWidth="1"/>
    <col min="14851" max="14852" width="10.625" style="961" customWidth="1"/>
    <col min="14853" max="14854" width="11.25" style="961" customWidth="1"/>
    <col min="14855" max="14855" width="10.625" style="961" customWidth="1"/>
    <col min="14856" max="14857" width="9.25" style="961" customWidth="1"/>
    <col min="14858" max="14860" width="9.125" style="961" customWidth="1"/>
    <col min="14861" max="14862" width="9.25" style="961" customWidth="1"/>
    <col min="14863" max="15104" width="8.875" style="961"/>
    <col min="15105" max="15105" width="8.625" style="961" customWidth="1"/>
    <col min="15106" max="15106" width="11.5" style="961" customWidth="1"/>
    <col min="15107" max="15108" width="10.625" style="961" customWidth="1"/>
    <col min="15109" max="15110" width="11.25" style="961" customWidth="1"/>
    <col min="15111" max="15111" width="10.625" style="961" customWidth="1"/>
    <col min="15112" max="15113" width="9.25" style="961" customWidth="1"/>
    <col min="15114" max="15116" width="9.125" style="961" customWidth="1"/>
    <col min="15117" max="15118" width="9.25" style="961" customWidth="1"/>
    <col min="15119" max="15360" width="8.875" style="961"/>
    <col min="15361" max="15361" width="8.625" style="961" customWidth="1"/>
    <col min="15362" max="15362" width="11.5" style="961" customWidth="1"/>
    <col min="15363" max="15364" width="10.625" style="961" customWidth="1"/>
    <col min="15365" max="15366" width="11.25" style="961" customWidth="1"/>
    <col min="15367" max="15367" width="10.625" style="961" customWidth="1"/>
    <col min="15368" max="15369" width="9.25" style="961" customWidth="1"/>
    <col min="15370" max="15372" width="9.125" style="961" customWidth="1"/>
    <col min="15373" max="15374" width="9.25" style="961" customWidth="1"/>
    <col min="15375" max="15616" width="8.875" style="961"/>
    <col min="15617" max="15617" width="8.625" style="961" customWidth="1"/>
    <col min="15618" max="15618" width="11.5" style="961" customWidth="1"/>
    <col min="15619" max="15620" width="10.625" style="961" customWidth="1"/>
    <col min="15621" max="15622" width="11.25" style="961" customWidth="1"/>
    <col min="15623" max="15623" width="10.625" style="961" customWidth="1"/>
    <col min="15624" max="15625" width="9.25" style="961" customWidth="1"/>
    <col min="15626" max="15628" width="9.125" style="961" customWidth="1"/>
    <col min="15629" max="15630" width="9.25" style="961" customWidth="1"/>
    <col min="15631" max="15872" width="8.875" style="961"/>
    <col min="15873" max="15873" width="8.625" style="961" customWidth="1"/>
    <col min="15874" max="15874" width="11.5" style="961" customWidth="1"/>
    <col min="15875" max="15876" width="10.625" style="961" customWidth="1"/>
    <col min="15877" max="15878" width="11.25" style="961" customWidth="1"/>
    <col min="15879" max="15879" width="10.625" style="961" customWidth="1"/>
    <col min="15880" max="15881" width="9.25" style="961" customWidth="1"/>
    <col min="15882" max="15884" width="9.125" style="961" customWidth="1"/>
    <col min="15885" max="15886" width="9.25" style="961" customWidth="1"/>
    <col min="15887" max="16128" width="8.875" style="961"/>
    <col min="16129" max="16129" width="8.625" style="961" customWidth="1"/>
    <col min="16130" max="16130" width="11.5" style="961" customWidth="1"/>
    <col min="16131" max="16132" width="10.625" style="961" customWidth="1"/>
    <col min="16133" max="16134" width="11.25" style="961" customWidth="1"/>
    <col min="16135" max="16135" width="10.625" style="961" customWidth="1"/>
    <col min="16136" max="16137" width="9.25" style="961" customWidth="1"/>
    <col min="16138" max="16140" width="9.125" style="961" customWidth="1"/>
    <col min="16141" max="16142" width="9.25" style="961" customWidth="1"/>
    <col min="16143" max="16384" width="8.875" style="961"/>
  </cols>
  <sheetData>
    <row r="1" spans="1:14" ht="19.5">
      <c r="A1" s="3581" t="s">
        <v>2189</v>
      </c>
      <c r="B1" s="3581"/>
      <c r="C1" s="3581"/>
      <c r="D1" s="3581"/>
      <c r="E1" s="3581"/>
      <c r="F1" s="3581"/>
      <c r="G1" s="3581"/>
      <c r="H1" s="3581"/>
      <c r="I1" s="3581"/>
      <c r="J1" s="3581"/>
      <c r="K1" s="3581"/>
      <c r="L1" s="3581"/>
      <c r="M1" s="3581"/>
      <c r="N1" s="3581"/>
    </row>
    <row r="2" spans="1:14" ht="16.149999999999999" customHeight="1">
      <c r="N2" s="1679" t="s">
        <v>2190</v>
      </c>
    </row>
    <row r="3" spans="1:14" ht="16.5" customHeight="1">
      <c r="A3" s="3582"/>
      <c r="B3" s="3585" t="s">
        <v>2191</v>
      </c>
      <c r="C3" s="1680"/>
      <c r="D3" s="1681"/>
      <c r="E3" s="3588" t="s">
        <v>2192</v>
      </c>
      <c r="F3" s="1682"/>
      <c r="G3" s="1683"/>
      <c r="H3" s="1683"/>
      <c r="I3" s="1682"/>
      <c r="J3" s="1683"/>
      <c r="K3" s="1683"/>
      <c r="L3" s="3591" t="s">
        <v>2193</v>
      </c>
      <c r="M3" s="1684"/>
      <c r="N3" s="1684"/>
    </row>
    <row r="4" spans="1:14" ht="16.5" customHeight="1">
      <c r="A4" s="3583"/>
      <c r="B4" s="3586"/>
      <c r="C4" s="1685"/>
      <c r="D4" s="1686"/>
      <c r="E4" s="3589"/>
      <c r="F4" s="3588" t="s">
        <v>2194</v>
      </c>
      <c r="G4" s="1682"/>
      <c r="H4" s="1682"/>
      <c r="I4" s="3588" t="s">
        <v>2195</v>
      </c>
      <c r="J4" s="1687"/>
      <c r="K4" s="1687"/>
      <c r="L4" s="3592"/>
      <c r="M4" s="1685"/>
      <c r="N4" s="1685"/>
    </row>
    <row r="5" spans="1:14" ht="16.5" customHeight="1">
      <c r="A5" s="3583"/>
      <c r="B5" s="3586"/>
      <c r="C5" s="3594" t="s">
        <v>2196</v>
      </c>
      <c r="D5" s="3594" t="s">
        <v>2197</v>
      </c>
      <c r="E5" s="3589"/>
      <c r="F5" s="3589"/>
      <c r="G5" s="3594" t="s">
        <v>2196</v>
      </c>
      <c r="H5" s="3594" t="s">
        <v>2197</v>
      </c>
      <c r="I5" s="3589"/>
      <c r="J5" s="3594" t="s">
        <v>2196</v>
      </c>
      <c r="K5" s="3594" t="s">
        <v>2197</v>
      </c>
      <c r="L5" s="3592"/>
      <c r="M5" s="3594" t="s">
        <v>2196</v>
      </c>
      <c r="N5" s="3591" t="s">
        <v>2197</v>
      </c>
    </row>
    <row r="6" spans="1:14" ht="16.5" customHeight="1">
      <c r="A6" s="3583"/>
      <c r="B6" s="3586"/>
      <c r="C6" s="3595"/>
      <c r="D6" s="3595"/>
      <c r="E6" s="3589"/>
      <c r="F6" s="3589"/>
      <c r="G6" s="3595"/>
      <c r="H6" s="3595"/>
      <c r="I6" s="3589"/>
      <c r="J6" s="3595"/>
      <c r="K6" s="3595"/>
      <c r="L6" s="3592"/>
      <c r="M6" s="3597"/>
      <c r="N6" s="3592"/>
    </row>
    <row r="7" spans="1:14" ht="16.5" customHeight="1">
      <c r="A7" s="3583"/>
      <c r="B7" s="3586"/>
      <c r="C7" s="3595"/>
      <c r="D7" s="3595"/>
      <c r="E7" s="3589"/>
      <c r="F7" s="3589"/>
      <c r="G7" s="3595"/>
      <c r="H7" s="3595"/>
      <c r="I7" s="3589"/>
      <c r="J7" s="3595"/>
      <c r="K7" s="3595"/>
      <c r="L7" s="3592"/>
      <c r="M7" s="3597"/>
      <c r="N7" s="3592"/>
    </row>
    <row r="8" spans="1:14" ht="15" customHeight="1">
      <c r="A8" s="3583"/>
      <c r="B8" s="3586"/>
      <c r="C8" s="3595"/>
      <c r="D8" s="3595"/>
      <c r="E8" s="3589"/>
      <c r="F8" s="3589"/>
      <c r="G8" s="3595"/>
      <c r="H8" s="3595"/>
      <c r="I8" s="3589"/>
      <c r="J8" s="3595"/>
      <c r="K8" s="3595"/>
      <c r="L8" s="3592"/>
      <c r="M8" s="3597"/>
      <c r="N8" s="3592"/>
    </row>
    <row r="9" spans="1:14" ht="22.7" customHeight="1">
      <c r="A9" s="3584"/>
      <c r="B9" s="3587"/>
      <c r="C9" s="3596"/>
      <c r="D9" s="3596"/>
      <c r="E9" s="3590"/>
      <c r="F9" s="3590"/>
      <c r="G9" s="3596"/>
      <c r="H9" s="3596"/>
      <c r="I9" s="3590"/>
      <c r="J9" s="3596"/>
      <c r="K9" s="3596"/>
      <c r="L9" s="3593"/>
      <c r="M9" s="3598"/>
      <c r="N9" s="3593"/>
    </row>
    <row r="10" spans="1:14" ht="30.2" customHeight="1">
      <c r="A10" s="1688" t="s">
        <v>2198</v>
      </c>
      <c r="B10" s="1689">
        <v>14259</v>
      </c>
      <c r="C10" s="1689">
        <v>9440</v>
      </c>
      <c r="D10" s="1689">
        <v>4806</v>
      </c>
      <c r="E10" s="1689">
        <v>12433</v>
      </c>
      <c r="F10" s="1689">
        <v>9943</v>
      </c>
      <c r="G10" s="1689">
        <v>7667</v>
      </c>
      <c r="H10" s="1689">
        <v>2262</v>
      </c>
      <c r="I10" s="1689">
        <v>1603</v>
      </c>
      <c r="J10" s="1689">
        <v>1180</v>
      </c>
      <c r="K10" s="1689">
        <v>420</v>
      </c>
      <c r="L10" s="1689">
        <v>19257</v>
      </c>
      <c r="M10" s="1689">
        <v>9848</v>
      </c>
      <c r="N10" s="1690">
        <v>9394</v>
      </c>
    </row>
    <row r="11" spans="1:14" ht="30.2" customHeight="1">
      <c r="A11" s="1688" t="s">
        <v>1107</v>
      </c>
      <c r="B11" s="1689">
        <v>16304</v>
      </c>
      <c r="C11" s="1689">
        <v>11715</v>
      </c>
      <c r="D11" s="1689">
        <v>4578</v>
      </c>
      <c r="E11" s="1689">
        <v>14356</v>
      </c>
      <c r="F11" s="1689">
        <v>11235</v>
      </c>
      <c r="G11" s="1689">
        <v>8110</v>
      </c>
      <c r="H11" s="1689">
        <v>3116</v>
      </c>
      <c r="I11" s="1689">
        <v>1819</v>
      </c>
      <c r="J11" s="1689">
        <v>1233</v>
      </c>
      <c r="K11" s="1689">
        <v>582</v>
      </c>
      <c r="L11" s="1689">
        <v>21222</v>
      </c>
      <c r="M11" s="1689">
        <v>11256</v>
      </c>
      <c r="N11" s="1690">
        <v>9957</v>
      </c>
    </row>
    <row r="12" spans="1:14" ht="30.2" customHeight="1">
      <c r="A12" s="1688" t="s">
        <v>1060</v>
      </c>
      <c r="B12" s="1689">
        <v>15517</v>
      </c>
      <c r="C12" s="1689">
        <v>11081</v>
      </c>
      <c r="D12" s="1689">
        <v>4423</v>
      </c>
      <c r="E12" s="1689">
        <v>15579</v>
      </c>
      <c r="F12" s="1689">
        <v>11916</v>
      </c>
      <c r="G12" s="1689">
        <v>8272</v>
      </c>
      <c r="H12" s="1689">
        <v>3637</v>
      </c>
      <c r="I12" s="1689">
        <v>2170</v>
      </c>
      <c r="J12" s="1689">
        <v>1628</v>
      </c>
      <c r="K12" s="1689">
        <v>542</v>
      </c>
      <c r="L12" s="1689">
        <v>21170</v>
      </c>
      <c r="M12" s="1689">
        <v>11241</v>
      </c>
      <c r="N12" s="1690">
        <v>9914</v>
      </c>
    </row>
    <row r="13" spans="1:14" ht="30.2" customHeight="1">
      <c r="A13" s="1688" t="s">
        <v>1061</v>
      </c>
      <c r="B13" s="1689">
        <v>16350</v>
      </c>
      <c r="C13" s="1689">
        <v>11807</v>
      </c>
      <c r="D13" s="1689">
        <v>4532</v>
      </c>
      <c r="E13" s="1689">
        <v>15890</v>
      </c>
      <c r="F13" s="1689">
        <v>11995</v>
      </c>
      <c r="G13" s="1689">
        <v>8455</v>
      </c>
      <c r="H13" s="1689">
        <v>3534</v>
      </c>
      <c r="I13" s="1689">
        <v>2324</v>
      </c>
      <c r="J13" s="1689">
        <v>1798</v>
      </c>
      <c r="K13" s="1689">
        <v>523</v>
      </c>
      <c r="L13" s="1689">
        <v>21638</v>
      </c>
      <c r="M13" s="1689">
        <v>11507</v>
      </c>
      <c r="N13" s="1690">
        <v>10115</v>
      </c>
    </row>
    <row r="14" spans="1:14" ht="30.2" customHeight="1">
      <c r="A14" s="1688" t="s">
        <v>1062</v>
      </c>
      <c r="B14" s="1689">
        <v>17590</v>
      </c>
      <c r="C14" s="1689">
        <v>12571</v>
      </c>
      <c r="D14" s="1689">
        <v>5008</v>
      </c>
      <c r="E14" s="1689">
        <v>16370</v>
      </c>
      <c r="F14" s="1689">
        <v>12078</v>
      </c>
      <c r="G14" s="1689">
        <v>8453</v>
      </c>
      <c r="H14" s="1689">
        <v>3617</v>
      </c>
      <c r="I14" s="1689">
        <v>2543</v>
      </c>
      <c r="J14" s="1689">
        <v>1983</v>
      </c>
      <c r="K14" s="1689">
        <v>559</v>
      </c>
      <c r="L14" s="1689">
        <v>22863</v>
      </c>
      <c r="M14" s="1689">
        <v>12206</v>
      </c>
      <c r="N14" s="1690">
        <v>10639</v>
      </c>
    </row>
    <row r="15" spans="1:14" ht="30.2" customHeight="1">
      <c r="A15" s="1688" t="s">
        <v>1063</v>
      </c>
      <c r="B15" s="1689">
        <v>17509</v>
      </c>
      <c r="C15" s="1689">
        <v>11956</v>
      </c>
      <c r="D15" s="1689">
        <v>5544</v>
      </c>
      <c r="E15" s="1689">
        <v>16010</v>
      </c>
      <c r="F15" s="1689">
        <v>11668</v>
      </c>
      <c r="G15" s="1689">
        <v>8049</v>
      </c>
      <c r="H15" s="1689">
        <v>3609</v>
      </c>
      <c r="I15" s="1689">
        <v>2638</v>
      </c>
      <c r="J15" s="1689">
        <v>1989</v>
      </c>
      <c r="K15" s="1689">
        <v>645</v>
      </c>
      <c r="L15" s="1689">
        <v>24371</v>
      </c>
      <c r="M15" s="1689">
        <v>12751</v>
      </c>
      <c r="N15" s="1690">
        <v>11606</v>
      </c>
    </row>
    <row r="16" spans="1:14" ht="30.2" customHeight="1">
      <c r="A16" s="1688" t="s">
        <v>1064</v>
      </c>
      <c r="B16" s="1689">
        <v>19269</v>
      </c>
      <c r="C16" s="1689">
        <v>13354</v>
      </c>
      <c r="D16" s="1689">
        <v>5906</v>
      </c>
      <c r="E16" s="1689">
        <v>18315</v>
      </c>
      <c r="F16" s="1689">
        <v>12265</v>
      </c>
      <c r="G16" s="1689">
        <v>8312</v>
      </c>
      <c r="H16" s="1689">
        <v>3942</v>
      </c>
      <c r="I16" s="1689">
        <v>2319</v>
      </c>
      <c r="J16" s="1689">
        <v>1595</v>
      </c>
      <c r="K16" s="1689">
        <v>724</v>
      </c>
      <c r="L16" s="1689">
        <v>25334</v>
      </c>
      <c r="M16" s="1689">
        <v>13367</v>
      </c>
      <c r="N16" s="1690">
        <v>11956</v>
      </c>
    </row>
    <row r="17" spans="1:14" ht="30.2" customHeight="1">
      <c r="A17" s="1688" t="s">
        <v>1065</v>
      </c>
      <c r="B17" s="1689">
        <v>17930</v>
      </c>
      <c r="C17" s="1689">
        <v>12833</v>
      </c>
      <c r="D17" s="1689">
        <v>5087</v>
      </c>
      <c r="E17" s="1689">
        <v>17955</v>
      </c>
      <c r="F17" s="1689">
        <v>12746</v>
      </c>
      <c r="G17" s="1689">
        <v>8371</v>
      </c>
      <c r="H17" s="1689">
        <v>4366</v>
      </c>
      <c r="I17" s="1689">
        <v>2090</v>
      </c>
      <c r="J17" s="1689">
        <v>1393</v>
      </c>
      <c r="K17" s="1689">
        <v>697</v>
      </c>
      <c r="L17" s="1689">
        <v>25316</v>
      </c>
      <c r="M17" s="1689">
        <v>13647</v>
      </c>
      <c r="N17" s="1690">
        <v>11655</v>
      </c>
    </row>
    <row r="18" spans="1:14" ht="30.2" customHeight="1">
      <c r="A18" s="1688" t="s">
        <v>1066</v>
      </c>
      <c r="B18" s="1689">
        <v>16387</v>
      </c>
      <c r="C18" s="1689">
        <v>11391</v>
      </c>
      <c r="D18" s="1689">
        <v>4981</v>
      </c>
      <c r="E18" s="1689">
        <v>17605</v>
      </c>
      <c r="F18" s="1689">
        <v>12598</v>
      </c>
      <c r="G18" s="1689">
        <v>8273</v>
      </c>
      <c r="H18" s="1689">
        <v>4312</v>
      </c>
      <c r="I18" s="1689">
        <v>2001</v>
      </c>
      <c r="J18" s="1689">
        <v>1339</v>
      </c>
      <c r="K18" s="1689">
        <v>661</v>
      </c>
      <c r="L18" s="1689">
        <v>24123</v>
      </c>
      <c r="M18" s="1689">
        <v>12747</v>
      </c>
      <c r="N18" s="1690">
        <v>11359</v>
      </c>
    </row>
    <row r="19" spans="1:14" ht="30.2" customHeight="1">
      <c r="A19" s="1691" t="s">
        <v>1067</v>
      </c>
      <c r="B19" s="1692">
        <v>17873</v>
      </c>
      <c r="C19" s="1692">
        <v>12650</v>
      </c>
      <c r="D19" s="1692">
        <v>5210</v>
      </c>
      <c r="E19" s="1692">
        <v>17643</v>
      </c>
      <c r="F19" s="1692">
        <v>12938</v>
      </c>
      <c r="G19" s="1692">
        <v>8463</v>
      </c>
      <c r="H19" s="1692">
        <v>4468</v>
      </c>
      <c r="I19" s="1692">
        <v>1828</v>
      </c>
      <c r="J19" s="1692">
        <v>1227</v>
      </c>
      <c r="K19" s="1692">
        <v>601</v>
      </c>
      <c r="L19" s="1692">
        <v>24382</v>
      </c>
      <c r="M19" s="1692">
        <v>13157</v>
      </c>
      <c r="N19" s="1693">
        <v>11203</v>
      </c>
    </row>
    <row r="20" spans="1:14" s="945" customFormat="1" ht="17.25" customHeight="1">
      <c r="A20" s="1694" t="s">
        <v>2199</v>
      </c>
    </row>
    <row r="21" spans="1:14">
      <c r="A21" s="1695" t="s">
        <v>2200</v>
      </c>
    </row>
  </sheetData>
  <mergeCells count="15">
    <mergeCell ref="A1:N1"/>
    <mergeCell ref="A3:A9"/>
    <mergeCell ref="B3:B9"/>
    <mergeCell ref="E3:E9"/>
    <mergeCell ref="L3:L9"/>
    <mergeCell ref="F4:F9"/>
    <mergeCell ref="I4:I9"/>
    <mergeCell ref="C5:C9"/>
    <mergeCell ref="D5:D9"/>
    <mergeCell ref="G5:G9"/>
    <mergeCell ref="H5:H9"/>
    <mergeCell ref="J5:J9"/>
    <mergeCell ref="K5:K9"/>
    <mergeCell ref="M5:M9"/>
    <mergeCell ref="N5:N9"/>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7" orientation="landscape" r:id="rId1"/>
  <headerFooter differentOddEven="1" scaleWithDoc="0">
    <oddHeader>&amp;L&amp;"Times New Roman,標準"&amp;8 107&amp;"標楷體,標準"年犯罪狀況及其分析</oddHeader>
    <evenHeader>&amp;R&amp;"標楷體,標準"&amp;8第二篇　犯罪之處理</evenHeader>
  </headerFooter>
  <colBreaks count="1" manualBreakCount="1">
    <brk id="7"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AT22"/>
  <sheetViews>
    <sheetView showGridLines="0" workbookViewId="0">
      <selection activeCell="B16" sqref="B16"/>
    </sheetView>
  </sheetViews>
  <sheetFormatPr defaultRowHeight="12.75"/>
  <cols>
    <col min="1" max="10" width="12.625" style="1696" customWidth="1"/>
    <col min="11" max="256" width="9" style="1696"/>
    <col min="257" max="266" width="12.625" style="1696" customWidth="1"/>
    <col min="267" max="512" width="9" style="1696"/>
    <col min="513" max="522" width="12.625" style="1696" customWidth="1"/>
    <col min="523" max="768" width="9" style="1696"/>
    <col min="769" max="778" width="12.625" style="1696" customWidth="1"/>
    <col min="779" max="1024" width="9" style="1696"/>
    <col min="1025" max="1034" width="12.625" style="1696" customWidth="1"/>
    <col min="1035" max="1280" width="9" style="1696"/>
    <col min="1281" max="1290" width="12.625" style="1696" customWidth="1"/>
    <col min="1291" max="1536" width="9" style="1696"/>
    <col min="1537" max="1546" width="12.625" style="1696" customWidth="1"/>
    <col min="1547" max="1792" width="9" style="1696"/>
    <col min="1793" max="1802" width="12.625" style="1696" customWidth="1"/>
    <col min="1803" max="2048" width="9" style="1696"/>
    <col min="2049" max="2058" width="12.625" style="1696" customWidth="1"/>
    <col min="2059" max="2304" width="9" style="1696"/>
    <col min="2305" max="2314" width="12.625" style="1696" customWidth="1"/>
    <col min="2315" max="2560" width="9" style="1696"/>
    <col min="2561" max="2570" width="12.625" style="1696" customWidth="1"/>
    <col min="2571" max="2816" width="9" style="1696"/>
    <col min="2817" max="2826" width="12.625" style="1696" customWidth="1"/>
    <col min="2827" max="3072" width="9" style="1696"/>
    <col min="3073" max="3082" width="12.625" style="1696" customWidth="1"/>
    <col min="3083" max="3328" width="9" style="1696"/>
    <col min="3329" max="3338" width="12.625" style="1696" customWidth="1"/>
    <col min="3339" max="3584" width="9" style="1696"/>
    <col min="3585" max="3594" width="12.625" style="1696" customWidth="1"/>
    <col min="3595" max="3840" width="9" style="1696"/>
    <col min="3841" max="3850" width="12.625" style="1696" customWidth="1"/>
    <col min="3851" max="4096" width="9" style="1696"/>
    <col min="4097" max="4106" width="12.625" style="1696" customWidth="1"/>
    <col min="4107" max="4352" width="9" style="1696"/>
    <col min="4353" max="4362" width="12.625" style="1696" customWidth="1"/>
    <col min="4363" max="4608" width="9" style="1696"/>
    <col min="4609" max="4618" width="12.625" style="1696" customWidth="1"/>
    <col min="4619" max="4864" width="9" style="1696"/>
    <col min="4865" max="4874" width="12.625" style="1696" customWidth="1"/>
    <col min="4875" max="5120" width="9" style="1696"/>
    <col min="5121" max="5130" width="12.625" style="1696" customWidth="1"/>
    <col min="5131" max="5376" width="9" style="1696"/>
    <col min="5377" max="5386" width="12.625" style="1696" customWidth="1"/>
    <col min="5387" max="5632" width="9" style="1696"/>
    <col min="5633" max="5642" width="12.625" style="1696" customWidth="1"/>
    <col min="5643" max="5888" width="9" style="1696"/>
    <col min="5889" max="5898" width="12.625" style="1696" customWidth="1"/>
    <col min="5899" max="6144" width="9" style="1696"/>
    <col min="6145" max="6154" width="12.625" style="1696" customWidth="1"/>
    <col min="6155" max="6400" width="9" style="1696"/>
    <col min="6401" max="6410" width="12.625" style="1696" customWidth="1"/>
    <col min="6411" max="6656" width="9" style="1696"/>
    <col min="6657" max="6666" width="12.625" style="1696" customWidth="1"/>
    <col min="6667" max="6912" width="9" style="1696"/>
    <col min="6913" max="6922" width="12.625" style="1696" customWidth="1"/>
    <col min="6923" max="7168" width="9" style="1696"/>
    <col min="7169" max="7178" width="12.625" style="1696" customWidth="1"/>
    <col min="7179" max="7424" width="9" style="1696"/>
    <col min="7425" max="7434" width="12.625" style="1696" customWidth="1"/>
    <col min="7435" max="7680" width="9" style="1696"/>
    <col min="7681" max="7690" width="12.625" style="1696" customWidth="1"/>
    <col min="7691" max="7936" width="9" style="1696"/>
    <col min="7937" max="7946" width="12.625" style="1696" customWidth="1"/>
    <col min="7947" max="8192" width="9" style="1696"/>
    <col min="8193" max="8202" width="12.625" style="1696" customWidth="1"/>
    <col min="8203" max="8448" width="9" style="1696"/>
    <col min="8449" max="8458" width="12.625" style="1696" customWidth="1"/>
    <col min="8459" max="8704" width="9" style="1696"/>
    <col min="8705" max="8714" width="12.625" style="1696" customWidth="1"/>
    <col min="8715" max="8960" width="9" style="1696"/>
    <col min="8961" max="8970" width="12.625" style="1696" customWidth="1"/>
    <col min="8971" max="9216" width="9" style="1696"/>
    <col min="9217" max="9226" width="12.625" style="1696" customWidth="1"/>
    <col min="9227" max="9472" width="9" style="1696"/>
    <col min="9473" max="9482" width="12.625" style="1696" customWidth="1"/>
    <col min="9483" max="9728" width="9" style="1696"/>
    <col min="9729" max="9738" width="12.625" style="1696" customWidth="1"/>
    <col min="9739" max="9984" width="9" style="1696"/>
    <col min="9985" max="9994" width="12.625" style="1696" customWidth="1"/>
    <col min="9995" max="10240" width="9" style="1696"/>
    <col min="10241" max="10250" width="12.625" style="1696" customWidth="1"/>
    <col min="10251" max="10496" width="9" style="1696"/>
    <col min="10497" max="10506" width="12.625" style="1696" customWidth="1"/>
    <col min="10507" max="10752" width="9" style="1696"/>
    <col min="10753" max="10762" width="12.625" style="1696" customWidth="1"/>
    <col min="10763" max="11008" width="9" style="1696"/>
    <col min="11009" max="11018" width="12.625" style="1696" customWidth="1"/>
    <col min="11019" max="11264" width="9" style="1696"/>
    <col min="11265" max="11274" width="12.625" style="1696" customWidth="1"/>
    <col min="11275" max="11520" width="9" style="1696"/>
    <col min="11521" max="11530" width="12.625" style="1696" customWidth="1"/>
    <col min="11531" max="11776" width="9" style="1696"/>
    <col min="11777" max="11786" width="12.625" style="1696" customWidth="1"/>
    <col min="11787" max="12032" width="9" style="1696"/>
    <col min="12033" max="12042" width="12.625" style="1696" customWidth="1"/>
    <col min="12043" max="12288" width="9" style="1696"/>
    <col min="12289" max="12298" width="12.625" style="1696" customWidth="1"/>
    <col min="12299" max="12544" width="9" style="1696"/>
    <col min="12545" max="12554" width="12.625" style="1696" customWidth="1"/>
    <col min="12555" max="12800" width="9" style="1696"/>
    <col min="12801" max="12810" width="12.625" style="1696" customWidth="1"/>
    <col min="12811" max="13056" width="9" style="1696"/>
    <col min="13057" max="13066" width="12.625" style="1696" customWidth="1"/>
    <col min="13067" max="13312" width="9" style="1696"/>
    <col min="13313" max="13322" width="12.625" style="1696" customWidth="1"/>
    <col min="13323" max="13568" width="9" style="1696"/>
    <col min="13569" max="13578" width="12.625" style="1696" customWidth="1"/>
    <col min="13579" max="13824" width="9" style="1696"/>
    <col min="13825" max="13834" width="12.625" style="1696" customWidth="1"/>
    <col min="13835" max="14080" width="9" style="1696"/>
    <col min="14081" max="14090" width="12.625" style="1696" customWidth="1"/>
    <col min="14091" max="14336" width="9" style="1696"/>
    <col min="14337" max="14346" width="12.625" style="1696" customWidth="1"/>
    <col min="14347" max="14592" width="9" style="1696"/>
    <col min="14593" max="14602" width="12.625" style="1696" customWidth="1"/>
    <col min="14603" max="14848" width="9" style="1696"/>
    <col min="14849" max="14858" width="12.625" style="1696" customWidth="1"/>
    <col min="14859" max="15104" width="9" style="1696"/>
    <col min="15105" max="15114" width="12.625" style="1696" customWidth="1"/>
    <col min="15115" max="15360" width="9" style="1696"/>
    <col min="15361" max="15370" width="12.625" style="1696" customWidth="1"/>
    <col min="15371" max="15616" width="9" style="1696"/>
    <col min="15617" max="15626" width="12.625" style="1696" customWidth="1"/>
    <col min="15627" max="15872" width="9" style="1696"/>
    <col min="15873" max="15882" width="12.625" style="1696" customWidth="1"/>
    <col min="15883" max="16128" width="9" style="1696"/>
    <col min="16129" max="16138" width="12.625" style="1696" customWidth="1"/>
    <col min="16139" max="16384" width="9" style="1696"/>
  </cols>
  <sheetData>
    <row r="1" spans="1:46" ht="19.5">
      <c r="A1" s="3602" t="s">
        <v>2201</v>
      </c>
      <c r="B1" s="3603"/>
      <c r="C1" s="3603"/>
      <c r="D1" s="3603"/>
      <c r="E1" s="3603"/>
      <c r="F1" s="3603"/>
      <c r="G1" s="3603"/>
      <c r="H1" s="3603"/>
      <c r="I1" s="3603"/>
      <c r="J1" s="3603"/>
    </row>
    <row r="2" spans="1:46" ht="16.5" customHeight="1">
      <c r="A2" s="1697"/>
      <c r="B2" s="1697"/>
      <c r="C2" s="1697"/>
      <c r="D2" s="1697"/>
      <c r="E2" s="1697"/>
      <c r="F2" s="1697"/>
      <c r="G2" s="1697"/>
      <c r="I2" s="1697"/>
      <c r="J2" s="1698" t="s">
        <v>2202</v>
      </c>
    </row>
    <row r="3" spans="1:46" ht="28.5" customHeight="1">
      <c r="A3" s="3604"/>
      <c r="B3" s="3607" t="s">
        <v>2203</v>
      </c>
      <c r="C3" s="1699"/>
      <c r="D3" s="1699"/>
      <c r="E3" s="1700"/>
      <c r="F3" s="3599" t="s">
        <v>2204</v>
      </c>
      <c r="G3" s="1699"/>
      <c r="H3" s="1699"/>
      <c r="I3" s="1699"/>
      <c r="J3" s="1699"/>
    </row>
    <row r="4" spans="1:46" ht="18" customHeight="1">
      <c r="A4" s="3605"/>
      <c r="B4" s="3608"/>
      <c r="C4" s="3610" t="s">
        <v>2205</v>
      </c>
      <c r="D4" s="3610" t="s">
        <v>2206</v>
      </c>
      <c r="E4" s="3610" t="s">
        <v>2207</v>
      </c>
      <c r="F4" s="3600"/>
      <c r="G4" s="3610" t="s">
        <v>2208</v>
      </c>
      <c r="H4" s="3599" t="s">
        <v>2209</v>
      </c>
      <c r="I4" s="3610" t="s">
        <v>2210</v>
      </c>
      <c r="J4" s="3599" t="s">
        <v>2211</v>
      </c>
    </row>
    <row r="5" spans="1:46" ht="18" customHeight="1">
      <c r="A5" s="3605"/>
      <c r="B5" s="3608"/>
      <c r="C5" s="3611"/>
      <c r="D5" s="3611"/>
      <c r="E5" s="3611"/>
      <c r="F5" s="3600"/>
      <c r="G5" s="3611"/>
      <c r="H5" s="3600"/>
      <c r="I5" s="3611"/>
      <c r="J5" s="3600"/>
    </row>
    <row r="6" spans="1:46" ht="18" customHeight="1">
      <c r="A6" s="3605"/>
      <c r="B6" s="3608"/>
      <c r="C6" s="3611"/>
      <c r="D6" s="3611"/>
      <c r="E6" s="3611"/>
      <c r="F6" s="3600"/>
      <c r="G6" s="3611"/>
      <c r="H6" s="3600"/>
      <c r="I6" s="3611"/>
      <c r="J6" s="3600"/>
    </row>
    <row r="7" spans="1:46" ht="18" customHeight="1">
      <c r="A7" s="3605"/>
      <c r="B7" s="3608"/>
      <c r="C7" s="3611"/>
      <c r="D7" s="3611"/>
      <c r="E7" s="3611"/>
      <c r="F7" s="3600"/>
      <c r="G7" s="3611"/>
      <c r="H7" s="3600"/>
      <c r="I7" s="3611"/>
      <c r="J7" s="3600"/>
    </row>
    <row r="8" spans="1:46" ht="37.35" customHeight="1">
      <c r="A8" s="3606"/>
      <c r="B8" s="3609"/>
      <c r="C8" s="3612"/>
      <c r="D8" s="3612"/>
      <c r="E8" s="3612"/>
      <c r="F8" s="3601"/>
      <c r="G8" s="3612"/>
      <c r="H8" s="3601"/>
      <c r="I8" s="3612"/>
      <c r="J8" s="3601"/>
    </row>
    <row r="9" spans="1:46" s="1705" customFormat="1" ht="30.2" customHeight="1">
      <c r="A9" s="1701" t="s">
        <v>2212</v>
      </c>
      <c r="B9" s="1702">
        <v>442824</v>
      </c>
      <c r="C9" s="1702">
        <v>209190</v>
      </c>
      <c r="D9" s="1702">
        <v>20605</v>
      </c>
      <c r="E9" s="1702">
        <v>17892</v>
      </c>
      <c r="F9" s="1702">
        <v>221795</v>
      </c>
      <c r="G9" s="1702">
        <v>5014</v>
      </c>
      <c r="H9" s="1702">
        <v>1835</v>
      </c>
      <c r="I9" s="1702">
        <v>6462</v>
      </c>
      <c r="J9" s="1703">
        <v>1790</v>
      </c>
      <c r="K9" s="1704"/>
      <c r="L9" s="1704"/>
      <c r="M9" s="1704"/>
      <c r="N9" s="1704"/>
      <c r="O9" s="1704"/>
      <c r="P9" s="1704"/>
      <c r="Q9" s="1704"/>
      <c r="R9" s="1704"/>
      <c r="S9" s="1704"/>
      <c r="T9" s="1704"/>
      <c r="U9" s="1704"/>
      <c r="V9" s="1704"/>
      <c r="W9" s="1704"/>
      <c r="X9" s="1704"/>
      <c r="Y9" s="1704"/>
      <c r="Z9" s="1704"/>
      <c r="AA9" s="1704"/>
      <c r="AB9" s="1704"/>
      <c r="AC9" s="1704"/>
      <c r="AD9" s="1704"/>
      <c r="AE9" s="1704"/>
      <c r="AF9" s="1704"/>
      <c r="AG9" s="1704"/>
      <c r="AH9" s="1704"/>
      <c r="AI9" s="1704"/>
      <c r="AJ9" s="1704"/>
      <c r="AK9" s="1704"/>
      <c r="AL9" s="1704"/>
      <c r="AM9" s="1704"/>
      <c r="AN9" s="1704"/>
      <c r="AO9" s="1704"/>
      <c r="AP9" s="1704"/>
      <c r="AQ9" s="1704"/>
      <c r="AR9" s="1704"/>
      <c r="AS9" s="1704"/>
      <c r="AT9" s="1704"/>
    </row>
    <row r="10" spans="1:46" s="1705" customFormat="1" ht="30.2" customHeight="1">
      <c r="A10" s="1701" t="s">
        <v>1107</v>
      </c>
      <c r="B10" s="1702">
        <v>509340</v>
      </c>
      <c r="C10" s="1702">
        <v>235960</v>
      </c>
      <c r="D10" s="1702">
        <v>18965</v>
      </c>
      <c r="E10" s="1702">
        <v>22061</v>
      </c>
      <c r="F10" s="1702">
        <v>220056</v>
      </c>
      <c r="G10" s="1702">
        <v>4432</v>
      </c>
      <c r="H10" s="1702">
        <v>1609</v>
      </c>
      <c r="I10" s="1702">
        <v>7924</v>
      </c>
      <c r="J10" s="1703">
        <v>1943</v>
      </c>
      <c r="K10" s="1704"/>
      <c r="L10" s="1704"/>
      <c r="M10" s="1704"/>
      <c r="N10" s="1704"/>
      <c r="O10" s="1704"/>
      <c r="P10" s="1704"/>
      <c r="Q10" s="1704"/>
      <c r="R10" s="1704"/>
      <c r="S10" s="1704"/>
      <c r="T10" s="1704"/>
      <c r="U10" s="1704"/>
      <c r="V10" s="1704"/>
      <c r="W10" s="1704"/>
      <c r="X10" s="1704"/>
      <c r="Y10" s="1704"/>
      <c r="Z10" s="1704"/>
      <c r="AA10" s="1704"/>
      <c r="AB10" s="1704"/>
      <c r="AC10" s="1704"/>
      <c r="AD10" s="1704"/>
      <c r="AE10" s="1704"/>
      <c r="AF10" s="1704"/>
      <c r="AG10" s="1704"/>
      <c r="AH10" s="1704"/>
      <c r="AI10" s="1704"/>
      <c r="AJ10" s="1704"/>
      <c r="AK10" s="1704"/>
      <c r="AL10" s="1704"/>
      <c r="AM10" s="1704"/>
      <c r="AN10" s="1704"/>
      <c r="AO10" s="1704"/>
      <c r="AP10" s="1704"/>
      <c r="AQ10" s="1704"/>
      <c r="AR10" s="1704"/>
      <c r="AS10" s="1704"/>
      <c r="AT10" s="1704"/>
    </row>
    <row r="11" spans="1:46" s="1705" customFormat="1" ht="30.2" customHeight="1">
      <c r="A11" s="1701" t="s">
        <v>1060</v>
      </c>
      <c r="B11" s="1702">
        <v>559102</v>
      </c>
      <c r="C11" s="1702">
        <v>253406</v>
      </c>
      <c r="D11" s="1702">
        <v>19147</v>
      </c>
      <c r="E11" s="1702">
        <v>26087</v>
      </c>
      <c r="F11" s="1702">
        <v>224780</v>
      </c>
      <c r="G11" s="1702">
        <v>5509</v>
      </c>
      <c r="H11" s="1702">
        <v>1454</v>
      </c>
      <c r="I11" s="1702">
        <v>8962</v>
      </c>
      <c r="J11" s="1703">
        <v>3576</v>
      </c>
      <c r="K11" s="1704"/>
      <c r="L11" s="1704"/>
      <c r="M11" s="1704"/>
      <c r="N11" s="1704"/>
      <c r="O11" s="1704"/>
      <c r="P11" s="1704"/>
      <c r="Q11" s="1704"/>
      <c r="R11" s="1704"/>
      <c r="S11" s="1704"/>
      <c r="T11" s="1704"/>
      <c r="U11" s="1704"/>
      <c r="V11" s="1704"/>
      <c r="W11" s="1704"/>
      <c r="X11" s="1704"/>
      <c r="Y11" s="1704"/>
      <c r="Z11" s="1704"/>
      <c r="AA11" s="1704"/>
      <c r="AB11" s="1704"/>
      <c r="AC11" s="1704"/>
      <c r="AD11" s="1704"/>
      <c r="AE11" s="1704"/>
      <c r="AF11" s="1704"/>
      <c r="AG11" s="1704"/>
      <c r="AH11" s="1704"/>
      <c r="AI11" s="1704"/>
      <c r="AJ11" s="1704"/>
      <c r="AK11" s="1704"/>
      <c r="AL11" s="1704"/>
      <c r="AM11" s="1704"/>
      <c r="AN11" s="1704"/>
      <c r="AO11" s="1704"/>
      <c r="AP11" s="1704"/>
      <c r="AQ11" s="1704"/>
      <c r="AR11" s="1704"/>
      <c r="AS11" s="1704"/>
      <c r="AT11" s="1704"/>
    </row>
    <row r="12" spans="1:46" s="1705" customFormat="1" ht="30.2" customHeight="1">
      <c r="A12" s="1701" t="s">
        <v>1061</v>
      </c>
      <c r="B12" s="1702">
        <v>577853</v>
      </c>
      <c r="C12" s="1702">
        <v>259123</v>
      </c>
      <c r="D12" s="1702">
        <v>21148</v>
      </c>
      <c r="E12" s="1702">
        <v>28152</v>
      </c>
      <c r="F12" s="1702">
        <v>219821</v>
      </c>
      <c r="G12" s="1702">
        <v>4874</v>
      </c>
      <c r="H12" s="1702">
        <v>1307</v>
      </c>
      <c r="I12" s="1702">
        <v>8906</v>
      </c>
      <c r="J12" s="1703">
        <v>3082</v>
      </c>
      <c r="K12" s="1704"/>
      <c r="L12" s="1704"/>
      <c r="M12" s="1704"/>
      <c r="N12" s="1704"/>
      <c r="O12" s="1704"/>
      <c r="P12" s="1704"/>
      <c r="Q12" s="1704"/>
      <c r="R12" s="1704"/>
      <c r="S12" s="1704"/>
      <c r="T12" s="1704"/>
      <c r="U12" s="1704"/>
      <c r="V12" s="1704"/>
      <c r="W12" s="1704"/>
      <c r="X12" s="1704"/>
      <c r="Y12" s="1704"/>
      <c r="Z12" s="1704"/>
      <c r="AA12" s="1704"/>
      <c r="AB12" s="1704"/>
      <c r="AC12" s="1704"/>
      <c r="AD12" s="1704"/>
      <c r="AE12" s="1704"/>
      <c r="AF12" s="1704"/>
      <c r="AG12" s="1704"/>
      <c r="AH12" s="1704"/>
      <c r="AI12" s="1704"/>
      <c r="AJ12" s="1704"/>
      <c r="AK12" s="1704"/>
      <c r="AL12" s="1704"/>
      <c r="AM12" s="1704"/>
      <c r="AN12" s="1704"/>
      <c r="AO12" s="1704"/>
      <c r="AP12" s="1704"/>
      <c r="AQ12" s="1704"/>
      <c r="AR12" s="1704"/>
      <c r="AS12" s="1704"/>
      <c r="AT12" s="1704"/>
    </row>
    <row r="13" spans="1:46" s="1705" customFormat="1" ht="30.2" customHeight="1">
      <c r="A13" s="1701" t="s">
        <v>1062</v>
      </c>
      <c r="B13" s="1702">
        <v>608347</v>
      </c>
      <c r="C13" s="1702">
        <v>271796</v>
      </c>
      <c r="D13" s="1702">
        <v>20163</v>
      </c>
      <c r="E13" s="1702">
        <v>29289</v>
      </c>
      <c r="F13" s="1702">
        <v>227358</v>
      </c>
      <c r="G13" s="1702">
        <v>4395</v>
      </c>
      <c r="H13" s="1702">
        <v>1598</v>
      </c>
      <c r="I13" s="1702">
        <v>8560</v>
      </c>
      <c r="J13" s="1703">
        <v>6675</v>
      </c>
      <c r="K13" s="1704"/>
      <c r="L13" s="1704"/>
      <c r="M13" s="1704"/>
      <c r="N13" s="1704"/>
      <c r="O13" s="1704"/>
      <c r="P13" s="1704"/>
      <c r="Q13" s="1704"/>
      <c r="R13" s="1704"/>
      <c r="S13" s="1704"/>
      <c r="T13" s="1704"/>
      <c r="U13" s="1704"/>
      <c r="V13" s="1704"/>
      <c r="W13" s="1704"/>
      <c r="X13" s="1704"/>
      <c r="Y13" s="1704"/>
      <c r="Z13" s="1704"/>
      <c r="AA13" s="1704"/>
      <c r="AB13" s="1704"/>
      <c r="AC13" s="1704"/>
      <c r="AD13" s="1704"/>
      <c r="AE13" s="1704"/>
      <c r="AF13" s="1704"/>
      <c r="AG13" s="1704"/>
      <c r="AH13" s="1704"/>
      <c r="AI13" s="1704"/>
      <c r="AJ13" s="1704"/>
      <c r="AK13" s="1704"/>
      <c r="AL13" s="1704"/>
      <c r="AM13" s="1704"/>
      <c r="AN13" s="1704"/>
      <c r="AO13" s="1704"/>
      <c r="AP13" s="1704"/>
      <c r="AQ13" s="1704"/>
      <c r="AR13" s="1704"/>
      <c r="AS13" s="1704"/>
      <c r="AT13" s="1704"/>
    </row>
    <row r="14" spans="1:46" s="1705" customFormat="1" ht="30.2" customHeight="1">
      <c r="A14" s="1701" t="s">
        <v>1063</v>
      </c>
      <c r="B14" s="1702">
        <v>603051</v>
      </c>
      <c r="C14" s="1702">
        <v>275581</v>
      </c>
      <c r="D14" s="1702">
        <v>19004</v>
      </c>
      <c r="E14" s="1702">
        <v>32055</v>
      </c>
      <c r="F14" s="1702">
        <v>225850</v>
      </c>
      <c r="G14" s="1702">
        <v>7209</v>
      </c>
      <c r="H14" s="1702">
        <v>2072</v>
      </c>
      <c r="I14" s="1702">
        <v>7729</v>
      </c>
      <c r="J14" s="1703">
        <v>5937</v>
      </c>
      <c r="K14" s="1704"/>
      <c r="L14" s="1704"/>
      <c r="M14" s="1704"/>
      <c r="N14" s="1704"/>
      <c r="O14" s="1704"/>
      <c r="P14" s="1704"/>
      <c r="Q14" s="1704"/>
      <c r="R14" s="1704"/>
      <c r="S14" s="1704"/>
      <c r="T14" s="1704"/>
      <c r="U14" s="1704"/>
      <c r="V14" s="1704"/>
      <c r="W14" s="1704"/>
      <c r="X14" s="1704"/>
      <c r="Y14" s="1704"/>
      <c r="Z14" s="1704"/>
      <c r="AA14" s="1704"/>
      <c r="AB14" s="1704"/>
      <c r="AC14" s="1704"/>
      <c r="AD14" s="1704"/>
      <c r="AE14" s="1704"/>
      <c r="AF14" s="1704"/>
      <c r="AG14" s="1704"/>
      <c r="AH14" s="1704"/>
      <c r="AI14" s="1704"/>
      <c r="AJ14" s="1704"/>
      <c r="AK14" s="1704"/>
      <c r="AL14" s="1704"/>
      <c r="AM14" s="1704"/>
      <c r="AN14" s="1704"/>
      <c r="AO14" s="1704"/>
      <c r="AP14" s="1704"/>
      <c r="AQ14" s="1704"/>
      <c r="AR14" s="1704"/>
      <c r="AS14" s="1704"/>
      <c r="AT14" s="1704"/>
    </row>
    <row r="15" spans="1:46" s="1705" customFormat="1" ht="30.2" customHeight="1">
      <c r="A15" s="1701" t="s">
        <v>1064</v>
      </c>
      <c r="B15" s="1702">
        <v>615126</v>
      </c>
      <c r="C15" s="1702">
        <v>284380</v>
      </c>
      <c r="D15" s="1702">
        <v>21791</v>
      </c>
      <c r="E15" s="1702">
        <v>35058</v>
      </c>
      <c r="F15" s="1702">
        <v>205462</v>
      </c>
      <c r="G15" s="1702">
        <v>6740</v>
      </c>
      <c r="H15" s="1702">
        <v>2030</v>
      </c>
      <c r="I15" s="1702">
        <v>8884</v>
      </c>
      <c r="J15" s="1703">
        <v>509</v>
      </c>
      <c r="K15" s="1704"/>
      <c r="L15" s="1704"/>
      <c r="M15" s="1704"/>
      <c r="N15" s="1704"/>
      <c r="O15" s="1704"/>
      <c r="P15" s="1704"/>
      <c r="Q15" s="1704"/>
      <c r="R15" s="1704"/>
      <c r="S15" s="1704"/>
      <c r="T15" s="1704"/>
      <c r="U15" s="1704"/>
      <c r="V15" s="1704"/>
      <c r="W15" s="1704"/>
      <c r="X15" s="1704"/>
      <c r="Y15" s="1704"/>
      <c r="Z15" s="1704"/>
      <c r="AA15" s="1704"/>
      <c r="AB15" s="1704"/>
      <c r="AC15" s="1704"/>
      <c r="AD15" s="1704"/>
      <c r="AE15" s="1704"/>
      <c r="AF15" s="1704"/>
      <c r="AG15" s="1704"/>
      <c r="AH15" s="1704"/>
      <c r="AI15" s="1704"/>
      <c r="AJ15" s="1704"/>
      <c r="AK15" s="1704"/>
      <c r="AL15" s="1704"/>
      <c r="AM15" s="1704"/>
      <c r="AN15" s="1704"/>
      <c r="AO15" s="1704"/>
      <c r="AP15" s="1704"/>
      <c r="AQ15" s="1704"/>
      <c r="AR15" s="1704"/>
      <c r="AS15" s="1704"/>
      <c r="AT15" s="1704"/>
    </row>
    <row r="16" spans="1:46" s="1705" customFormat="1" ht="30.2" customHeight="1">
      <c r="A16" s="1701" t="s">
        <v>1065</v>
      </c>
      <c r="B16" s="1702">
        <v>649255</v>
      </c>
      <c r="C16" s="1702">
        <v>305596</v>
      </c>
      <c r="D16" s="1702">
        <v>26320</v>
      </c>
      <c r="E16" s="1702">
        <v>36512</v>
      </c>
      <c r="F16" s="1702">
        <v>228011</v>
      </c>
      <c r="G16" s="1702">
        <v>7425</v>
      </c>
      <c r="H16" s="1702">
        <v>3636</v>
      </c>
      <c r="I16" s="1702">
        <v>11192</v>
      </c>
      <c r="J16" s="1703">
        <v>532</v>
      </c>
      <c r="K16" s="1704"/>
      <c r="L16" s="1704"/>
      <c r="M16" s="1704"/>
      <c r="N16" s="1704"/>
      <c r="O16" s="1704"/>
      <c r="P16" s="1704"/>
      <c r="Q16" s="1704"/>
      <c r="R16" s="1704"/>
      <c r="S16" s="1704"/>
      <c r="T16" s="1704"/>
      <c r="U16" s="1704"/>
      <c r="V16" s="1704"/>
      <c r="W16" s="1704"/>
      <c r="X16" s="1704"/>
      <c r="Y16" s="1704"/>
      <c r="Z16" s="1704"/>
      <c r="AA16" s="1704"/>
      <c r="AB16" s="1704"/>
      <c r="AC16" s="1704"/>
      <c r="AD16" s="1704"/>
      <c r="AE16" s="1704"/>
      <c r="AF16" s="1704"/>
      <c r="AG16" s="1704"/>
      <c r="AH16" s="1704"/>
      <c r="AI16" s="1704"/>
      <c r="AJ16" s="1704"/>
      <c r="AK16" s="1704"/>
      <c r="AL16" s="1704"/>
      <c r="AM16" s="1704"/>
      <c r="AN16" s="1704"/>
      <c r="AO16" s="1704"/>
      <c r="AP16" s="1704"/>
      <c r="AQ16" s="1704"/>
      <c r="AR16" s="1704"/>
      <c r="AS16" s="1704"/>
      <c r="AT16" s="1704"/>
    </row>
    <row r="17" spans="1:46" s="1705" customFormat="1" ht="30.2" customHeight="1">
      <c r="A17" s="1701" t="s">
        <v>1066</v>
      </c>
      <c r="B17" s="1702">
        <v>677183</v>
      </c>
      <c r="C17" s="1702">
        <v>314643</v>
      </c>
      <c r="D17" s="1702">
        <v>23894</v>
      </c>
      <c r="E17" s="1702">
        <v>36598</v>
      </c>
      <c r="F17" s="1702">
        <v>200430</v>
      </c>
      <c r="G17" s="1702">
        <v>4033</v>
      </c>
      <c r="H17" s="1702">
        <v>2444</v>
      </c>
      <c r="I17" s="1702">
        <v>10745</v>
      </c>
      <c r="J17" s="1703">
        <v>481</v>
      </c>
      <c r="K17" s="1704"/>
      <c r="L17" s="1704"/>
      <c r="M17" s="1704"/>
      <c r="N17" s="1704"/>
      <c r="O17" s="1704"/>
      <c r="P17" s="1704"/>
      <c r="Q17" s="1704"/>
      <c r="R17" s="1704"/>
      <c r="S17" s="1704"/>
      <c r="T17" s="1704"/>
      <c r="U17" s="1704"/>
      <c r="V17" s="1704"/>
      <c r="W17" s="1704"/>
      <c r="X17" s="1704"/>
      <c r="Y17" s="1704"/>
      <c r="Z17" s="1704"/>
      <c r="AA17" s="1704"/>
      <c r="AB17" s="1704"/>
      <c r="AC17" s="1704"/>
      <c r="AD17" s="1704"/>
      <c r="AE17" s="1704"/>
      <c r="AF17" s="1704"/>
      <c r="AG17" s="1704"/>
      <c r="AH17" s="1704"/>
      <c r="AI17" s="1704"/>
      <c r="AJ17" s="1704"/>
      <c r="AK17" s="1704"/>
      <c r="AL17" s="1704"/>
      <c r="AM17" s="1704"/>
      <c r="AN17" s="1704"/>
      <c r="AO17" s="1704"/>
      <c r="AP17" s="1704"/>
      <c r="AQ17" s="1704"/>
      <c r="AR17" s="1704"/>
      <c r="AS17" s="1704"/>
      <c r="AT17" s="1704"/>
    </row>
    <row r="18" spans="1:46" s="1705" customFormat="1" ht="30.2" customHeight="1">
      <c r="A18" s="1706" t="s">
        <v>1067</v>
      </c>
      <c r="B18" s="1707">
        <v>681893</v>
      </c>
      <c r="C18" s="1707">
        <v>307065</v>
      </c>
      <c r="D18" s="1707">
        <v>19333</v>
      </c>
      <c r="E18" s="1707">
        <v>37467</v>
      </c>
      <c r="F18" s="1707">
        <v>175852</v>
      </c>
      <c r="G18" s="1707">
        <v>3366</v>
      </c>
      <c r="H18" s="1707">
        <v>1247</v>
      </c>
      <c r="I18" s="1707">
        <v>7452</v>
      </c>
      <c r="J18" s="1708">
        <v>652</v>
      </c>
      <c r="K18" s="1704"/>
      <c r="L18" s="1704"/>
      <c r="M18" s="1704"/>
      <c r="N18" s="1704"/>
      <c r="O18" s="1704"/>
      <c r="P18" s="1704"/>
      <c r="Q18" s="1704"/>
      <c r="R18" s="1704"/>
      <c r="S18" s="1704"/>
      <c r="T18" s="1704"/>
      <c r="U18" s="1704"/>
      <c r="V18" s="1704"/>
      <c r="W18" s="1704"/>
      <c r="X18" s="1704"/>
      <c r="Y18" s="1704"/>
      <c r="Z18" s="1704"/>
      <c r="AA18" s="1704"/>
      <c r="AB18" s="1704"/>
      <c r="AC18" s="1704"/>
      <c r="AD18" s="1704"/>
      <c r="AE18" s="1704"/>
      <c r="AF18" s="1704"/>
      <c r="AG18" s="1704"/>
      <c r="AH18" s="1704"/>
      <c r="AI18" s="1704"/>
      <c r="AJ18" s="1704"/>
      <c r="AK18" s="1704"/>
      <c r="AL18" s="1704"/>
      <c r="AM18" s="1704"/>
      <c r="AN18" s="1704"/>
      <c r="AO18" s="1704"/>
      <c r="AP18" s="1704"/>
      <c r="AQ18" s="1704"/>
      <c r="AR18" s="1704"/>
      <c r="AS18" s="1704"/>
      <c r="AT18" s="1704"/>
    </row>
    <row r="19" spans="1:46" s="1705" customFormat="1" ht="23.45" hidden="1" customHeight="1">
      <c r="A19" s="1709" t="s">
        <v>2213</v>
      </c>
      <c r="B19" s="1710">
        <v>100</v>
      </c>
      <c r="C19" s="1711">
        <v>50.293043013833326</v>
      </c>
      <c r="D19" s="1711">
        <v>3.8537720666518109</v>
      </c>
      <c r="E19" s="1711">
        <v>6.2000615443384515</v>
      </c>
      <c r="F19" s="1711">
        <v>100</v>
      </c>
      <c r="G19" s="1711">
        <v>3.280411949654924</v>
      </c>
      <c r="H19" s="1711">
        <v>0.98801724893167586</v>
      </c>
      <c r="I19" s="1711">
        <v>4.3239139110881819</v>
      </c>
      <c r="J19" s="1711">
        <v>0.24773437423951875</v>
      </c>
    </row>
    <row r="20" spans="1:46" ht="14.25">
      <c r="A20" s="1712" t="s">
        <v>997</v>
      </c>
    </row>
    <row r="21" spans="1:46" ht="14.25">
      <c r="A21" s="1696" t="s">
        <v>2214</v>
      </c>
    </row>
    <row r="22" spans="1:46" ht="14.25">
      <c r="A22" s="1713" t="s">
        <v>2215</v>
      </c>
    </row>
  </sheetData>
  <mergeCells count="11">
    <mergeCell ref="J4:J8"/>
    <mergeCell ref="A1:J1"/>
    <mergeCell ref="A3:A8"/>
    <mergeCell ref="B3:B8"/>
    <mergeCell ref="F3:F8"/>
    <mergeCell ref="C4:C8"/>
    <mergeCell ref="D4:D8"/>
    <mergeCell ref="E4:E8"/>
    <mergeCell ref="G4:G8"/>
    <mergeCell ref="H4:H8"/>
    <mergeCell ref="I4:I8"/>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3"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J23"/>
  <sheetViews>
    <sheetView showGridLines="0" topLeftCell="B1" zoomScaleNormal="100" workbookViewId="0">
      <selection activeCell="B16" sqref="B16"/>
    </sheetView>
  </sheetViews>
  <sheetFormatPr defaultColWidth="11" defaultRowHeight="15.75"/>
  <cols>
    <col min="1" max="1" width="9.375" style="905" hidden="1" customWidth="1"/>
    <col min="2" max="2" width="14.375" style="903" customWidth="1"/>
    <col min="3" max="10" width="8.875" style="903" customWidth="1"/>
    <col min="11" max="16384" width="11" style="905"/>
  </cols>
  <sheetData>
    <row r="1" spans="1:10" s="904" customFormat="1" ht="23.25">
      <c r="A1" s="1714"/>
      <c r="B1" s="3628" t="s">
        <v>2216</v>
      </c>
      <c r="C1" s="3628"/>
      <c r="D1" s="3628"/>
      <c r="E1" s="3628"/>
      <c r="F1" s="3628"/>
      <c r="G1" s="3628"/>
      <c r="H1" s="3628"/>
      <c r="I1" s="3628"/>
      <c r="J1" s="3628"/>
    </row>
    <row r="2" spans="1:10">
      <c r="B2" s="905"/>
      <c r="C2" s="905"/>
      <c r="D2" s="905"/>
      <c r="E2" s="905"/>
      <c r="F2" s="905"/>
      <c r="G2" s="905"/>
      <c r="H2" s="905"/>
      <c r="I2" s="905"/>
      <c r="J2" s="905"/>
    </row>
    <row r="3" spans="1:10" s="907" customFormat="1" ht="24.6" customHeight="1">
      <c r="A3" s="3079" t="s">
        <v>920</v>
      </c>
      <c r="B3" s="3073"/>
      <c r="C3" s="3613" t="s">
        <v>2217</v>
      </c>
      <c r="D3" s="3613"/>
      <c r="E3" s="3613"/>
      <c r="F3" s="3613"/>
      <c r="G3" s="3614" t="s">
        <v>2218</v>
      </c>
      <c r="H3" s="3613"/>
      <c r="I3" s="3613"/>
      <c r="J3" s="3613"/>
    </row>
    <row r="4" spans="1:10" s="907" customFormat="1" ht="24.6" customHeight="1">
      <c r="A4" s="3080"/>
      <c r="B4" s="3074"/>
      <c r="C4" s="3615" t="s">
        <v>2219</v>
      </c>
      <c r="D4" s="3618" t="s">
        <v>2220</v>
      </c>
      <c r="E4" s="3621" t="s">
        <v>2221</v>
      </c>
      <c r="F4" s="3079" t="s">
        <v>2222</v>
      </c>
      <c r="G4" s="3618" t="s">
        <v>2223</v>
      </c>
      <c r="H4" s="3618" t="s">
        <v>2224</v>
      </c>
      <c r="I4" s="3625" t="s">
        <v>2221</v>
      </c>
      <c r="J4" s="3079" t="s">
        <v>2222</v>
      </c>
    </row>
    <row r="5" spans="1:10" s="907" customFormat="1" ht="24.6" customHeight="1">
      <c r="A5" s="3080"/>
      <c r="B5" s="3074"/>
      <c r="C5" s="3616"/>
      <c r="D5" s="3619"/>
      <c r="E5" s="3622"/>
      <c r="F5" s="3623"/>
      <c r="G5" s="3619"/>
      <c r="H5" s="3619"/>
      <c r="I5" s="3077"/>
      <c r="J5" s="3623"/>
    </row>
    <row r="6" spans="1:10" s="907" customFormat="1" ht="24" customHeight="1">
      <c r="A6" s="3080"/>
      <c r="B6" s="3074"/>
      <c r="C6" s="3616"/>
      <c r="D6" s="3619"/>
      <c r="E6" s="3622"/>
      <c r="F6" s="3623"/>
      <c r="G6" s="3619"/>
      <c r="H6" s="3619"/>
      <c r="I6" s="3077"/>
      <c r="J6" s="3623"/>
    </row>
    <row r="7" spans="1:10" s="907" customFormat="1" ht="48.75" customHeight="1">
      <c r="A7" s="3088"/>
      <c r="B7" s="3075"/>
      <c r="C7" s="3617"/>
      <c r="D7" s="3620"/>
      <c r="E7" s="3078"/>
      <c r="F7" s="3624"/>
      <c r="G7" s="3620"/>
      <c r="H7" s="3620"/>
      <c r="I7" s="3626"/>
      <c r="J7" s="3624"/>
    </row>
    <row r="8" spans="1:10" s="907" customFormat="1" ht="24" customHeight="1">
      <c r="A8" s="910">
        <v>2</v>
      </c>
      <c r="B8" s="1688" t="s">
        <v>2225</v>
      </c>
      <c r="C8" s="908">
        <f t="shared" ref="C8:C17" si="0">SUM(D8:F8)</f>
        <v>3600</v>
      </c>
      <c r="D8" s="908">
        <v>3246</v>
      </c>
      <c r="E8" s="908">
        <v>10</v>
      </c>
      <c r="F8" s="908">
        <v>344</v>
      </c>
      <c r="G8" s="908">
        <f t="shared" ref="G8:G17" si="1">SUM(H8:J8)</f>
        <v>3170</v>
      </c>
      <c r="H8" s="908">
        <v>2957</v>
      </c>
      <c r="I8" s="909">
        <v>2</v>
      </c>
      <c r="J8" s="1715">
        <v>211</v>
      </c>
    </row>
    <row r="9" spans="1:10" s="907" customFormat="1" ht="24" customHeight="1">
      <c r="A9" s="910">
        <v>0</v>
      </c>
      <c r="B9" s="1688" t="s">
        <v>1107</v>
      </c>
      <c r="C9" s="908">
        <f t="shared" si="0"/>
        <v>3550</v>
      </c>
      <c r="D9" s="908">
        <v>3043</v>
      </c>
      <c r="E9" s="908">
        <v>12</v>
      </c>
      <c r="F9" s="908">
        <v>495</v>
      </c>
      <c r="G9" s="908">
        <f t="shared" si="1"/>
        <v>3726</v>
      </c>
      <c r="H9" s="908">
        <v>3288</v>
      </c>
      <c r="I9" s="909">
        <v>4</v>
      </c>
      <c r="J9" s="909">
        <v>434</v>
      </c>
    </row>
    <row r="10" spans="1:10" s="907" customFormat="1" ht="24" customHeight="1">
      <c r="A10" s="910">
        <v>0</v>
      </c>
      <c r="B10" s="1688" t="s">
        <v>1060</v>
      </c>
      <c r="C10" s="908">
        <f t="shared" si="0"/>
        <v>3443</v>
      </c>
      <c r="D10" s="908">
        <v>2666</v>
      </c>
      <c r="E10" s="908">
        <v>25</v>
      </c>
      <c r="F10" s="908">
        <v>752</v>
      </c>
      <c r="G10" s="908">
        <f t="shared" si="1"/>
        <v>3465</v>
      </c>
      <c r="H10" s="908">
        <v>2823</v>
      </c>
      <c r="I10" s="909">
        <v>11</v>
      </c>
      <c r="J10" s="909">
        <v>631</v>
      </c>
    </row>
    <row r="11" spans="1:10" s="907" customFormat="1" ht="24" customHeight="1">
      <c r="A11" s="910">
        <v>0</v>
      </c>
      <c r="B11" s="1688" t="s">
        <v>1061</v>
      </c>
      <c r="C11" s="908">
        <f t="shared" si="0"/>
        <v>3568</v>
      </c>
      <c r="D11" s="908">
        <v>2592</v>
      </c>
      <c r="E11" s="908">
        <v>40</v>
      </c>
      <c r="F11" s="908">
        <v>936</v>
      </c>
      <c r="G11" s="908">
        <f t="shared" si="1"/>
        <v>3504</v>
      </c>
      <c r="H11" s="908">
        <v>2710</v>
      </c>
      <c r="I11" s="909">
        <v>20</v>
      </c>
      <c r="J11" s="909">
        <v>774</v>
      </c>
    </row>
    <row r="12" spans="1:10" s="907" customFormat="1" ht="24" customHeight="1">
      <c r="A12" s="910">
        <v>0</v>
      </c>
      <c r="B12" s="1688" t="s">
        <v>1062</v>
      </c>
      <c r="C12" s="908">
        <f t="shared" si="0"/>
        <v>4251</v>
      </c>
      <c r="D12" s="908">
        <v>2931</v>
      </c>
      <c r="E12" s="908">
        <v>31</v>
      </c>
      <c r="F12" s="908">
        <v>1289</v>
      </c>
      <c r="G12" s="908">
        <f t="shared" si="1"/>
        <v>4090</v>
      </c>
      <c r="H12" s="908">
        <v>2913</v>
      </c>
      <c r="I12" s="909">
        <v>27</v>
      </c>
      <c r="J12" s="909">
        <v>1150</v>
      </c>
    </row>
    <row r="13" spans="1:10" s="907" customFormat="1" ht="24" customHeight="1">
      <c r="A13" s="910">
        <v>0</v>
      </c>
      <c r="B13" s="1688" t="s">
        <v>1063</v>
      </c>
      <c r="C13" s="908">
        <f t="shared" si="0"/>
        <v>5170</v>
      </c>
      <c r="D13" s="908">
        <v>3276</v>
      </c>
      <c r="E13" s="908">
        <v>67</v>
      </c>
      <c r="F13" s="908">
        <v>1827</v>
      </c>
      <c r="G13" s="908">
        <f t="shared" si="1"/>
        <v>4749</v>
      </c>
      <c r="H13" s="908">
        <v>3067</v>
      </c>
      <c r="I13" s="909">
        <v>38</v>
      </c>
      <c r="J13" s="909">
        <v>1644</v>
      </c>
    </row>
    <row r="14" spans="1:10" s="907" customFormat="1" ht="24" customHeight="1">
      <c r="A14" s="910">
        <v>0</v>
      </c>
      <c r="B14" s="1688" t="s">
        <v>1064</v>
      </c>
      <c r="C14" s="908">
        <f t="shared" si="0"/>
        <v>5449</v>
      </c>
      <c r="D14" s="908">
        <v>3202</v>
      </c>
      <c r="E14" s="908">
        <v>57</v>
      </c>
      <c r="F14" s="908">
        <v>2190</v>
      </c>
      <c r="G14" s="908">
        <f t="shared" si="1"/>
        <v>5305</v>
      </c>
      <c r="H14" s="908">
        <v>3182</v>
      </c>
      <c r="I14" s="909">
        <v>54</v>
      </c>
      <c r="J14" s="909">
        <v>2069</v>
      </c>
    </row>
    <row r="15" spans="1:10" s="907" customFormat="1" ht="24" customHeight="1">
      <c r="A15" s="910">
        <v>0</v>
      </c>
      <c r="B15" s="1688" t="s">
        <v>1065</v>
      </c>
      <c r="C15" s="908">
        <f t="shared" si="0"/>
        <v>5146</v>
      </c>
      <c r="D15" s="908">
        <v>2685</v>
      </c>
      <c r="E15" s="908">
        <v>71</v>
      </c>
      <c r="F15" s="908">
        <v>2390</v>
      </c>
      <c r="G15" s="908">
        <f t="shared" si="1"/>
        <v>4963</v>
      </c>
      <c r="H15" s="908">
        <v>2724</v>
      </c>
      <c r="I15" s="909">
        <v>55</v>
      </c>
      <c r="J15" s="909">
        <v>2184</v>
      </c>
    </row>
    <row r="16" spans="1:10" s="907" customFormat="1" ht="24" customHeight="1">
      <c r="A16" s="910">
        <v>0</v>
      </c>
      <c r="B16" s="1688" t="s">
        <v>1066</v>
      </c>
      <c r="C16" s="908">
        <f t="shared" si="0"/>
        <v>4999</v>
      </c>
      <c r="D16" s="908">
        <v>2433</v>
      </c>
      <c r="E16" s="908">
        <v>74</v>
      </c>
      <c r="F16" s="908">
        <v>2492</v>
      </c>
      <c r="G16" s="908">
        <f t="shared" si="1"/>
        <v>5121</v>
      </c>
      <c r="H16" s="908">
        <v>2580</v>
      </c>
      <c r="I16" s="909">
        <v>53</v>
      </c>
      <c r="J16" s="909">
        <v>2488</v>
      </c>
    </row>
    <row r="17" spans="1:10" s="907" customFormat="1" ht="24" customHeight="1">
      <c r="A17" s="910">
        <v>0</v>
      </c>
      <c r="B17" s="1691" t="s">
        <v>1067</v>
      </c>
      <c r="C17" s="911">
        <f t="shared" si="0"/>
        <v>5373</v>
      </c>
      <c r="D17" s="911">
        <v>2272</v>
      </c>
      <c r="E17" s="911">
        <v>100</v>
      </c>
      <c r="F17" s="911">
        <v>3001</v>
      </c>
      <c r="G17" s="911">
        <f t="shared" si="1"/>
        <v>5039</v>
      </c>
      <c r="H17" s="911">
        <v>2313</v>
      </c>
      <c r="I17" s="912">
        <v>74</v>
      </c>
      <c r="J17" s="912">
        <v>2652</v>
      </c>
    </row>
    <row r="18" spans="1:10" s="907" customFormat="1" ht="18.95" customHeight="1">
      <c r="A18" s="913"/>
      <c r="B18" s="1716" t="s">
        <v>2226</v>
      </c>
      <c r="C18" s="1717"/>
      <c r="D18" s="1717"/>
      <c r="E18" s="1717"/>
      <c r="F18" s="1717"/>
      <c r="G18" s="913"/>
      <c r="H18" s="1717"/>
      <c r="I18" s="1717"/>
      <c r="J18" s="1717"/>
    </row>
    <row r="19" spans="1:10" s="903" customFormat="1" ht="27.75" customHeight="1">
      <c r="B19" s="3627" t="s">
        <v>2227</v>
      </c>
      <c r="C19" s="3627"/>
      <c r="D19" s="3627"/>
      <c r="E19" s="3627"/>
      <c r="F19" s="3627"/>
      <c r="G19" s="3627"/>
      <c r="H19" s="3627"/>
      <c r="I19" s="3627"/>
      <c r="J19" s="3627"/>
    </row>
    <row r="20" spans="1:10" s="903" customFormat="1"/>
    <row r="21" spans="1:10" s="903" customFormat="1"/>
    <row r="22" spans="1:10" s="903" customFormat="1"/>
    <row r="23" spans="1:10" s="903" customFormat="1"/>
  </sheetData>
  <mergeCells count="14">
    <mergeCell ref="B19:J19"/>
    <mergeCell ref="B1:J1"/>
    <mergeCell ref="A3:A7"/>
    <mergeCell ref="B3:B7"/>
    <mergeCell ref="C3:F3"/>
    <mergeCell ref="G3:J3"/>
    <mergeCell ref="C4:C7"/>
    <mergeCell ref="D4:D7"/>
    <mergeCell ref="E4:E7"/>
    <mergeCell ref="F4:F7"/>
    <mergeCell ref="G4:G7"/>
    <mergeCell ref="H4:H7"/>
    <mergeCell ref="I4:I7"/>
    <mergeCell ref="J4:J7"/>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9" orientation="landscape" r:id="rId1"/>
  <headerFooter differentOddEven="1" scaleWithDoc="0">
    <oddHeader>&amp;L&amp;"Times New Roman,標準"&amp;8 107&amp;"標楷體,標準"年犯罪狀況及其分析</oddHeader>
    <evenHeader>&amp;R&amp;"標楷體,標準"&amp;8第二篇　犯罪之處理</evenHead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M18"/>
  <sheetViews>
    <sheetView showGridLines="0" zoomScaleNormal="100" workbookViewId="0">
      <selection activeCell="B16" sqref="B16"/>
    </sheetView>
  </sheetViews>
  <sheetFormatPr defaultColWidth="10" defaultRowHeight="12.75"/>
  <cols>
    <col min="1" max="1" width="7.875" style="1696" customWidth="1"/>
    <col min="2" max="13" width="9.625" style="1696" customWidth="1"/>
    <col min="14" max="16384" width="10" style="1696"/>
  </cols>
  <sheetData>
    <row r="1" spans="1:13" ht="19.5">
      <c r="A1" s="3602" t="s">
        <v>2228</v>
      </c>
      <c r="B1" s="3602"/>
      <c r="C1" s="3602"/>
      <c r="D1" s="3602"/>
      <c r="E1" s="3602"/>
      <c r="F1" s="3602"/>
      <c r="G1" s="3602"/>
      <c r="H1" s="3602"/>
      <c r="I1" s="3602"/>
      <c r="J1" s="3602"/>
      <c r="K1" s="3602"/>
      <c r="L1" s="3602"/>
      <c r="M1" s="3602"/>
    </row>
    <row r="2" spans="1:13" ht="15" customHeight="1">
      <c r="A2" s="1718"/>
      <c r="B2" s="1697"/>
      <c r="C2" s="1697"/>
      <c r="D2" s="1697"/>
      <c r="E2" s="1697"/>
      <c r="F2" s="1697"/>
      <c r="G2" s="1697"/>
      <c r="H2" s="1697"/>
      <c r="I2" s="1697"/>
      <c r="J2" s="1697"/>
      <c r="K2" s="1697"/>
      <c r="L2" s="3629" t="s">
        <v>2229</v>
      </c>
      <c r="M2" s="3629"/>
    </row>
    <row r="3" spans="1:13" ht="17.45" customHeight="1">
      <c r="A3" s="3630"/>
      <c r="B3" s="3633" t="s">
        <v>2230</v>
      </c>
      <c r="C3" s="3633"/>
      <c r="D3" s="3633"/>
      <c r="E3" s="3633"/>
      <c r="F3" s="3634" t="s">
        <v>2231</v>
      </c>
      <c r="G3" s="1719"/>
      <c r="H3" s="1719"/>
      <c r="I3" s="3636" t="s">
        <v>2232</v>
      </c>
      <c r="J3" s="3638" t="s">
        <v>2233</v>
      </c>
      <c r="K3" s="3639"/>
      <c r="L3" s="3639"/>
      <c r="M3" s="3639"/>
    </row>
    <row r="4" spans="1:13" ht="32.25" customHeight="1">
      <c r="A4" s="3631"/>
      <c r="B4" s="3640" t="s">
        <v>2234</v>
      </c>
      <c r="C4" s="3642" t="s">
        <v>2235</v>
      </c>
      <c r="D4" s="3644" t="s">
        <v>2236</v>
      </c>
      <c r="E4" s="3646" t="s">
        <v>2237</v>
      </c>
      <c r="F4" s="3635"/>
      <c r="G4" s="3647" t="s">
        <v>2238</v>
      </c>
      <c r="H4" s="3647" t="s">
        <v>2239</v>
      </c>
      <c r="I4" s="3637"/>
      <c r="J4" s="3644" t="s">
        <v>2240</v>
      </c>
      <c r="K4" s="3647" t="s">
        <v>2241</v>
      </c>
      <c r="L4" s="3650" t="s">
        <v>2242</v>
      </c>
      <c r="M4" s="3633"/>
    </row>
    <row r="5" spans="1:13" ht="97.7" customHeight="1">
      <c r="A5" s="3631"/>
      <c r="B5" s="3641"/>
      <c r="C5" s="3643"/>
      <c r="D5" s="3645"/>
      <c r="E5" s="3643"/>
      <c r="F5" s="3635"/>
      <c r="G5" s="3648"/>
      <c r="H5" s="3648"/>
      <c r="I5" s="3637"/>
      <c r="J5" s="3649"/>
      <c r="K5" s="3648"/>
      <c r="L5" s="1720" t="s">
        <v>2243</v>
      </c>
      <c r="M5" s="1721" t="s">
        <v>2244</v>
      </c>
    </row>
    <row r="6" spans="1:13" ht="20.100000000000001" customHeight="1">
      <c r="A6" s="3632"/>
      <c r="B6" s="1722" t="s">
        <v>2245</v>
      </c>
      <c r="C6" s="1723" t="s">
        <v>2245</v>
      </c>
      <c r="D6" s="1723" t="s">
        <v>2245</v>
      </c>
      <c r="E6" s="1723" t="s">
        <v>2245</v>
      </c>
      <c r="F6" s="1723" t="s">
        <v>2245</v>
      </c>
      <c r="G6" s="1723" t="s">
        <v>2245</v>
      </c>
      <c r="H6" s="1723" t="s">
        <v>2245</v>
      </c>
      <c r="I6" s="1724" t="s">
        <v>2245</v>
      </c>
      <c r="J6" s="1725" t="s">
        <v>2246</v>
      </c>
      <c r="K6" s="1723" t="s">
        <v>2246</v>
      </c>
      <c r="L6" s="1726" t="s">
        <v>2247</v>
      </c>
      <c r="M6" s="1725" t="s">
        <v>2247</v>
      </c>
    </row>
    <row r="7" spans="1:13" ht="27.95" customHeight="1">
      <c r="A7" s="1688" t="s">
        <v>2225</v>
      </c>
      <c r="B7" s="1727">
        <f t="shared" ref="B7:B16" si="0">SUM(C7:E7)</f>
        <v>26261</v>
      </c>
      <c r="C7" s="1727">
        <v>6516</v>
      </c>
      <c r="D7" s="1727">
        <f>1148+1433</f>
        <v>2581</v>
      </c>
      <c r="E7" s="1727">
        <v>17164</v>
      </c>
      <c r="F7" s="1727">
        <v>24598</v>
      </c>
      <c r="G7" s="1727">
        <v>21820</v>
      </c>
      <c r="H7" s="1727">
        <v>2278</v>
      </c>
      <c r="I7" s="1728">
        <v>12223</v>
      </c>
      <c r="J7" s="1729">
        <v>3772</v>
      </c>
      <c r="K7" s="1727">
        <v>3402</v>
      </c>
      <c r="L7" s="1727">
        <v>450024</v>
      </c>
      <c r="M7" s="1730">
        <v>396230</v>
      </c>
    </row>
    <row r="8" spans="1:13" ht="27.95" customHeight="1">
      <c r="A8" s="1688" t="s">
        <v>1107</v>
      </c>
      <c r="B8" s="1727">
        <f t="shared" si="0"/>
        <v>24619</v>
      </c>
      <c r="C8" s="1727">
        <v>5246</v>
      </c>
      <c r="D8" s="1727">
        <v>3265</v>
      </c>
      <c r="E8" s="1727">
        <v>16108</v>
      </c>
      <c r="F8" s="1727">
        <v>24297</v>
      </c>
      <c r="G8" s="1727">
        <v>20849</v>
      </c>
      <c r="H8" s="1727">
        <v>2832</v>
      </c>
      <c r="I8" s="1728">
        <v>12566</v>
      </c>
      <c r="J8" s="1729">
        <v>2324</v>
      </c>
      <c r="K8" s="1727">
        <v>4416</v>
      </c>
      <c r="L8" s="1727">
        <v>397983</v>
      </c>
      <c r="M8" s="1730">
        <v>346312</v>
      </c>
    </row>
    <row r="9" spans="1:13" ht="27.95" customHeight="1">
      <c r="A9" s="1688" t="s">
        <v>1060</v>
      </c>
      <c r="B9" s="1727">
        <f t="shared" si="0"/>
        <v>26199</v>
      </c>
      <c r="C9" s="1727">
        <v>4434</v>
      </c>
      <c r="D9" s="1727">
        <v>3361</v>
      </c>
      <c r="E9" s="1727">
        <v>18404</v>
      </c>
      <c r="F9" s="1727">
        <v>26839</v>
      </c>
      <c r="G9" s="1727">
        <v>21811</v>
      </c>
      <c r="H9" s="1727">
        <v>4105</v>
      </c>
      <c r="I9" s="1728">
        <v>11931</v>
      </c>
      <c r="J9" s="1729">
        <v>2890</v>
      </c>
      <c r="K9" s="1727">
        <v>7321</v>
      </c>
      <c r="L9" s="1727">
        <v>381522</v>
      </c>
      <c r="M9" s="1730">
        <v>335394</v>
      </c>
    </row>
    <row r="10" spans="1:13" ht="27.95" customHeight="1">
      <c r="A10" s="1688" t="s">
        <v>1061</v>
      </c>
      <c r="B10" s="1727">
        <f t="shared" si="0"/>
        <v>23135</v>
      </c>
      <c r="C10" s="1727">
        <v>3270</v>
      </c>
      <c r="D10" s="1727">
        <v>2747</v>
      </c>
      <c r="E10" s="1727">
        <v>17118</v>
      </c>
      <c r="F10" s="1727">
        <v>23426</v>
      </c>
      <c r="G10" s="1727">
        <v>19206</v>
      </c>
      <c r="H10" s="1727">
        <v>3489</v>
      </c>
      <c r="I10" s="1728">
        <v>11641</v>
      </c>
      <c r="J10" s="1729">
        <v>2929</v>
      </c>
      <c r="K10" s="1727">
        <v>4888</v>
      </c>
      <c r="L10" s="1727">
        <v>262221</v>
      </c>
      <c r="M10" s="1730">
        <v>221262</v>
      </c>
    </row>
    <row r="11" spans="1:13" ht="27.95" customHeight="1">
      <c r="A11" s="1688" t="s">
        <v>1062</v>
      </c>
      <c r="B11" s="1727">
        <f t="shared" si="0"/>
        <v>23764</v>
      </c>
      <c r="C11" s="1727">
        <v>2648</v>
      </c>
      <c r="D11" s="1727">
        <v>2470</v>
      </c>
      <c r="E11" s="1727">
        <v>18646</v>
      </c>
      <c r="F11" s="1727">
        <v>25785</v>
      </c>
      <c r="G11" s="1727">
        <v>21652</v>
      </c>
      <c r="H11" s="1727">
        <v>3549</v>
      </c>
      <c r="I11" s="1728">
        <v>9635</v>
      </c>
      <c r="J11" s="1729">
        <v>2170</v>
      </c>
      <c r="K11" s="1727">
        <v>3605</v>
      </c>
      <c r="L11" s="1727">
        <v>247022</v>
      </c>
      <c r="M11" s="1730">
        <v>206473</v>
      </c>
    </row>
    <row r="12" spans="1:13" ht="27.95" customHeight="1">
      <c r="A12" s="1688" t="s">
        <v>1063</v>
      </c>
      <c r="B12" s="1727">
        <f t="shared" si="0"/>
        <v>21506</v>
      </c>
      <c r="C12" s="1727">
        <v>1896</v>
      </c>
      <c r="D12" s="1727">
        <v>2351</v>
      </c>
      <c r="E12" s="1727">
        <v>17259</v>
      </c>
      <c r="F12" s="1727">
        <v>22143</v>
      </c>
      <c r="G12" s="1727">
        <v>18726</v>
      </c>
      <c r="H12" s="1727">
        <v>3042</v>
      </c>
      <c r="I12" s="1728">
        <v>9010</v>
      </c>
      <c r="J12" s="1729">
        <v>2620</v>
      </c>
      <c r="K12" s="1727">
        <v>2794</v>
      </c>
      <c r="L12" s="1727">
        <v>168393</v>
      </c>
      <c r="M12" s="1730">
        <v>139695</v>
      </c>
    </row>
    <row r="13" spans="1:13" ht="27.95" customHeight="1">
      <c r="A13" s="1688" t="s">
        <v>1064</v>
      </c>
      <c r="B13" s="1727">
        <f t="shared" si="0"/>
        <v>22499</v>
      </c>
      <c r="C13" s="1727">
        <v>1896</v>
      </c>
      <c r="D13" s="1727">
        <v>3405</v>
      </c>
      <c r="E13" s="1727">
        <v>17198</v>
      </c>
      <c r="F13" s="1727">
        <v>21177</v>
      </c>
      <c r="G13" s="1727">
        <v>17432</v>
      </c>
      <c r="H13" s="1727">
        <v>3157</v>
      </c>
      <c r="I13" s="1728">
        <v>10344</v>
      </c>
      <c r="J13" s="1729">
        <v>6754</v>
      </c>
      <c r="K13" s="1727">
        <v>1988</v>
      </c>
      <c r="L13" s="1727">
        <v>161749</v>
      </c>
      <c r="M13" s="1730">
        <v>123096</v>
      </c>
    </row>
    <row r="14" spans="1:13" ht="27.95" customHeight="1">
      <c r="A14" s="1688" t="s">
        <v>1065</v>
      </c>
      <c r="B14" s="1727">
        <f t="shared" si="0"/>
        <v>27475</v>
      </c>
      <c r="C14" s="1727">
        <v>1561</v>
      </c>
      <c r="D14" s="1727">
        <v>6729</v>
      </c>
      <c r="E14" s="1727">
        <v>19185</v>
      </c>
      <c r="F14" s="1727">
        <v>21534</v>
      </c>
      <c r="G14" s="1727">
        <v>16889</v>
      </c>
      <c r="H14" s="1727">
        <v>4300</v>
      </c>
      <c r="I14" s="1728">
        <v>16305</v>
      </c>
      <c r="J14" s="1729">
        <v>9132</v>
      </c>
      <c r="K14" s="1727">
        <v>1567</v>
      </c>
      <c r="L14" s="1727">
        <v>134031</v>
      </c>
      <c r="M14" s="1730">
        <v>109465</v>
      </c>
    </row>
    <row r="15" spans="1:13" ht="27.95" customHeight="1">
      <c r="A15" s="1688" t="s">
        <v>1066</v>
      </c>
      <c r="B15" s="1727">
        <f t="shared" si="0"/>
        <v>29126</v>
      </c>
      <c r="C15" s="1727">
        <v>1273</v>
      </c>
      <c r="D15" s="1727">
        <v>7903</v>
      </c>
      <c r="E15" s="1727">
        <v>19950</v>
      </c>
      <c r="F15" s="1727">
        <v>28188</v>
      </c>
      <c r="G15" s="1727">
        <v>20048</v>
      </c>
      <c r="H15" s="1727">
        <v>7710</v>
      </c>
      <c r="I15" s="1728">
        <v>17328</v>
      </c>
      <c r="J15" s="1729">
        <v>12158</v>
      </c>
      <c r="K15" s="1727">
        <v>881</v>
      </c>
      <c r="L15" s="1727">
        <v>112043</v>
      </c>
      <c r="M15" s="1730">
        <v>90345</v>
      </c>
    </row>
    <row r="16" spans="1:13" s="1735" customFormat="1" ht="27.95" customHeight="1">
      <c r="A16" s="1691" t="s">
        <v>1067</v>
      </c>
      <c r="B16" s="1731">
        <f t="shared" si="0"/>
        <v>28544</v>
      </c>
      <c r="C16" s="1731">
        <v>1146</v>
      </c>
      <c r="D16" s="1731">
        <v>7553</v>
      </c>
      <c r="E16" s="1731">
        <v>19845</v>
      </c>
      <c r="F16" s="1731">
        <v>29955</v>
      </c>
      <c r="G16" s="1731">
        <v>22389</v>
      </c>
      <c r="H16" s="1731">
        <v>7013</v>
      </c>
      <c r="I16" s="1732">
        <v>15952</v>
      </c>
      <c r="J16" s="1733">
        <v>4267</v>
      </c>
      <c r="K16" s="1731">
        <v>1439</v>
      </c>
      <c r="L16" s="1731">
        <v>96354</v>
      </c>
      <c r="M16" s="1734">
        <v>81042</v>
      </c>
    </row>
    <row r="17" spans="1:13" ht="14.25">
      <c r="A17" s="1658" t="s">
        <v>997</v>
      </c>
    </row>
    <row r="18" spans="1:13">
      <c r="A18" s="3627" t="s">
        <v>2248</v>
      </c>
      <c r="B18" s="3627"/>
      <c r="C18" s="3627"/>
      <c r="D18" s="3627"/>
      <c r="E18" s="3627"/>
      <c r="F18" s="3627"/>
      <c r="G18" s="3627"/>
      <c r="H18" s="3627"/>
      <c r="I18" s="3627"/>
      <c r="J18" s="3627"/>
      <c r="K18" s="3627"/>
      <c r="L18" s="3627"/>
      <c r="M18" s="3627"/>
    </row>
  </sheetData>
  <mergeCells count="17">
    <mergeCell ref="A18:M18"/>
    <mergeCell ref="E4:E5"/>
    <mergeCell ref="G4:G5"/>
    <mergeCell ref="H4:H5"/>
    <mergeCell ref="J4:J5"/>
    <mergeCell ref="K4:K5"/>
    <mergeCell ref="L4:M4"/>
    <mergeCell ref="A1:M1"/>
    <mergeCell ref="L2:M2"/>
    <mergeCell ref="A3:A6"/>
    <mergeCell ref="B3:E3"/>
    <mergeCell ref="F3:F5"/>
    <mergeCell ref="I3:I5"/>
    <mergeCell ref="J3:M3"/>
    <mergeCell ref="B4:B5"/>
    <mergeCell ref="C4:C5"/>
    <mergeCell ref="D4:D5"/>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4"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P25"/>
  <sheetViews>
    <sheetView showGridLines="0" zoomScaleNormal="100" workbookViewId="0">
      <selection activeCell="B16" sqref="B16"/>
    </sheetView>
  </sheetViews>
  <sheetFormatPr defaultColWidth="11" defaultRowHeight="15.75"/>
  <cols>
    <col min="1" max="1" width="6.375" style="905" customWidth="1"/>
    <col min="2" max="2" width="3.125" style="905" customWidth="1"/>
    <col min="3" max="8" width="13.125" style="905" customWidth="1"/>
    <col min="9" max="9" width="1.5" style="905" hidden="1" customWidth="1"/>
    <col min="10" max="16" width="8.875" style="903" customWidth="1"/>
    <col min="17" max="16384" width="11" style="905"/>
  </cols>
  <sheetData>
    <row r="1" spans="1:16" s="904" customFormat="1" ht="23.25">
      <c r="A1" s="3651" t="s">
        <v>2249</v>
      </c>
      <c r="B1" s="3651"/>
      <c r="C1" s="3651"/>
      <c r="D1" s="3651"/>
      <c r="E1" s="3651"/>
      <c r="F1" s="3651"/>
      <c r="G1" s="3651"/>
      <c r="H1" s="3651"/>
      <c r="I1" s="1736"/>
      <c r="J1" s="903"/>
      <c r="K1" s="903"/>
      <c r="L1" s="903"/>
      <c r="M1" s="903"/>
      <c r="N1" s="903"/>
      <c r="O1" s="903"/>
      <c r="P1" s="903"/>
    </row>
    <row r="2" spans="1:16" s="1737" customFormat="1" ht="19.5">
      <c r="H2" s="1738" t="s">
        <v>2250</v>
      </c>
      <c r="J2" s="3652"/>
      <c r="K2" s="3652"/>
      <c r="L2" s="3652"/>
      <c r="M2" s="3652"/>
      <c r="N2" s="3652"/>
      <c r="O2" s="3652"/>
      <c r="P2" s="3652"/>
    </row>
    <row r="3" spans="1:16" s="907" customFormat="1" ht="24.6" customHeight="1">
      <c r="A3" s="3073"/>
      <c r="B3" s="3073"/>
      <c r="C3" s="3653" t="s">
        <v>2251</v>
      </c>
      <c r="D3" s="3615" t="s">
        <v>2252</v>
      </c>
      <c r="E3" s="3655" t="s">
        <v>2253</v>
      </c>
      <c r="F3" s="3653" t="s">
        <v>2254</v>
      </c>
      <c r="G3" s="3655" t="s">
        <v>2255</v>
      </c>
      <c r="H3" s="3657" t="s">
        <v>2256</v>
      </c>
      <c r="I3" s="3076" t="s">
        <v>920</v>
      </c>
    </row>
    <row r="4" spans="1:16" s="907" customFormat="1" ht="24.6" customHeight="1">
      <c r="A4" s="3074"/>
      <c r="B4" s="3074"/>
      <c r="C4" s="3654"/>
      <c r="D4" s="3616"/>
      <c r="E4" s="3656"/>
      <c r="F4" s="3654"/>
      <c r="G4" s="3656"/>
      <c r="H4" s="3658"/>
      <c r="I4" s="3659"/>
      <c r="J4" s="903"/>
      <c r="K4" s="903"/>
      <c r="L4" s="903"/>
      <c r="M4" s="903"/>
      <c r="N4" s="903"/>
      <c r="O4" s="903"/>
      <c r="P4" s="903"/>
    </row>
    <row r="5" spans="1:16" s="907" customFormat="1" ht="24.6" customHeight="1">
      <c r="A5" s="3074"/>
      <c r="B5" s="3074"/>
      <c r="C5" s="3654"/>
      <c r="D5" s="3616"/>
      <c r="E5" s="3656"/>
      <c r="F5" s="3654"/>
      <c r="G5" s="3656"/>
      <c r="H5" s="3658"/>
      <c r="I5" s="3659"/>
      <c r="J5" s="903"/>
      <c r="K5" s="903"/>
      <c r="L5" s="903"/>
      <c r="M5" s="903"/>
      <c r="N5" s="903"/>
      <c r="O5" s="903"/>
      <c r="P5" s="903"/>
    </row>
    <row r="6" spans="1:16" s="907" customFormat="1" ht="24.6" customHeight="1">
      <c r="A6" s="3074"/>
      <c r="B6" s="3074"/>
      <c r="C6" s="3654"/>
      <c r="D6" s="3616"/>
      <c r="E6" s="3656"/>
      <c r="F6" s="3654"/>
      <c r="G6" s="3656"/>
      <c r="H6" s="3658"/>
      <c r="I6" s="3659"/>
      <c r="J6" s="903"/>
      <c r="K6" s="903"/>
      <c r="L6" s="903"/>
      <c r="M6" s="903"/>
      <c r="N6" s="903"/>
      <c r="O6" s="903"/>
      <c r="P6" s="903"/>
    </row>
    <row r="7" spans="1:16" s="907" customFormat="1" ht="38.25" customHeight="1">
      <c r="A7" s="3074"/>
      <c r="B7" s="3074"/>
      <c r="C7" s="3654"/>
      <c r="D7" s="3617"/>
      <c r="E7" s="3656"/>
      <c r="F7" s="3654"/>
      <c r="G7" s="3656"/>
      <c r="H7" s="3658"/>
      <c r="I7" s="3626"/>
      <c r="J7" s="903"/>
      <c r="K7" s="903"/>
      <c r="L7" s="903"/>
      <c r="M7" s="903"/>
      <c r="N7" s="903"/>
      <c r="O7" s="903"/>
      <c r="P7" s="903"/>
    </row>
    <row r="8" spans="1:16" s="907" customFormat="1" ht="19.5" customHeight="1">
      <c r="A8" s="3075"/>
      <c r="B8" s="3075"/>
      <c r="C8" s="1739" t="s">
        <v>2257</v>
      </c>
      <c r="D8" s="1740" t="s">
        <v>2258</v>
      </c>
      <c r="E8" s="1741" t="s">
        <v>2257</v>
      </c>
      <c r="F8" s="1740" t="s">
        <v>2259</v>
      </c>
      <c r="G8" s="1740" t="s">
        <v>2258</v>
      </c>
      <c r="H8" s="1742" t="s">
        <v>2260</v>
      </c>
      <c r="I8" s="1743"/>
      <c r="J8" s="903"/>
      <c r="K8" s="903"/>
      <c r="L8" s="903"/>
      <c r="M8" s="903"/>
      <c r="N8" s="903"/>
      <c r="O8" s="903"/>
      <c r="P8" s="903"/>
    </row>
    <row r="9" spans="1:16" s="907" customFormat="1" ht="24" customHeight="1">
      <c r="A9" s="3660" t="s">
        <v>2261</v>
      </c>
      <c r="B9" s="3661"/>
      <c r="C9" s="908">
        <v>17699</v>
      </c>
      <c r="D9" s="908">
        <v>17644</v>
      </c>
      <c r="E9" s="908">
        <f>1541+144</f>
        <v>1685</v>
      </c>
      <c r="F9" s="908">
        <f>661+8</f>
        <v>669</v>
      </c>
      <c r="G9" s="908">
        <v>13653</v>
      </c>
      <c r="H9" s="909">
        <v>13638</v>
      </c>
      <c r="I9" s="910">
        <v>0</v>
      </c>
      <c r="J9" s="903"/>
      <c r="K9" s="903"/>
      <c r="L9" s="903"/>
      <c r="M9" s="903"/>
      <c r="N9" s="903"/>
      <c r="O9" s="903"/>
      <c r="P9" s="903"/>
    </row>
    <row r="10" spans="1:16" s="907" customFormat="1" ht="24" customHeight="1">
      <c r="A10" s="3660" t="s">
        <v>1107</v>
      </c>
      <c r="B10" s="3661"/>
      <c r="C10" s="908">
        <v>17034</v>
      </c>
      <c r="D10" s="908">
        <v>14505</v>
      </c>
      <c r="E10" s="908">
        <v>1454</v>
      </c>
      <c r="F10" s="908">
        <v>551</v>
      </c>
      <c r="G10" s="908">
        <v>18166</v>
      </c>
      <c r="H10" s="909">
        <v>18130</v>
      </c>
      <c r="I10" s="910">
        <v>0</v>
      </c>
      <c r="J10" s="903"/>
      <c r="K10" s="903"/>
      <c r="L10" s="903"/>
      <c r="M10" s="903"/>
      <c r="N10" s="903"/>
      <c r="O10" s="903"/>
      <c r="P10" s="903"/>
    </row>
    <row r="11" spans="1:16" s="907" customFormat="1" ht="24" customHeight="1">
      <c r="A11" s="3660" t="s">
        <v>1060</v>
      </c>
      <c r="B11" s="3661"/>
      <c r="C11" s="908">
        <v>17773</v>
      </c>
      <c r="D11" s="908">
        <v>21399</v>
      </c>
      <c r="E11" s="908">
        <v>3543</v>
      </c>
      <c r="F11" s="908">
        <v>1602</v>
      </c>
      <c r="G11" s="908">
        <v>23595</v>
      </c>
      <c r="H11" s="909">
        <v>23567</v>
      </c>
      <c r="I11" s="910">
        <v>0</v>
      </c>
      <c r="J11" s="903"/>
      <c r="K11" s="903"/>
      <c r="L11" s="903"/>
      <c r="M11" s="903"/>
      <c r="N11" s="903"/>
      <c r="O11" s="903"/>
      <c r="P11" s="903"/>
    </row>
    <row r="12" spans="1:16" s="907" customFormat="1" ht="24" customHeight="1">
      <c r="A12" s="3660" t="s">
        <v>1061</v>
      </c>
      <c r="B12" s="3661"/>
      <c r="C12" s="908">
        <v>16643</v>
      </c>
      <c r="D12" s="908">
        <v>20679</v>
      </c>
      <c r="E12" s="908">
        <v>3100</v>
      </c>
      <c r="F12" s="908">
        <v>1727</v>
      </c>
      <c r="G12" s="908">
        <v>20378</v>
      </c>
      <c r="H12" s="909">
        <v>20345</v>
      </c>
      <c r="I12" s="910">
        <v>0</v>
      </c>
      <c r="J12" s="903"/>
      <c r="K12" s="903"/>
      <c r="L12" s="903"/>
      <c r="M12" s="903"/>
      <c r="N12" s="903"/>
      <c r="O12" s="903"/>
      <c r="P12" s="903"/>
    </row>
    <row r="13" spans="1:16" s="907" customFormat="1" ht="24" customHeight="1">
      <c r="A13" s="3660" t="s">
        <v>1062</v>
      </c>
      <c r="B13" s="3661"/>
      <c r="C13" s="908">
        <v>19787</v>
      </c>
      <c r="D13" s="908">
        <v>22464</v>
      </c>
      <c r="E13" s="908">
        <v>2783</v>
      </c>
      <c r="F13" s="908">
        <v>1525</v>
      </c>
      <c r="G13" s="908">
        <v>20720</v>
      </c>
      <c r="H13" s="909">
        <v>20697</v>
      </c>
      <c r="I13" s="910">
        <v>0</v>
      </c>
      <c r="J13" s="903"/>
      <c r="K13" s="903"/>
      <c r="L13" s="903"/>
      <c r="M13" s="903"/>
      <c r="N13" s="903"/>
      <c r="O13" s="903"/>
      <c r="P13" s="903"/>
    </row>
    <row r="14" spans="1:16" s="907" customFormat="1" ht="24" customHeight="1">
      <c r="A14" s="3660" t="s">
        <v>1063</v>
      </c>
      <c r="B14" s="3661"/>
      <c r="C14" s="908">
        <v>17399</v>
      </c>
      <c r="D14" s="908">
        <v>16833</v>
      </c>
      <c r="E14" s="908">
        <v>2605</v>
      </c>
      <c r="F14" s="908">
        <v>1510</v>
      </c>
      <c r="G14" s="908">
        <v>18241</v>
      </c>
      <c r="H14" s="909">
        <v>18199</v>
      </c>
      <c r="I14" s="910">
        <v>0</v>
      </c>
      <c r="J14" s="903"/>
      <c r="K14" s="903"/>
      <c r="L14" s="903"/>
      <c r="M14" s="903"/>
      <c r="N14" s="903"/>
      <c r="O14" s="903"/>
      <c r="P14" s="903"/>
    </row>
    <row r="15" spans="1:16" s="907" customFormat="1" ht="24" customHeight="1">
      <c r="A15" s="3660" t="s">
        <v>1064</v>
      </c>
      <c r="B15" s="3661"/>
      <c r="C15" s="908">
        <v>16635</v>
      </c>
      <c r="D15" s="908">
        <v>15190</v>
      </c>
      <c r="E15" s="908">
        <v>2493</v>
      </c>
      <c r="F15" s="908">
        <v>1332</v>
      </c>
      <c r="G15" s="908">
        <v>15753</v>
      </c>
      <c r="H15" s="909">
        <v>15690</v>
      </c>
      <c r="I15" s="910">
        <v>0</v>
      </c>
      <c r="J15" s="903"/>
      <c r="K15" s="903"/>
      <c r="L15" s="903"/>
      <c r="M15" s="903"/>
      <c r="N15" s="903"/>
      <c r="O15" s="903"/>
      <c r="P15" s="903"/>
    </row>
    <row r="16" spans="1:16" s="907" customFormat="1" ht="24" customHeight="1">
      <c r="A16" s="3660" t="s">
        <v>1065</v>
      </c>
      <c r="B16" s="3661"/>
      <c r="C16" s="1744">
        <v>16210</v>
      </c>
      <c r="D16" s="1744">
        <v>16766</v>
      </c>
      <c r="E16" s="1744">
        <v>3607</v>
      </c>
      <c r="F16" s="1744">
        <v>1735</v>
      </c>
      <c r="G16" s="908">
        <v>24213</v>
      </c>
      <c r="H16" s="909">
        <v>24099</v>
      </c>
      <c r="I16" s="910">
        <v>0</v>
      </c>
      <c r="J16" s="903"/>
      <c r="K16" s="903"/>
      <c r="L16" s="903"/>
      <c r="M16" s="903"/>
      <c r="N16" s="903"/>
      <c r="O16" s="903"/>
      <c r="P16" s="903"/>
    </row>
    <row r="17" spans="1:16" s="907" customFormat="1" ht="24" customHeight="1">
      <c r="A17" s="3660" t="s">
        <v>1066</v>
      </c>
      <c r="B17" s="3661"/>
      <c r="C17" s="1744">
        <v>19070</v>
      </c>
      <c r="D17" s="1744">
        <v>25509</v>
      </c>
      <c r="E17" s="1744">
        <v>7641</v>
      </c>
      <c r="F17" s="1744">
        <v>4099</v>
      </c>
      <c r="G17" s="908">
        <v>39958</v>
      </c>
      <c r="H17" s="909">
        <v>39625</v>
      </c>
      <c r="I17" s="910">
        <v>0</v>
      </c>
      <c r="J17" s="903"/>
      <c r="K17" s="903"/>
      <c r="L17" s="903"/>
      <c r="M17" s="903"/>
      <c r="N17" s="903"/>
      <c r="O17" s="903"/>
      <c r="P17" s="903"/>
    </row>
    <row r="18" spans="1:16" s="907" customFormat="1" ht="24" customHeight="1">
      <c r="A18" s="3662" t="s">
        <v>1067</v>
      </c>
      <c r="B18" s="3663"/>
      <c r="C18" s="1745">
        <v>20531</v>
      </c>
      <c r="D18" s="1745">
        <v>35958</v>
      </c>
      <c r="E18" s="1745">
        <v>8072</v>
      </c>
      <c r="F18" s="1745">
        <v>4770</v>
      </c>
      <c r="G18" s="911">
        <v>42127</v>
      </c>
      <c r="H18" s="912">
        <v>41588</v>
      </c>
      <c r="I18" s="910"/>
      <c r="J18" s="903"/>
      <c r="K18" s="903"/>
      <c r="L18" s="903"/>
      <c r="M18" s="903"/>
      <c r="N18" s="903"/>
      <c r="O18" s="903"/>
      <c r="P18" s="903"/>
    </row>
    <row r="19" spans="1:16" s="907" customFormat="1" ht="18.95" customHeight="1">
      <c r="A19" s="1716" t="s">
        <v>1506</v>
      </c>
      <c r="B19" s="1717"/>
      <c r="C19" s="1746"/>
      <c r="D19" s="1717"/>
      <c r="E19" s="1747"/>
      <c r="F19" s="1747"/>
      <c r="G19" s="1717"/>
      <c r="H19" s="1717"/>
      <c r="I19" s="913"/>
      <c r="J19" s="903"/>
      <c r="K19" s="903"/>
      <c r="L19" s="903"/>
      <c r="M19" s="903"/>
      <c r="N19" s="903"/>
      <c r="O19" s="903"/>
      <c r="P19" s="903"/>
    </row>
    <row r="20" spans="1:16" s="903" customFormat="1"/>
    <row r="21" spans="1:16" s="903" customFormat="1"/>
    <row r="22" spans="1:16" s="903" customFormat="1"/>
    <row r="23" spans="1:16" s="903" customFormat="1"/>
    <row r="24" spans="1:16" s="903" customFormat="1"/>
    <row r="25" spans="1:16" s="903" customFormat="1"/>
  </sheetData>
  <mergeCells count="20">
    <mergeCell ref="A15:B15"/>
    <mergeCell ref="A16:B16"/>
    <mergeCell ref="A17:B17"/>
    <mergeCell ref="A18:B18"/>
    <mergeCell ref="A9:B9"/>
    <mergeCell ref="A10:B10"/>
    <mergeCell ref="A11:B11"/>
    <mergeCell ref="A12:B12"/>
    <mergeCell ref="A13:B13"/>
    <mergeCell ref="A14:B14"/>
    <mergeCell ref="A1:H1"/>
    <mergeCell ref="J2:P2"/>
    <mergeCell ref="A3:B8"/>
    <mergeCell ref="C3:C7"/>
    <mergeCell ref="D3:D7"/>
    <mergeCell ref="E3:E7"/>
    <mergeCell ref="F3:F7"/>
    <mergeCell ref="G3:G7"/>
    <mergeCell ref="H3:H7"/>
    <mergeCell ref="I3:I7"/>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71" orientation="landscape" r:id="rId1"/>
  <headerFooter differentOddEven="1" scaleWithDoc="0">
    <oddHeader>&amp;L&amp;"Times New Roman,標準"&amp;8 107&amp;"標楷體,標準"年犯罪狀況及其分析</oddHeader>
    <evenHeader>&amp;R&amp;"標楷體,標準"&amp;8第二篇　犯罪之處理</evenHead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M18"/>
  <sheetViews>
    <sheetView showGridLines="0" zoomScaleNormal="100" workbookViewId="0">
      <selection activeCell="B16" sqref="B16"/>
    </sheetView>
  </sheetViews>
  <sheetFormatPr defaultColWidth="8.875" defaultRowHeight="15.75"/>
  <cols>
    <col min="1" max="6" width="8.875" style="1758" customWidth="1"/>
    <col min="7" max="7" width="9.25" style="1758" customWidth="1"/>
    <col min="8" max="8" width="10" style="1758" customWidth="1"/>
    <col min="9" max="10" width="8.875" style="1758" customWidth="1"/>
    <col min="11" max="11" width="9.875" style="1758" customWidth="1"/>
    <col min="12" max="13" width="12.5" style="1758" customWidth="1"/>
    <col min="14" max="254" width="8.875" style="1758"/>
    <col min="255" max="255" width="8.875" style="1758" customWidth="1"/>
    <col min="256" max="256" width="3.125" style="1758" customWidth="1"/>
    <col min="257" max="261" width="8.875" style="1758" customWidth="1"/>
    <col min="262" max="262" width="9.25" style="1758" customWidth="1"/>
    <col min="263" max="263" width="10" style="1758" customWidth="1"/>
    <col min="264" max="265" width="8.875" style="1758" customWidth="1"/>
    <col min="266" max="266" width="9.875" style="1758" customWidth="1"/>
    <col min="267" max="268" width="12.5" style="1758" customWidth="1"/>
    <col min="269" max="510" width="8.875" style="1758"/>
    <col min="511" max="511" width="8.875" style="1758" customWidth="1"/>
    <col min="512" max="512" width="3.125" style="1758" customWidth="1"/>
    <col min="513" max="517" width="8.875" style="1758" customWidth="1"/>
    <col min="518" max="518" width="9.25" style="1758" customWidth="1"/>
    <col min="519" max="519" width="10" style="1758" customWidth="1"/>
    <col min="520" max="521" width="8.875" style="1758" customWidth="1"/>
    <col min="522" max="522" width="9.875" style="1758" customWidth="1"/>
    <col min="523" max="524" width="12.5" style="1758" customWidth="1"/>
    <col min="525" max="766" width="8.875" style="1758"/>
    <col min="767" max="767" width="8.875" style="1758" customWidth="1"/>
    <col min="768" max="768" width="3.125" style="1758" customWidth="1"/>
    <col min="769" max="773" width="8.875" style="1758" customWidth="1"/>
    <col min="774" max="774" width="9.25" style="1758" customWidth="1"/>
    <col min="775" max="775" width="10" style="1758" customWidth="1"/>
    <col min="776" max="777" width="8.875" style="1758" customWidth="1"/>
    <col min="778" max="778" width="9.875" style="1758" customWidth="1"/>
    <col min="779" max="780" width="12.5" style="1758" customWidth="1"/>
    <col min="781" max="1022" width="8.875" style="1758"/>
    <col min="1023" max="1023" width="8.875" style="1758" customWidth="1"/>
    <col min="1024" max="1024" width="3.125" style="1758" customWidth="1"/>
    <col min="1025" max="1029" width="8.875" style="1758" customWidth="1"/>
    <col min="1030" max="1030" width="9.25" style="1758" customWidth="1"/>
    <col min="1031" max="1031" width="10" style="1758" customWidth="1"/>
    <col min="1032" max="1033" width="8.875" style="1758" customWidth="1"/>
    <col min="1034" max="1034" width="9.875" style="1758" customWidth="1"/>
    <col min="1035" max="1036" width="12.5" style="1758" customWidth="1"/>
    <col min="1037" max="1278" width="8.875" style="1758"/>
    <col min="1279" max="1279" width="8.875" style="1758" customWidth="1"/>
    <col min="1280" max="1280" width="3.125" style="1758" customWidth="1"/>
    <col min="1281" max="1285" width="8.875" style="1758" customWidth="1"/>
    <col min="1286" max="1286" width="9.25" style="1758" customWidth="1"/>
    <col min="1287" max="1287" width="10" style="1758" customWidth="1"/>
    <col min="1288" max="1289" width="8.875" style="1758" customWidth="1"/>
    <col min="1290" max="1290" width="9.875" style="1758" customWidth="1"/>
    <col min="1291" max="1292" width="12.5" style="1758" customWidth="1"/>
    <col min="1293" max="1534" width="8.875" style="1758"/>
    <col min="1535" max="1535" width="8.875" style="1758" customWidth="1"/>
    <col min="1536" max="1536" width="3.125" style="1758" customWidth="1"/>
    <col min="1537" max="1541" width="8.875" style="1758" customWidth="1"/>
    <col min="1542" max="1542" width="9.25" style="1758" customWidth="1"/>
    <col min="1543" max="1543" width="10" style="1758" customWidth="1"/>
    <col min="1544" max="1545" width="8.875" style="1758" customWidth="1"/>
    <col min="1546" max="1546" width="9.875" style="1758" customWidth="1"/>
    <col min="1547" max="1548" width="12.5" style="1758" customWidth="1"/>
    <col min="1549" max="1790" width="8.875" style="1758"/>
    <col min="1791" max="1791" width="8.875" style="1758" customWidth="1"/>
    <col min="1792" max="1792" width="3.125" style="1758" customWidth="1"/>
    <col min="1793" max="1797" width="8.875" style="1758" customWidth="1"/>
    <col min="1798" max="1798" width="9.25" style="1758" customWidth="1"/>
    <col min="1799" max="1799" width="10" style="1758" customWidth="1"/>
    <col min="1800" max="1801" width="8.875" style="1758" customWidth="1"/>
    <col min="1802" max="1802" width="9.875" style="1758" customWidth="1"/>
    <col min="1803" max="1804" width="12.5" style="1758" customWidth="1"/>
    <col min="1805" max="2046" width="8.875" style="1758"/>
    <col min="2047" max="2047" width="8.875" style="1758" customWidth="1"/>
    <col min="2048" max="2048" width="3.125" style="1758" customWidth="1"/>
    <col min="2049" max="2053" width="8.875" style="1758" customWidth="1"/>
    <col min="2054" max="2054" width="9.25" style="1758" customWidth="1"/>
    <col min="2055" max="2055" width="10" style="1758" customWidth="1"/>
    <col min="2056" max="2057" width="8.875" style="1758" customWidth="1"/>
    <col min="2058" max="2058" width="9.875" style="1758" customWidth="1"/>
    <col min="2059" max="2060" width="12.5" style="1758" customWidth="1"/>
    <col min="2061" max="2302" width="8.875" style="1758"/>
    <col min="2303" max="2303" width="8.875" style="1758" customWidth="1"/>
    <col min="2304" max="2304" width="3.125" style="1758" customWidth="1"/>
    <col min="2305" max="2309" width="8.875" style="1758" customWidth="1"/>
    <col min="2310" max="2310" width="9.25" style="1758" customWidth="1"/>
    <col min="2311" max="2311" width="10" style="1758" customWidth="1"/>
    <col min="2312" max="2313" width="8.875" style="1758" customWidth="1"/>
    <col min="2314" max="2314" width="9.875" style="1758" customWidth="1"/>
    <col min="2315" max="2316" width="12.5" style="1758" customWidth="1"/>
    <col min="2317" max="2558" width="8.875" style="1758"/>
    <col min="2559" max="2559" width="8.875" style="1758" customWidth="1"/>
    <col min="2560" max="2560" width="3.125" style="1758" customWidth="1"/>
    <col min="2561" max="2565" width="8.875" style="1758" customWidth="1"/>
    <col min="2566" max="2566" width="9.25" style="1758" customWidth="1"/>
    <col min="2567" max="2567" width="10" style="1758" customWidth="1"/>
    <col min="2568" max="2569" width="8.875" style="1758" customWidth="1"/>
    <col min="2570" max="2570" width="9.875" style="1758" customWidth="1"/>
    <col min="2571" max="2572" width="12.5" style="1758" customWidth="1"/>
    <col min="2573" max="2814" width="8.875" style="1758"/>
    <col min="2815" max="2815" width="8.875" style="1758" customWidth="1"/>
    <col min="2816" max="2816" width="3.125" style="1758" customWidth="1"/>
    <col min="2817" max="2821" width="8.875" style="1758" customWidth="1"/>
    <col min="2822" max="2822" width="9.25" style="1758" customWidth="1"/>
    <col min="2823" max="2823" width="10" style="1758" customWidth="1"/>
    <col min="2824" max="2825" width="8.875" style="1758" customWidth="1"/>
    <col min="2826" max="2826" width="9.875" style="1758" customWidth="1"/>
    <col min="2827" max="2828" width="12.5" style="1758" customWidth="1"/>
    <col min="2829" max="3070" width="8.875" style="1758"/>
    <col min="3071" max="3071" width="8.875" style="1758" customWidth="1"/>
    <col min="3072" max="3072" width="3.125" style="1758" customWidth="1"/>
    <col min="3073" max="3077" width="8.875" style="1758" customWidth="1"/>
    <col min="3078" max="3078" width="9.25" style="1758" customWidth="1"/>
    <col min="3079" max="3079" width="10" style="1758" customWidth="1"/>
    <col min="3080" max="3081" width="8.875" style="1758" customWidth="1"/>
    <col min="3082" max="3082" width="9.875" style="1758" customWidth="1"/>
    <col min="3083" max="3084" width="12.5" style="1758" customWidth="1"/>
    <col min="3085" max="3326" width="8.875" style="1758"/>
    <col min="3327" max="3327" width="8.875" style="1758" customWidth="1"/>
    <col min="3328" max="3328" width="3.125" style="1758" customWidth="1"/>
    <col min="3329" max="3333" width="8.875" style="1758" customWidth="1"/>
    <col min="3334" max="3334" width="9.25" style="1758" customWidth="1"/>
    <col min="3335" max="3335" width="10" style="1758" customWidth="1"/>
    <col min="3336" max="3337" width="8.875" style="1758" customWidth="1"/>
    <col min="3338" max="3338" width="9.875" style="1758" customWidth="1"/>
    <col min="3339" max="3340" width="12.5" style="1758" customWidth="1"/>
    <col min="3341" max="3582" width="8.875" style="1758"/>
    <col min="3583" max="3583" width="8.875" style="1758" customWidth="1"/>
    <col min="3584" max="3584" width="3.125" style="1758" customWidth="1"/>
    <col min="3585" max="3589" width="8.875" style="1758" customWidth="1"/>
    <col min="3590" max="3590" width="9.25" style="1758" customWidth="1"/>
    <col min="3591" max="3591" width="10" style="1758" customWidth="1"/>
    <col min="3592" max="3593" width="8.875" style="1758" customWidth="1"/>
    <col min="3594" max="3594" width="9.875" style="1758" customWidth="1"/>
    <col min="3595" max="3596" width="12.5" style="1758" customWidth="1"/>
    <col min="3597" max="3838" width="8.875" style="1758"/>
    <col min="3839" max="3839" width="8.875" style="1758" customWidth="1"/>
    <col min="3840" max="3840" width="3.125" style="1758" customWidth="1"/>
    <col min="3841" max="3845" width="8.875" style="1758" customWidth="1"/>
    <col min="3846" max="3846" width="9.25" style="1758" customWidth="1"/>
    <col min="3847" max="3847" width="10" style="1758" customWidth="1"/>
    <col min="3848" max="3849" width="8.875" style="1758" customWidth="1"/>
    <col min="3850" max="3850" width="9.875" style="1758" customWidth="1"/>
    <col min="3851" max="3852" width="12.5" style="1758" customWidth="1"/>
    <col min="3853" max="4094" width="8.875" style="1758"/>
    <col min="4095" max="4095" width="8.875" style="1758" customWidth="1"/>
    <col min="4096" max="4096" width="3.125" style="1758" customWidth="1"/>
    <col min="4097" max="4101" width="8.875" style="1758" customWidth="1"/>
    <col min="4102" max="4102" width="9.25" style="1758" customWidth="1"/>
    <col min="4103" max="4103" width="10" style="1758" customWidth="1"/>
    <col min="4104" max="4105" width="8.875" style="1758" customWidth="1"/>
    <col min="4106" max="4106" width="9.875" style="1758" customWidth="1"/>
    <col min="4107" max="4108" width="12.5" style="1758" customWidth="1"/>
    <col min="4109" max="4350" width="8.875" style="1758"/>
    <col min="4351" max="4351" width="8.875" style="1758" customWidth="1"/>
    <col min="4352" max="4352" width="3.125" style="1758" customWidth="1"/>
    <col min="4353" max="4357" width="8.875" style="1758" customWidth="1"/>
    <col min="4358" max="4358" width="9.25" style="1758" customWidth="1"/>
    <col min="4359" max="4359" width="10" style="1758" customWidth="1"/>
    <col min="4360" max="4361" width="8.875" style="1758" customWidth="1"/>
    <col min="4362" max="4362" width="9.875" style="1758" customWidth="1"/>
    <col min="4363" max="4364" width="12.5" style="1758" customWidth="1"/>
    <col min="4365" max="4606" width="8.875" style="1758"/>
    <col min="4607" max="4607" width="8.875" style="1758" customWidth="1"/>
    <col min="4608" max="4608" width="3.125" style="1758" customWidth="1"/>
    <col min="4609" max="4613" width="8.875" style="1758" customWidth="1"/>
    <col min="4614" max="4614" width="9.25" style="1758" customWidth="1"/>
    <col min="4615" max="4615" width="10" style="1758" customWidth="1"/>
    <col min="4616" max="4617" width="8.875" style="1758" customWidth="1"/>
    <col min="4618" max="4618" width="9.875" style="1758" customWidth="1"/>
    <col min="4619" max="4620" width="12.5" style="1758" customWidth="1"/>
    <col min="4621" max="4862" width="8.875" style="1758"/>
    <col min="4863" max="4863" width="8.875" style="1758" customWidth="1"/>
    <col min="4864" max="4864" width="3.125" style="1758" customWidth="1"/>
    <col min="4865" max="4869" width="8.875" style="1758" customWidth="1"/>
    <col min="4870" max="4870" width="9.25" style="1758" customWidth="1"/>
    <col min="4871" max="4871" width="10" style="1758" customWidth="1"/>
    <col min="4872" max="4873" width="8.875" style="1758" customWidth="1"/>
    <col min="4874" max="4874" width="9.875" style="1758" customWidth="1"/>
    <col min="4875" max="4876" width="12.5" style="1758" customWidth="1"/>
    <col min="4877" max="5118" width="8.875" style="1758"/>
    <col min="5119" max="5119" width="8.875" style="1758" customWidth="1"/>
    <col min="5120" max="5120" width="3.125" style="1758" customWidth="1"/>
    <col min="5121" max="5125" width="8.875" style="1758" customWidth="1"/>
    <col min="5126" max="5126" width="9.25" style="1758" customWidth="1"/>
    <col min="5127" max="5127" width="10" style="1758" customWidth="1"/>
    <col min="5128" max="5129" width="8.875" style="1758" customWidth="1"/>
    <col min="5130" max="5130" width="9.875" style="1758" customWidth="1"/>
    <col min="5131" max="5132" width="12.5" style="1758" customWidth="1"/>
    <col min="5133" max="5374" width="8.875" style="1758"/>
    <col min="5375" max="5375" width="8.875" style="1758" customWidth="1"/>
    <col min="5376" max="5376" width="3.125" style="1758" customWidth="1"/>
    <col min="5377" max="5381" width="8.875" style="1758" customWidth="1"/>
    <col min="5382" max="5382" width="9.25" style="1758" customWidth="1"/>
    <col min="5383" max="5383" width="10" style="1758" customWidth="1"/>
    <col min="5384" max="5385" width="8.875" style="1758" customWidth="1"/>
    <col min="5386" max="5386" width="9.875" style="1758" customWidth="1"/>
    <col min="5387" max="5388" width="12.5" style="1758" customWidth="1"/>
    <col min="5389" max="5630" width="8.875" style="1758"/>
    <col min="5631" max="5631" width="8.875" style="1758" customWidth="1"/>
    <col min="5632" max="5632" width="3.125" style="1758" customWidth="1"/>
    <col min="5633" max="5637" width="8.875" style="1758" customWidth="1"/>
    <col min="5638" max="5638" width="9.25" style="1758" customWidth="1"/>
    <col min="5639" max="5639" width="10" style="1758" customWidth="1"/>
    <col min="5640" max="5641" width="8.875" style="1758" customWidth="1"/>
    <col min="5642" max="5642" width="9.875" style="1758" customWidth="1"/>
    <col min="5643" max="5644" width="12.5" style="1758" customWidth="1"/>
    <col min="5645" max="5886" width="8.875" style="1758"/>
    <col min="5887" max="5887" width="8.875" style="1758" customWidth="1"/>
    <col min="5888" max="5888" width="3.125" style="1758" customWidth="1"/>
    <col min="5889" max="5893" width="8.875" style="1758" customWidth="1"/>
    <col min="5894" max="5894" width="9.25" style="1758" customWidth="1"/>
    <col min="5895" max="5895" width="10" style="1758" customWidth="1"/>
    <col min="5896" max="5897" width="8.875" style="1758" customWidth="1"/>
    <col min="5898" max="5898" width="9.875" style="1758" customWidth="1"/>
    <col min="5899" max="5900" width="12.5" style="1758" customWidth="1"/>
    <col min="5901" max="6142" width="8.875" style="1758"/>
    <col min="6143" max="6143" width="8.875" style="1758" customWidth="1"/>
    <col min="6144" max="6144" width="3.125" style="1758" customWidth="1"/>
    <col min="6145" max="6149" width="8.875" style="1758" customWidth="1"/>
    <col min="6150" max="6150" width="9.25" style="1758" customWidth="1"/>
    <col min="6151" max="6151" width="10" style="1758" customWidth="1"/>
    <col min="6152" max="6153" width="8.875" style="1758" customWidth="1"/>
    <col min="6154" max="6154" width="9.875" style="1758" customWidth="1"/>
    <col min="6155" max="6156" width="12.5" style="1758" customWidth="1"/>
    <col min="6157" max="6398" width="8.875" style="1758"/>
    <col min="6399" max="6399" width="8.875" style="1758" customWidth="1"/>
    <col min="6400" max="6400" width="3.125" style="1758" customWidth="1"/>
    <col min="6401" max="6405" width="8.875" style="1758" customWidth="1"/>
    <col min="6406" max="6406" width="9.25" style="1758" customWidth="1"/>
    <col min="6407" max="6407" width="10" style="1758" customWidth="1"/>
    <col min="6408" max="6409" width="8.875" style="1758" customWidth="1"/>
    <col min="6410" max="6410" width="9.875" style="1758" customWidth="1"/>
    <col min="6411" max="6412" width="12.5" style="1758" customWidth="1"/>
    <col min="6413" max="6654" width="8.875" style="1758"/>
    <col min="6655" max="6655" width="8.875" style="1758" customWidth="1"/>
    <col min="6656" max="6656" width="3.125" style="1758" customWidth="1"/>
    <col min="6657" max="6661" width="8.875" style="1758" customWidth="1"/>
    <col min="6662" max="6662" width="9.25" style="1758" customWidth="1"/>
    <col min="6663" max="6663" width="10" style="1758" customWidth="1"/>
    <col min="6664" max="6665" width="8.875" style="1758" customWidth="1"/>
    <col min="6666" max="6666" width="9.875" style="1758" customWidth="1"/>
    <col min="6667" max="6668" width="12.5" style="1758" customWidth="1"/>
    <col min="6669" max="6910" width="8.875" style="1758"/>
    <col min="6911" max="6911" width="8.875" style="1758" customWidth="1"/>
    <col min="6912" max="6912" width="3.125" style="1758" customWidth="1"/>
    <col min="6913" max="6917" width="8.875" style="1758" customWidth="1"/>
    <col min="6918" max="6918" width="9.25" style="1758" customWidth="1"/>
    <col min="6919" max="6919" width="10" style="1758" customWidth="1"/>
    <col min="6920" max="6921" width="8.875" style="1758" customWidth="1"/>
    <col min="6922" max="6922" width="9.875" style="1758" customWidth="1"/>
    <col min="6923" max="6924" width="12.5" style="1758" customWidth="1"/>
    <col min="6925" max="7166" width="8.875" style="1758"/>
    <col min="7167" max="7167" width="8.875" style="1758" customWidth="1"/>
    <col min="7168" max="7168" width="3.125" style="1758" customWidth="1"/>
    <col min="7169" max="7173" width="8.875" style="1758" customWidth="1"/>
    <col min="7174" max="7174" width="9.25" style="1758" customWidth="1"/>
    <col min="7175" max="7175" width="10" style="1758" customWidth="1"/>
    <col min="7176" max="7177" width="8.875" style="1758" customWidth="1"/>
    <col min="7178" max="7178" width="9.875" style="1758" customWidth="1"/>
    <col min="7179" max="7180" width="12.5" style="1758" customWidth="1"/>
    <col min="7181" max="7422" width="8.875" style="1758"/>
    <col min="7423" max="7423" width="8.875" style="1758" customWidth="1"/>
    <col min="7424" max="7424" width="3.125" style="1758" customWidth="1"/>
    <col min="7425" max="7429" width="8.875" style="1758" customWidth="1"/>
    <col min="7430" max="7430" width="9.25" style="1758" customWidth="1"/>
    <col min="7431" max="7431" width="10" style="1758" customWidth="1"/>
    <col min="7432" max="7433" width="8.875" style="1758" customWidth="1"/>
    <col min="7434" max="7434" width="9.875" style="1758" customWidth="1"/>
    <col min="7435" max="7436" width="12.5" style="1758" customWidth="1"/>
    <col min="7437" max="7678" width="8.875" style="1758"/>
    <col min="7679" max="7679" width="8.875" style="1758" customWidth="1"/>
    <col min="7680" max="7680" width="3.125" style="1758" customWidth="1"/>
    <col min="7681" max="7685" width="8.875" style="1758" customWidth="1"/>
    <col min="7686" max="7686" width="9.25" style="1758" customWidth="1"/>
    <col min="7687" max="7687" width="10" style="1758" customWidth="1"/>
    <col min="7688" max="7689" width="8.875" style="1758" customWidth="1"/>
    <col min="7690" max="7690" width="9.875" style="1758" customWidth="1"/>
    <col min="7691" max="7692" width="12.5" style="1758" customWidth="1"/>
    <col min="7693" max="7934" width="8.875" style="1758"/>
    <col min="7935" max="7935" width="8.875" style="1758" customWidth="1"/>
    <col min="7936" max="7936" width="3.125" style="1758" customWidth="1"/>
    <col min="7937" max="7941" width="8.875" style="1758" customWidth="1"/>
    <col min="7942" max="7942" width="9.25" style="1758" customWidth="1"/>
    <col min="7943" max="7943" width="10" style="1758" customWidth="1"/>
    <col min="7944" max="7945" width="8.875" style="1758" customWidth="1"/>
    <col min="7946" max="7946" width="9.875" style="1758" customWidth="1"/>
    <col min="7947" max="7948" width="12.5" style="1758" customWidth="1"/>
    <col min="7949" max="8190" width="8.875" style="1758"/>
    <col min="8191" max="8191" width="8.875" style="1758" customWidth="1"/>
    <col min="8192" max="8192" width="3.125" style="1758" customWidth="1"/>
    <col min="8193" max="8197" width="8.875" style="1758" customWidth="1"/>
    <col min="8198" max="8198" width="9.25" style="1758" customWidth="1"/>
    <col min="8199" max="8199" width="10" style="1758" customWidth="1"/>
    <col min="8200" max="8201" width="8.875" style="1758" customWidth="1"/>
    <col min="8202" max="8202" width="9.875" style="1758" customWidth="1"/>
    <col min="8203" max="8204" width="12.5" style="1758" customWidth="1"/>
    <col min="8205" max="8446" width="8.875" style="1758"/>
    <col min="8447" max="8447" width="8.875" style="1758" customWidth="1"/>
    <col min="8448" max="8448" width="3.125" style="1758" customWidth="1"/>
    <col min="8449" max="8453" width="8.875" style="1758" customWidth="1"/>
    <col min="8454" max="8454" width="9.25" style="1758" customWidth="1"/>
    <col min="8455" max="8455" width="10" style="1758" customWidth="1"/>
    <col min="8456" max="8457" width="8.875" style="1758" customWidth="1"/>
    <col min="8458" max="8458" width="9.875" style="1758" customWidth="1"/>
    <col min="8459" max="8460" width="12.5" style="1758" customWidth="1"/>
    <col min="8461" max="8702" width="8.875" style="1758"/>
    <col min="8703" max="8703" width="8.875" style="1758" customWidth="1"/>
    <col min="8704" max="8704" width="3.125" style="1758" customWidth="1"/>
    <col min="8705" max="8709" width="8.875" style="1758" customWidth="1"/>
    <col min="8710" max="8710" width="9.25" style="1758" customWidth="1"/>
    <col min="8711" max="8711" width="10" style="1758" customWidth="1"/>
    <col min="8712" max="8713" width="8.875" style="1758" customWidth="1"/>
    <col min="8714" max="8714" width="9.875" style="1758" customWidth="1"/>
    <col min="8715" max="8716" width="12.5" style="1758" customWidth="1"/>
    <col min="8717" max="8958" width="8.875" style="1758"/>
    <col min="8959" max="8959" width="8.875" style="1758" customWidth="1"/>
    <col min="8960" max="8960" width="3.125" style="1758" customWidth="1"/>
    <col min="8961" max="8965" width="8.875" style="1758" customWidth="1"/>
    <col min="8966" max="8966" width="9.25" style="1758" customWidth="1"/>
    <col min="8967" max="8967" width="10" style="1758" customWidth="1"/>
    <col min="8968" max="8969" width="8.875" style="1758" customWidth="1"/>
    <col min="8970" max="8970" width="9.875" style="1758" customWidth="1"/>
    <col min="8971" max="8972" width="12.5" style="1758" customWidth="1"/>
    <col min="8973" max="9214" width="8.875" style="1758"/>
    <col min="9215" max="9215" width="8.875" style="1758" customWidth="1"/>
    <col min="9216" max="9216" width="3.125" style="1758" customWidth="1"/>
    <col min="9217" max="9221" width="8.875" style="1758" customWidth="1"/>
    <col min="9222" max="9222" width="9.25" style="1758" customWidth="1"/>
    <col min="9223" max="9223" width="10" style="1758" customWidth="1"/>
    <col min="9224" max="9225" width="8.875" style="1758" customWidth="1"/>
    <col min="9226" max="9226" width="9.875" style="1758" customWidth="1"/>
    <col min="9227" max="9228" width="12.5" style="1758" customWidth="1"/>
    <col min="9229" max="9470" width="8.875" style="1758"/>
    <col min="9471" max="9471" width="8.875" style="1758" customWidth="1"/>
    <col min="9472" max="9472" width="3.125" style="1758" customWidth="1"/>
    <col min="9473" max="9477" width="8.875" style="1758" customWidth="1"/>
    <col min="9478" max="9478" width="9.25" style="1758" customWidth="1"/>
    <col min="9479" max="9479" width="10" style="1758" customWidth="1"/>
    <col min="9480" max="9481" width="8.875" style="1758" customWidth="1"/>
    <col min="9482" max="9482" width="9.875" style="1758" customWidth="1"/>
    <col min="9483" max="9484" width="12.5" style="1758" customWidth="1"/>
    <col min="9485" max="9726" width="8.875" style="1758"/>
    <col min="9727" max="9727" width="8.875" style="1758" customWidth="1"/>
    <col min="9728" max="9728" width="3.125" style="1758" customWidth="1"/>
    <col min="9729" max="9733" width="8.875" style="1758" customWidth="1"/>
    <col min="9734" max="9734" width="9.25" style="1758" customWidth="1"/>
    <col min="9735" max="9735" width="10" style="1758" customWidth="1"/>
    <col min="9736" max="9737" width="8.875" style="1758" customWidth="1"/>
    <col min="9738" max="9738" width="9.875" style="1758" customWidth="1"/>
    <col min="9739" max="9740" width="12.5" style="1758" customWidth="1"/>
    <col min="9741" max="9982" width="8.875" style="1758"/>
    <col min="9983" max="9983" width="8.875" style="1758" customWidth="1"/>
    <col min="9984" max="9984" width="3.125" style="1758" customWidth="1"/>
    <col min="9985" max="9989" width="8.875" style="1758" customWidth="1"/>
    <col min="9990" max="9990" width="9.25" style="1758" customWidth="1"/>
    <col min="9991" max="9991" width="10" style="1758" customWidth="1"/>
    <col min="9992" max="9993" width="8.875" style="1758" customWidth="1"/>
    <col min="9994" max="9994" width="9.875" style="1758" customWidth="1"/>
    <col min="9995" max="9996" width="12.5" style="1758" customWidth="1"/>
    <col min="9997" max="10238" width="8.875" style="1758"/>
    <col min="10239" max="10239" width="8.875" style="1758" customWidth="1"/>
    <col min="10240" max="10240" width="3.125" style="1758" customWidth="1"/>
    <col min="10241" max="10245" width="8.875" style="1758" customWidth="1"/>
    <col min="10246" max="10246" width="9.25" style="1758" customWidth="1"/>
    <col min="10247" max="10247" width="10" style="1758" customWidth="1"/>
    <col min="10248" max="10249" width="8.875" style="1758" customWidth="1"/>
    <col min="10250" max="10250" width="9.875" style="1758" customWidth="1"/>
    <col min="10251" max="10252" width="12.5" style="1758" customWidth="1"/>
    <col min="10253" max="10494" width="8.875" style="1758"/>
    <col min="10495" max="10495" width="8.875" style="1758" customWidth="1"/>
    <col min="10496" max="10496" width="3.125" style="1758" customWidth="1"/>
    <col min="10497" max="10501" width="8.875" style="1758" customWidth="1"/>
    <col min="10502" max="10502" width="9.25" style="1758" customWidth="1"/>
    <col min="10503" max="10503" width="10" style="1758" customWidth="1"/>
    <col min="10504" max="10505" width="8.875" style="1758" customWidth="1"/>
    <col min="10506" max="10506" width="9.875" style="1758" customWidth="1"/>
    <col min="10507" max="10508" width="12.5" style="1758" customWidth="1"/>
    <col min="10509" max="10750" width="8.875" style="1758"/>
    <col min="10751" max="10751" width="8.875" style="1758" customWidth="1"/>
    <col min="10752" max="10752" width="3.125" style="1758" customWidth="1"/>
    <col min="10753" max="10757" width="8.875" style="1758" customWidth="1"/>
    <col min="10758" max="10758" width="9.25" style="1758" customWidth="1"/>
    <col min="10759" max="10759" width="10" style="1758" customWidth="1"/>
    <col min="10760" max="10761" width="8.875" style="1758" customWidth="1"/>
    <col min="10762" max="10762" width="9.875" style="1758" customWidth="1"/>
    <col min="10763" max="10764" width="12.5" style="1758" customWidth="1"/>
    <col min="10765" max="11006" width="8.875" style="1758"/>
    <col min="11007" max="11007" width="8.875" style="1758" customWidth="1"/>
    <col min="11008" max="11008" width="3.125" style="1758" customWidth="1"/>
    <col min="11009" max="11013" width="8.875" style="1758" customWidth="1"/>
    <col min="11014" max="11014" width="9.25" style="1758" customWidth="1"/>
    <col min="11015" max="11015" width="10" style="1758" customWidth="1"/>
    <col min="11016" max="11017" width="8.875" style="1758" customWidth="1"/>
    <col min="11018" max="11018" width="9.875" style="1758" customWidth="1"/>
    <col min="11019" max="11020" width="12.5" style="1758" customWidth="1"/>
    <col min="11021" max="11262" width="8.875" style="1758"/>
    <col min="11263" max="11263" width="8.875" style="1758" customWidth="1"/>
    <col min="11264" max="11264" width="3.125" style="1758" customWidth="1"/>
    <col min="11265" max="11269" width="8.875" style="1758" customWidth="1"/>
    <col min="11270" max="11270" width="9.25" style="1758" customWidth="1"/>
    <col min="11271" max="11271" width="10" style="1758" customWidth="1"/>
    <col min="11272" max="11273" width="8.875" style="1758" customWidth="1"/>
    <col min="11274" max="11274" width="9.875" style="1758" customWidth="1"/>
    <col min="11275" max="11276" width="12.5" style="1758" customWidth="1"/>
    <col min="11277" max="11518" width="8.875" style="1758"/>
    <col min="11519" max="11519" width="8.875" style="1758" customWidth="1"/>
    <col min="11520" max="11520" width="3.125" style="1758" customWidth="1"/>
    <col min="11521" max="11525" width="8.875" style="1758" customWidth="1"/>
    <col min="11526" max="11526" width="9.25" style="1758" customWidth="1"/>
    <col min="11527" max="11527" width="10" style="1758" customWidth="1"/>
    <col min="11528" max="11529" width="8.875" style="1758" customWidth="1"/>
    <col min="11530" max="11530" width="9.875" style="1758" customWidth="1"/>
    <col min="11531" max="11532" width="12.5" style="1758" customWidth="1"/>
    <col min="11533" max="11774" width="8.875" style="1758"/>
    <col min="11775" max="11775" width="8.875" style="1758" customWidth="1"/>
    <col min="11776" max="11776" width="3.125" style="1758" customWidth="1"/>
    <col min="11777" max="11781" width="8.875" style="1758" customWidth="1"/>
    <col min="11782" max="11782" width="9.25" style="1758" customWidth="1"/>
    <col min="11783" max="11783" width="10" style="1758" customWidth="1"/>
    <col min="11784" max="11785" width="8.875" style="1758" customWidth="1"/>
    <col min="11786" max="11786" width="9.875" style="1758" customWidth="1"/>
    <col min="11787" max="11788" width="12.5" style="1758" customWidth="1"/>
    <col min="11789" max="12030" width="8.875" style="1758"/>
    <col min="12031" max="12031" width="8.875" style="1758" customWidth="1"/>
    <col min="12032" max="12032" width="3.125" style="1758" customWidth="1"/>
    <col min="12033" max="12037" width="8.875" style="1758" customWidth="1"/>
    <col min="12038" max="12038" width="9.25" style="1758" customWidth="1"/>
    <col min="12039" max="12039" width="10" style="1758" customWidth="1"/>
    <col min="12040" max="12041" width="8.875" style="1758" customWidth="1"/>
    <col min="12042" max="12042" width="9.875" style="1758" customWidth="1"/>
    <col min="12043" max="12044" width="12.5" style="1758" customWidth="1"/>
    <col min="12045" max="12286" width="8.875" style="1758"/>
    <col min="12287" max="12287" width="8.875" style="1758" customWidth="1"/>
    <col min="12288" max="12288" width="3.125" style="1758" customWidth="1"/>
    <col min="12289" max="12293" width="8.875" style="1758" customWidth="1"/>
    <col min="12294" max="12294" width="9.25" style="1758" customWidth="1"/>
    <col min="12295" max="12295" width="10" style="1758" customWidth="1"/>
    <col min="12296" max="12297" width="8.875" style="1758" customWidth="1"/>
    <col min="12298" max="12298" width="9.875" style="1758" customWidth="1"/>
    <col min="12299" max="12300" width="12.5" style="1758" customWidth="1"/>
    <col min="12301" max="12542" width="8.875" style="1758"/>
    <col min="12543" max="12543" width="8.875" style="1758" customWidth="1"/>
    <col min="12544" max="12544" width="3.125" style="1758" customWidth="1"/>
    <col min="12545" max="12549" width="8.875" style="1758" customWidth="1"/>
    <col min="12550" max="12550" width="9.25" style="1758" customWidth="1"/>
    <col min="12551" max="12551" width="10" style="1758" customWidth="1"/>
    <col min="12552" max="12553" width="8.875" style="1758" customWidth="1"/>
    <col min="12554" max="12554" width="9.875" style="1758" customWidth="1"/>
    <col min="12555" max="12556" width="12.5" style="1758" customWidth="1"/>
    <col min="12557" max="12798" width="8.875" style="1758"/>
    <col min="12799" max="12799" width="8.875" style="1758" customWidth="1"/>
    <col min="12800" max="12800" width="3.125" style="1758" customWidth="1"/>
    <col min="12801" max="12805" width="8.875" style="1758" customWidth="1"/>
    <col min="12806" max="12806" width="9.25" style="1758" customWidth="1"/>
    <col min="12807" max="12807" width="10" style="1758" customWidth="1"/>
    <col min="12808" max="12809" width="8.875" style="1758" customWidth="1"/>
    <col min="12810" max="12810" width="9.875" style="1758" customWidth="1"/>
    <col min="12811" max="12812" width="12.5" style="1758" customWidth="1"/>
    <col min="12813" max="13054" width="8.875" style="1758"/>
    <col min="13055" max="13055" width="8.875" style="1758" customWidth="1"/>
    <col min="13056" max="13056" width="3.125" style="1758" customWidth="1"/>
    <col min="13057" max="13061" width="8.875" style="1758" customWidth="1"/>
    <col min="13062" max="13062" width="9.25" style="1758" customWidth="1"/>
    <col min="13063" max="13063" width="10" style="1758" customWidth="1"/>
    <col min="13064" max="13065" width="8.875" style="1758" customWidth="1"/>
    <col min="13066" max="13066" width="9.875" style="1758" customWidth="1"/>
    <col min="13067" max="13068" width="12.5" style="1758" customWidth="1"/>
    <col min="13069" max="13310" width="8.875" style="1758"/>
    <col min="13311" max="13311" width="8.875" style="1758" customWidth="1"/>
    <col min="13312" max="13312" width="3.125" style="1758" customWidth="1"/>
    <col min="13313" max="13317" width="8.875" style="1758" customWidth="1"/>
    <col min="13318" max="13318" width="9.25" style="1758" customWidth="1"/>
    <col min="13319" max="13319" width="10" style="1758" customWidth="1"/>
    <col min="13320" max="13321" width="8.875" style="1758" customWidth="1"/>
    <col min="13322" max="13322" width="9.875" style="1758" customWidth="1"/>
    <col min="13323" max="13324" width="12.5" style="1758" customWidth="1"/>
    <col min="13325" max="13566" width="8.875" style="1758"/>
    <col min="13567" max="13567" width="8.875" style="1758" customWidth="1"/>
    <col min="13568" max="13568" width="3.125" style="1758" customWidth="1"/>
    <col min="13569" max="13573" width="8.875" style="1758" customWidth="1"/>
    <col min="13574" max="13574" width="9.25" style="1758" customWidth="1"/>
    <col min="13575" max="13575" width="10" style="1758" customWidth="1"/>
    <col min="13576" max="13577" width="8.875" style="1758" customWidth="1"/>
    <col min="13578" max="13578" width="9.875" style="1758" customWidth="1"/>
    <col min="13579" max="13580" width="12.5" style="1758" customWidth="1"/>
    <col min="13581" max="13822" width="8.875" style="1758"/>
    <col min="13823" max="13823" width="8.875" style="1758" customWidth="1"/>
    <col min="13824" max="13824" width="3.125" style="1758" customWidth="1"/>
    <col min="13825" max="13829" width="8.875" style="1758" customWidth="1"/>
    <col min="13830" max="13830" width="9.25" style="1758" customWidth="1"/>
    <col min="13831" max="13831" width="10" style="1758" customWidth="1"/>
    <col min="13832" max="13833" width="8.875" style="1758" customWidth="1"/>
    <col min="13834" max="13834" width="9.875" style="1758" customWidth="1"/>
    <col min="13835" max="13836" width="12.5" style="1758" customWidth="1"/>
    <col min="13837" max="14078" width="8.875" style="1758"/>
    <col min="14079" max="14079" width="8.875" style="1758" customWidth="1"/>
    <col min="14080" max="14080" width="3.125" style="1758" customWidth="1"/>
    <col min="14081" max="14085" width="8.875" style="1758" customWidth="1"/>
    <col min="14086" max="14086" width="9.25" style="1758" customWidth="1"/>
    <col min="14087" max="14087" width="10" style="1758" customWidth="1"/>
    <col min="14088" max="14089" width="8.875" style="1758" customWidth="1"/>
    <col min="14090" max="14090" width="9.875" style="1758" customWidth="1"/>
    <col min="14091" max="14092" width="12.5" style="1758" customWidth="1"/>
    <col min="14093" max="14334" width="8.875" style="1758"/>
    <col min="14335" max="14335" width="8.875" style="1758" customWidth="1"/>
    <col min="14336" max="14336" width="3.125" style="1758" customWidth="1"/>
    <col min="14337" max="14341" width="8.875" style="1758" customWidth="1"/>
    <col min="14342" max="14342" width="9.25" style="1758" customWidth="1"/>
    <col min="14343" max="14343" width="10" style="1758" customWidth="1"/>
    <col min="14344" max="14345" width="8.875" style="1758" customWidth="1"/>
    <col min="14346" max="14346" width="9.875" style="1758" customWidth="1"/>
    <col min="14347" max="14348" width="12.5" style="1758" customWidth="1"/>
    <col min="14349" max="14590" width="8.875" style="1758"/>
    <col min="14591" max="14591" width="8.875" style="1758" customWidth="1"/>
    <col min="14592" max="14592" width="3.125" style="1758" customWidth="1"/>
    <col min="14593" max="14597" width="8.875" style="1758" customWidth="1"/>
    <col min="14598" max="14598" width="9.25" style="1758" customWidth="1"/>
    <col min="14599" max="14599" width="10" style="1758" customWidth="1"/>
    <col min="14600" max="14601" width="8.875" style="1758" customWidth="1"/>
    <col min="14602" max="14602" width="9.875" style="1758" customWidth="1"/>
    <col min="14603" max="14604" width="12.5" style="1758" customWidth="1"/>
    <col min="14605" max="14846" width="8.875" style="1758"/>
    <col min="14847" max="14847" width="8.875" style="1758" customWidth="1"/>
    <col min="14848" max="14848" width="3.125" style="1758" customWidth="1"/>
    <col min="14849" max="14853" width="8.875" style="1758" customWidth="1"/>
    <col min="14854" max="14854" width="9.25" style="1758" customWidth="1"/>
    <col min="14855" max="14855" width="10" style="1758" customWidth="1"/>
    <col min="14856" max="14857" width="8.875" style="1758" customWidth="1"/>
    <col min="14858" max="14858" width="9.875" style="1758" customWidth="1"/>
    <col min="14859" max="14860" width="12.5" style="1758" customWidth="1"/>
    <col min="14861" max="15102" width="8.875" style="1758"/>
    <col min="15103" max="15103" width="8.875" style="1758" customWidth="1"/>
    <col min="15104" max="15104" width="3.125" style="1758" customWidth="1"/>
    <col min="15105" max="15109" width="8.875" style="1758" customWidth="1"/>
    <col min="15110" max="15110" width="9.25" style="1758" customWidth="1"/>
    <col min="15111" max="15111" width="10" style="1758" customWidth="1"/>
    <col min="15112" max="15113" width="8.875" style="1758" customWidth="1"/>
    <col min="15114" max="15114" width="9.875" style="1758" customWidth="1"/>
    <col min="15115" max="15116" width="12.5" style="1758" customWidth="1"/>
    <col min="15117" max="15358" width="8.875" style="1758"/>
    <col min="15359" max="15359" width="8.875" style="1758" customWidth="1"/>
    <col min="15360" max="15360" width="3.125" style="1758" customWidth="1"/>
    <col min="15361" max="15365" width="8.875" style="1758" customWidth="1"/>
    <col min="15366" max="15366" width="9.25" style="1758" customWidth="1"/>
    <col min="15367" max="15367" width="10" style="1758" customWidth="1"/>
    <col min="15368" max="15369" width="8.875" style="1758" customWidth="1"/>
    <col min="15370" max="15370" width="9.875" style="1758" customWidth="1"/>
    <col min="15371" max="15372" width="12.5" style="1758" customWidth="1"/>
    <col min="15373" max="15614" width="8.875" style="1758"/>
    <col min="15615" max="15615" width="8.875" style="1758" customWidth="1"/>
    <col min="15616" max="15616" width="3.125" style="1758" customWidth="1"/>
    <col min="15617" max="15621" width="8.875" style="1758" customWidth="1"/>
    <col min="15622" max="15622" width="9.25" style="1758" customWidth="1"/>
    <col min="15623" max="15623" width="10" style="1758" customWidth="1"/>
    <col min="15624" max="15625" width="8.875" style="1758" customWidth="1"/>
    <col min="15626" max="15626" width="9.875" style="1758" customWidth="1"/>
    <col min="15627" max="15628" width="12.5" style="1758" customWidth="1"/>
    <col min="15629" max="15870" width="8.875" style="1758"/>
    <col min="15871" max="15871" width="8.875" style="1758" customWidth="1"/>
    <col min="15872" max="15872" width="3.125" style="1758" customWidth="1"/>
    <col min="15873" max="15877" width="8.875" style="1758" customWidth="1"/>
    <col min="15878" max="15878" width="9.25" style="1758" customWidth="1"/>
    <col min="15879" max="15879" width="10" style="1758" customWidth="1"/>
    <col min="15880" max="15881" width="8.875" style="1758" customWidth="1"/>
    <col min="15882" max="15882" width="9.875" style="1758" customWidth="1"/>
    <col min="15883" max="15884" width="12.5" style="1758" customWidth="1"/>
    <col min="15885" max="16126" width="8.875" style="1758"/>
    <col min="16127" max="16127" width="8.875" style="1758" customWidth="1"/>
    <col min="16128" max="16128" width="3.125" style="1758" customWidth="1"/>
    <col min="16129" max="16133" width="8.875" style="1758" customWidth="1"/>
    <col min="16134" max="16134" width="9.25" style="1758" customWidth="1"/>
    <col min="16135" max="16135" width="10" style="1758" customWidth="1"/>
    <col min="16136" max="16137" width="8.875" style="1758" customWidth="1"/>
    <col min="16138" max="16138" width="9.875" style="1758" customWidth="1"/>
    <col min="16139" max="16140" width="12.5" style="1758" customWidth="1"/>
    <col min="16141" max="16384" width="8.875" style="1758"/>
  </cols>
  <sheetData>
    <row r="1" spans="1:13" s="732" customFormat="1" ht="28.5" customHeight="1">
      <c r="A1" s="3664" t="s">
        <v>2262</v>
      </c>
      <c r="B1" s="3664"/>
      <c r="C1" s="3664"/>
      <c r="D1" s="3664"/>
      <c r="E1" s="3664"/>
      <c r="F1" s="3664"/>
      <c r="G1" s="3664"/>
      <c r="H1" s="3664"/>
      <c r="I1" s="3664"/>
      <c r="J1" s="3665"/>
      <c r="K1" s="3665"/>
      <c r="L1" s="3665"/>
      <c r="M1" s="3665"/>
    </row>
    <row r="2" spans="1:13" s="732" customFormat="1">
      <c r="A2" s="3666"/>
      <c r="B2" s="3669" t="s">
        <v>2191</v>
      </c>
      <c r="C2" s="3669"/>
      <c r="D2" s="3669"/>
      <c r="E2" s="3670"/>
      <c r="F2" s="3671" t="s">
        <v>2192</v>
      </c>
      <c r="G2" s="3674"/>
      <c r="H2" s="3675"/>
      <c r="I2" s="3676" t="s">
        <v>2193</v>
      </c>
      <c r="J2" s="3679" t="s">
        <v>2233</v>
      </c>
      <c r="K2" s="3639"/>
      <c r="L2" s="3639"/>
      <c r="M2" s="3639"/>
    </row>
    <row r="3" spans="1:13" s="732" customFormat="1" ht="48.2" customHeight="1">
      <c r="A3" s="3667"/>
      <c r="B3" s="3680" t="s">
        <v>349</v>
      </c>
      <c r="C3" s="3682" t="s">
        <v>2263</v>
      </c>
      <c r="D3" s="3682" t="s">
        <v>2264</v>
      </c>
      <c r="E3" s="3682" t="s">
        <v>2265</v>
      </c>
      <c r="F3" s="3672"/>
      <c r="G3" s="3685" t="s">
        <v>2266</v>
      </c>
      <c r="H3" s="3685" t="s">
        <v>2267</v>
      </c>
      <c r="I3" s="3677"/>
      <c r="J3" s="3686" t="s">
        <v>2240</v>
      </c>
      <c r="K3" s="3647" t="s">
        <v>2241</v>
      </c>
      <c r="L3" s="3650" t="s">
        <v>2268</v>
      </c>
      <c r="M3" s="3633"/>
    </row>
    <row r="4" spans="1:13" s="732" customFormat="1" ht="131.25" customHeight="1">
      <c r="A4" s="3667"/>
      <c r="B4" s="3681"/>
      <c r="C4" s="3683"/>
      <c r="D4" s="3683"/>
      <c r="E4" s="3683"/>
      <c r="F4" s="3673"/>
      <c r="G4" s="3678"/>
      <c r="H4" s="3678"/>
      <c r="I4" s="3678"/>
      <c r="J4" s="3687"/>
      <c r="K4" s="3648"/>
      <c r="L4" s="1720" t="s">
        <v>2269</v>
      </c>
      <c r="M4" s="1748" t="s">
        <v>2270</v>
      </c>
    </row>
    <row r="5" spans="1:13" s="732" customFormat="1" ht="16.5">
      <c r="A5" s="3668"/>
      <c r="B5" s="1749" t="s">
        <v>2271</v>
      </c>
      <c r="C5" s="1750" t="s">
        <v>880</v>
      </c>
      <c r="D5" s="1750" t="s">
        <v>880</v>
      </c>
      <c r="E5" s="1750" t="s">
        <v>880</v>
      </c>
      <c r="F5" s="1750" t="s">
        <v>880</v>
      </c>
      <c r="G5" s="1750" t="s">
        <v>880</v>
      </c>
      <c r="H5" s="1750" t="s">
        <v>880</v>
      </c>
      <c r="I5" s="1751" t="s">
        <v>880</v>
      </c>
      <c r="J5" s="1749" t="s">
        <v>2272</v>
      </c>
      <c r="K5" s="1750" t="s">
        <v>2272</v>
      </c>
      <c r="L5" s="1750" t="s">
        <v>2273</v>
      </c>
      <c r="M5" s="1752" t="s">
        <v>2273</v>
      </c>
    </row>
    <row r="6" spans="1:13" ht="29.1" customHeight="1">
      <c r="A6" s="1753" t="s">
        <v>2274</v>
      </c>
      <c r="B6" s="1754">
        <f t="shared" ref="B6:B15" si="0">SUM(C6:E6)</f>
        <v>18488</v>
      </c>
      <c r="C6" s="1754">
        <v>9504</v>
      </c>
      <c r="D6" s="1754">
        <v>5591</v>
      </c>
      <c r="E6" s="1754">
        <v>3393</v>
      </c>
      <c r="F6" s="1754">
        <v>16983</v>
      </c>
      <c r="G6" s="1754">
        <v>10065</v>
      </c>
      <c r="H6" s="1754">
        <v>6108</v>
      </c>
      <c r="I6" s="1755">
        <v>9040</v>
      </c>
      <c r="J6" s="1756">
        <v>4944</v>
      </c>
      <c r="K6" s="1754">
        <v>33286</v>
      </c>
      <c r="L6" s="1754">
        <v>7455073</v>
      </c>
      <c r="M6" s="1757">
        <v>5125572</v>
      </c>
    </row>
    <row r="7" spans="1:13" ht="29.1" customHeight="1">
      <c r="A7" s="1753" t="s">
        <v>1107</v>
      </c>
      <c r="B7" s="1754">
        <f t="shared" si="0"/>
        <v>14600</v>
      </c>
      <c r="C7" s="1754">
        <v>7660</v>
      </c>
      <c r="D7" s="1754">
        <v>4329</v>
      </c>
      <c r="E7" s="1754">
        <v>2611</v>
      </c>
      <c r="F7" s="1754">
        <v>16376</v>
      </c>
      <c r="G7" s="1754">
        <v>8627</v>
      </c>
      <c r="H7" s="1754">
        <v>7076</v>
      </c>
      <c r="I7" s="1755">
        <v>7269</v>
      </c>
      <c r="J7" s="1756">
        <v>5190</v>
      </c>
      <c r="K7" s="1754">
        <v>49564</v>
      </c>
      <c r="L7" s="1754">
        <v>7974401</v>
      </c>
      <c r="M7" s="1757">
        <v>5272172</v>
      </c>
    </row>
    <row r="8" spans="1:13" ht="29.1" customHeight="1">
      <c r="A8" s="1753" t="s">
        <v>1060</v>
      </c>
      <c r="B8" s="1754">
        <f t="shared" si="0"/>
        <v>14357</v>
      </c>
      <c r="C8" s="1754">
        <v>7733</v>
      </c>
      <c r="D8" s="1754">
        <v>4066</v>
      </c>
      <c r="E8" s="1754">
        <v>2558</v>
      </c>
      <c r="F8" s="1754">
        <v>14646</v>
      </c>
      <c r="G8" s="1754">
        <v>7670</v>
      </c>
      <c r="H8" s="1754">
        <v>6259</v>
      </c>
      <c r="I8" s="1755">
        <v>6983</v>
      </c>
      <c r="J8" s="1756">
        <v>5502</v>
      </c>
      <c r="K8" s="1754">
        <v>74180</v>
      </c>
      <c r="L8" s="1754">
        <v>7165535</v>
      </c>
      <c r="M8" s="1757">
        <v>4705795</v>
      </c>
    </row>
    <row r="9" spans="1:13" ht="29.1" customHeight="1">
      <c r="A9" s="1753" t="s">
        <v>1061</v>
      </c>
      <c r="B9" s="1754">
        <f t="shared" si="0"/>
        <v>13683</v>
      </c>
      <c r="C9" s="1754">
        <v>8462</v>
      </c>
      <c r="D9" s="1754">
        <v>2916</v>
      </c>
      <c r="E9" s="1754">
        <v>2305</v>
      </c>
      <c r="F9" s="1754">
        <v>13644</v>
      </c>
      <c r="G9" s="1754">
        <v>6783</v>
      </c>
      <c r="H9" s="1754">
        <v>6121</v>
      </c>
      <c r="I9" s="1755">
        <v>7027</v>
      </c>
      <c r="J9" s="1756">
        <v>5648</v>
      </c>
      <c r="K9" s="1754">
        <v>182603</v>
      </c>
      <c r="L9" s="1754">
        <v>6919573</v>
      </c>
      <c r="M9" s="1757">
        <v>4414748</v>
      </c>
    </row>
    <row r="10" spans="1:13" ht="29.1" customHeight="1">
      <c r="A10" s="1753" t="s">
        <v>1062</v>
      </c>
      <c r="B10" s="1754">
        <f t="shared" si="0"/>
        <v>17238</v>
      </c>
      <c r="C10" s="1754">
        <v>13892</v>
      </c>
      <c r="D10" s="1754">
        <v>1702</v>
      </c>
      <c r="E10" s="1754">
        <v>1644</v>
      </c>
      <c r="F10" s="1754">
        <v>15856</v>
      </c>
      <c r="G10" s="1754">
        <v>7074</v>
      </c>
      <c r="H10" s="1754">
        <v>7858</v>
      </c>
      <c r="I10" s="1755">
        <v>8411</v>
      </c>
      <c r="J10" s="1756">
        <v>4669</v>
      </c>
      <c r="K10" s="1754">
        <v>276734</v>
      </c>
      <c r="L10" s="1754">
        <v>8207590</v>
      </c>
      <c r="M10" s="1757">
        <v>4926132</v>
      </c>
    </row>
    <row r="11" spans="1:13" ht="29.1" customHeight="1">
      <c r="A11" s="1753" t="s">
        <v>1063</v>
      </c>
      <c r="B11" s="1754">
        <f t="shared" si="0"/>
        <v>15374</v>
      </c>
      <c r="C11" s="1754">
        <v>12309</v>
      </c>
      <c r="D11" s="1754">
        <v>1453</v>
      </c>
      <c r="E11" s="1754">
        <v>1612</v>
      </c>
      <c r="F11" s="1754">
        <v>16175</v>
      </c>
      <c r="G11" s="1754">
        <v>7326</v>
      </c>
      <c r="H11" s="1754">
        <v>8150</v>
      </c>
      <c r="I11" s="1755">
        <v>7613</v>
      </c>
      <c r="J11" s="1756">
        <v>6514</v>
      </c>
      <c r="K11" s="1754">
        <v>285083</v>
      </c>
      <c r="L11" s="1754">
        <v>8479532</v>
      </c>
      <c r="M11" s="1757">
        <v>5165269</v>
      </c>
    </row>
    <row r="12" spans="1:13" ht="29.1" customHeight="1">
      <c r="A12" s="1753" t="s">
        <v>1064</v>
      </c>
      <c r="B12" s="1754">
        <f t="shared" si="0"/>
        <v>13710</v>
      </c>
      <c r="C12" s="1754">
        <v>10980</v>
      </c>
      <c r="D12" s="1754">
        <v>1280</v>
      </c>
      <c r="E12" s="1754">
        <v>1450</v>
      </c>
      <c r="F12" s="1754">
        <v>14766</v>
      </c>
      <c r="G12" s="1754">
        <v>6372</v>
      </c>
      <c r="H12" s="1754">
        <v>7393</v>
      </c>
      <c r="I12" s="1755">
        <v>6560</v>
      </c>
      <c r="J12" s="1756">
        <v>6611</v>
      </c>
      <c r="K12" s="1754">
        <v>279164</v>
      </c>
      <c r="L12" s="1754">
        <v>7670857</v>
      </c>
      <c r="M12" s="1757">
        <v>4577193</v>
      </c>
    </row>
    <row r="13" spans="1:13" ht="29.1" customHeight="1">
      <c r="A13" s="1753" t="s">
        <v>1065</v>
      </c>
      <c r="B13" s="1754">
        <f t="shared" si="0"/>
        <v>13366</v>
      </c>
      <c r="C13" s="1754">
        <v>10481</v>
      </c>
      <c r="D13" s="1754">
        <v>1438</v>
      </c>
      <c r="E13" s="1754">
        <v>1447</v>
      </c>
      <c r="F13" s="1754">
        <v>13359</v>
      </c>
      <c r="G13" s="1754">
        <v>5903</v>
      </c>
      <c r="H13" s="1754">
        <v>6849</v>
      </c>
      <c r="I13" s="1755">
        <v>6568</v>
      </c>
      <c r="J13" s="1756">
        <v>8331</v>
      </c>
      <c r="K13" s="1754">
        <v>250467</v>
      </c>
      <c r="L13" s="1754">
        <v>6982809</v>
      </c>
      <c r="M13" s="1757">
        <v>4124882</v>
      </c>
    </row>
    <row r="14" spans="1:13" ht="29.1" customHeight="1">
      <c r="A14" s="1753" t="s">
        <v>1066</v>
      </c>
      <c r="B14" s="1754">
        <f t="shared" si="0"/>
        <v>12934</v>
      </c>
      <c r="C14" s="1754">
        <v>9942</v>
      </c>
      <c r="D14" s="1754">
        <v>1489</v>
      </c>
      <c r="E14" s="1754">
        <v>1503</v>
      </c>
      <c r="F14" s="1754">
        <v>13053</v>
      </c>
      <c r="G14" s="1754">
        <v>5788</v>
      </c>
      <c r="H14" s="1754">
        <v>6663</v>
      </c>
      <c r="I14" s="1755">
        <v>6451</v>
      </c>
      <c r="J14" s="1756">
        <v>8879</v>
      </c>
      <c r="K14" s="1754">
        <v>183317</v>
      </c>
      <c r="L14" s="1754">
        <v>6746431</v>
      </c>
      <c r="M14" s="1757">
        <v>4024702</v>
      </c>
    </row>
    <row r="15" spans="1:13" ht="29.1" customHeight="1">
      <c r="A15" s="1759" t="s">
        <v>1067</v>
      </c>
      <c r="B15" s="1760">
        <f t="shared" si="0"/>
        <v>11605</v>
      </c>
      <c r="C15" s="1760">
        <v>8717</v>
      </c>
      <c r="D15" s="1760">
        <v>1452</v>
      </c>
      <c r="E15" s="1760">
        <v>1436</v>
      </c>
      <c r="F15" s="1760">
        <v>12276</v>
      </c>
      <c r="G15" s="1760">
        <v>5375</v>
      </c>
      <c r="H15" s="1760">
        <v>6397</v>
      </c>
      <c r="I15" s="1761">
        <v>5785</v>
      </c>
      <c r="J15" s="1762">
        <v>22194</v>
      </c>
      <c r="K15" s="1760">
        <v>282218</v>
      </c>
      <c r="L15" s="1760">
        <v>6376486</v>
      </c>
      <c r="M15" s="1763">
        <v>3755664</v>
      </c>
    </row>
    <row r="16" spans="1:13">
      <c r="A16" s="1658" t="s">
        <v>997</v>
      </c>
      <c r="B16" s="1764"/>
      <c r="C16" s="1764"/>
      <c r="D16" s="1764"/>
      <c r="E16" s="1764"/>
      <c r="F16" s="1764"/>
      <c r="G16" s="1764"/>
      <c r="H16" s="1764"/>
      <c r="I16" s="1764"/>
      <c r="J16" s="1764"/>
      <c r="K16" s="1764"/>
      <c r="L16" s="1764"/>
      <c r="M16" s="1764"/>
    </row>
    <row r="17" spans="1:13" ht="15.75" customHeight="1">
      <c r="A17" s="3684" t="s">
        <v>2275</v>
      </c>
      <c r="B17" s="3684"/>
      <c r="C17" s="3684"/>
      <c r="D17" s="3684"/>
      <c r="E17" s="3684"/>
      <c r="F17" s="3684"/>
      <c r="G17" s="3684"/>
      <c r="H17" s="1765"/>
      <c r="I17" s="1765"/>
      <c r="J17" s="1765"/>
      <c r="K17" s="1765"/>
      <c r="L17" s="1765"/>
      <c r="M17" s="1765"/>
    </row>
    <row r="18" spans="1:13" ht="16.5" customHeight="1">
      <c r="A18" s="3684"/>
      <c r="B18" s="3684"/>
      <c r="C18" s="3684"/>
      <c r="D18" s="3684"/>
      <c r="E18" s="3684"/>
      <c r="F18" s="3684"/>
      <c r="G18" s="3684"/>
      <c r="H18" s="1765"/>
      <c r="I18" s="1765"/>
      <c r="J18" s="1765"/>
      <c r="K18" s="1765"/>
      <c r="L18" s="1765"/>
      <c r="M18" s="1765"/>
    </row>
  </sheetData>
  <mergeCells count="17">
    <mergeCell ref="A17:G18"/>
    <mergeCell ref="E3:E4"/>
    <mergeCell ref="G3:G4"/>
    <mergeCell ref="H3:H4"/>
    <mergeCell ref="J3:J4"/>
    <mergeCell ref="K3:K4"/>
    <mergeCell ref="L3:M3"/>
    <mergeCell ref="A1:M1"/>
    <mergeCell ref="A2:A5"/>
    <mergeCell ref="B2:E2"/>
    <mergeCell ref="F2:F4"/>
    <mergeCell ref="G2:H2"/>
    <mergeCell ref="I2:I4"/>
    <mergeCell ref="J2:M2"/>
    <mergeCell ref="B3:B4"/>
    <mergeCell ref="C3:C4"/>
    <mergeCell ref="D3:D4"/>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56"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N29"/>
  <sheetViews>
    <sheetView showGridLines="0" zoomScaleNormal="100" workbookViewId="0">
      <selection activeCell="B16" sqref="B16"/>
    </sheetView>
  </sheetViews>
  <sheetFormatPr defaultColWidth="8.75" defaultRowHeight="12.75"/>
  <cols>
    <col min="1" max="12" width="8.875" style="1696" customWidth="1"/>
    <col min="13" max="256" width="8.75" style="1696"/>
    <col min="257" max="268" width="5.75" style="1696" customWidth="1"/>
    <col min="269" max="512" width="8.75" style="1696"/>
    <col min="513" max="524" width="5.75" style="1696" customWidth="1"/>
    <col min="525" max="768" width="8.75" style="1696"/>
    <col min="769" max="780" width="5.75" style="1696" customWidth="1"/>
    <col min="781" max="1024" width="8.75" style="1696"/>
    <col min="1025" max="1036" width="5.75" style="1696" customWidth="1"/>
    <col min="1037" max="1280" width="8.75" style="1696"/>
    <col min="1281" max="1292" width="5.75" style="1696" customWidth="1"/>
    <col min="1293" max="1536" width="8.75" style="1696"/>
    <col min="1537" max="1548" width="5.75" style="1696" customWidth="1"/>
    <col min="1549" max="1792" width="8.75" style="1696"/>
    <col min="1793" max="1804" width="5.75" style="1696" customWidth="1"/>
    <col min="1805" max="2048" width="8.75" style="1696"/>
    <col min="2049" max="2060" width="5.75" style="1696" customWidth="1"/>
    <col min="2061" max="2304" width="8.75" style="1696"/>
    <col min="2305" max="2316" width="5.75" style="1696" customWidth="1"/>
    <col min="2317" max="2560" width="8.75" style="1696"/>
    <col min="2561" max="2572" width="5.75" style="1696" customWidth="1"/>
    <col min="2573" max="2816" width="8.75" style="1696"/>
    <col min="2817" max="2828" width="5.75" style="1696" customWidth="1"/>
    <col min="2829" max="3072" width="8.75" style="1696"/>
    <col min="3073" max="3084" width="5.75" style="1696" customWidth="1"/>
    <col min="3085" max="3328" width="8.75" style="1696"/>
    <col min="3329" max="3340" width="5.75" style="1696" customWidth="1"/>
    <col min="3341" max="3584" width="8.75" style="1696"/>
    <col min="3585" max="3596" width="5.75" style="1696" customWidth="1"/>
    <col min="3597" max="3840" width="8.75" style="1696"/>
    <col min="3841" max="3852" width="5.75" style="1696" customWidth="1"/>
    <col min="3853" max="4096" width="8.75" style="1696"/>
    <col min="4097" max="4108" width="5.75" style="1696" customWidth="1"/>
    <col min="4109" max="4352" width="8.75" style="1696"/>
    <col min="4353" max="4364" width="5.75" style="1696" customWidth="1"/>
    <col min="4365" max="4608" width="8.75" style="1696"/>
    <col min="4609" max="4620" width="5.75" style="1696" customWidth="1"/>
    <col min="4621" max="4864" width="8.75" style="1696"/>
    <col min="4865" max="4876" width="5.75" style="1696" customWidth="1"/>
    <col min="4877" max="5120" width="8.75" style="1696"/>
    <col min="5121" max="5132" width="5.75" style="1696" customWidth="1"/>
    <col min="5133" max="5376" width="8.75" style="1696"/>
    <col min="5377" max="5388" width="5.75" style="1696" customWidth="1"/>
    <col min="5389" max="5632" width="8.75" style="1696"/>
    <col min="5633" max="5644" width="5.75" style="1696" customWidth="1"/>
    <col min="5645" max="5888" width="8.75" style="1696"/>
    <col min="5889" max="5900" width="5.75" style="1696" customWidth="1"/>
    <col min="5901" max="6144" width="8.75" style="1696"/>
    <col min="6145" max="6156" width="5.75" style="1696" customWidth="1"/>
    <col min="6157" max="6400" width="8.75" style="1696"/>
    <col min="6401" max="6412" width="5.75" style="1696" customWidth="1"/>
    <col min="6413" max="6656" width="8.75" style="1696"/>
    <col min="6657" max="6668" width="5.75" style="1696" customWidth="1"/>
    <col min="6669" max="6912" width="8.75" style="1696"/>
    <col min="6913" max="6924" width="5.75" style="1696" customWidth="1"/>
    <col min="6925" max="7168" width="8.75" style="1696"/>
    <col min="7169" max="7180" width="5.75" style="1696" customWidth="1"/>
    <col min="7181" max="7424" width="8.75" style="1696"/>
    <col min="7425" max="7436" width="5.75" style="1696" customWidth="1"/>
    <col min="7437" max="7680" width="8.75" style="1696"/>
    <col min="7681" max="7692" width="5.75" style="1696" customWidth="1"/>
    <col min="7693" max="7936" width="8.75" style="1696"/>
    <col min="7937" max="7948" width="5.75" style="1696" customWidth="1"/>
    <col min="7949" max="8192" width="8.75" style="1696"/>
    <col min="8193" max="8204" width="5.75" style="1696" customWidth="1"/>
    <col min="8205" max="8448" width="8.75" style="1696"/>
    <col min="8449" max="8460" width="5.75" style="1696" customWidth="1"/>
    <col min="8461" max="8704" width="8.75" style="1696"/>
    <col min="8705" max="8716" width="5.75" style="1696" customWidth="1"/>
    <col min="8717" max="8960" width="8.75" style="1696"/>
    <col min="8961" max="8972" width="5.75" style="1696" customWidth="1"/>
    <col min="8973" max="9216" width="8.75" style="1696"/>
    <col min="9217" max="9228" width="5.75" style="1696" customWidth="1"/>
    <col min="9229" max="9472" width="8.75" style="1696"/>
    <col min="9473" max="9484" width="5.75" style="1696" customWidth="1"/>
    <col min="9485" max="9728" width="8.75" style="1696"/>
    <col min="9729" max="9740" width="5.75" style="1696" customWidth="1"/>
    <col min="9741" max="9984" width="8.75" style="1696"/>
    <col min="9985" max="9996" width="5.75" style="1696" customWidth="1"/>
    <col min="9997" max="10240" width="8.75" style="1696"/>
    <col min="10241" max="10252" width="5.75" style="1696" customWidth="1"/>
    <col min="10253" max="10496" width="8.75" style="1696"/>
    <col min="10497" max="10508" width="5.75" style="1696" customWidth="1"/>
    <col min="10509" max="10752" width="8.75" style="1696"/>
    <col min="10753" max="10764" width="5.75" style="1696" customWidth="1"/>
    <col min="10765" max="11008" width="8.75" style="1696"/>
    <col min="11009" max="11020" width="5.75" style="1696" customWidth="1"/>
    <col min="11021" max="11264" width="8.75" style="1696"/>
    <col min="11265" max="11276" width="5.75" style="1696" customWidth="1"/>
    <col min="11277" max="11520" width="8.75" style="1696"/>
    <col min="11521" max="11532" width="5.75" style="1696" customWidth="1"/>
    <col min="11533" max="11776" width="8.75" style="1696"/>
    <col min="11777" max="11788" width="5.75" style="1696" customWidth="1"/>
    <col min="11789" max="12032" width="8.75" style="1696"/>
    <col min="12033" max="12044" width="5.75" style="1696" customWidth="1"/>
    <col min="12045" max="12288" width="8.75" style="1696"/>
    <col min="12289" max="12300" width="5.75" style="1696" customWidth="1"/>
    <col min="12301" max="12544" width="8.75" style="1696"/>
    <col min="12545" max="12556" width="5.75" style="1696" customWidth="1"/>
    <col min="12557" max="12800" width="8.75" style="1696"/>
    <col min="12801" max="12812" width="5.75" style="1696" customWidth="1"/>
    <col min="12813" max="13056" width="8.75" style="1696"/>
    <col min="13057" max="13068" width="5.75" style="1696" customWidth="1"/>
    <col min="13069" max="13312" width="8.75" style="1696"/>
    <col min="13313" max="13324" width="5.75" style="1696" customWidth="1"/>
    <col min="13325" max="13568" width="8.75" style="1696"/>
    <col min="13569" max="13580" width="5.75" style="1696" customWidth="1"/>
    <col min="13581" max="13824" width="8.75" style="1696"/>
    <col min="13825" max="13836" width="5.75" style="1696" customWidth="1"/>
    <col min="13837" max="14080" width="8.75" style="1696"/>
    <col min="14081" max="14092" width="5.75" style="1696" customWidth="1"/>
    <col min="14093" max="14336" width="8.75" style="1696"/>
    <col min="14337" max="14348" width="5.75" style="1696" customWidth="1"/>
    <col min="14349" max="14592" width="8.75" style="1696"/>
    <col min="14593" max="14604" width="5.75" style="1696" customWidth="1"/>
    <col min="14605" max="14848" width="8.75" style="1696"/>
    <col min="14849" max="14860" width="5.75" style="1696" customWidth="1"/>
    <col min="14861" max="15104" width="8.75" style="1696"/>
    <col min="15105" max="15116" width="5.75" style="1696" customWidth="1"/>
    <col min="15117" max="15360" width="8.75" style="1696"/>
    <col min="15361" max="15372" width="5.75" style="1696" customWidth="1"/>
    <col min="15373" max="15616" width="8.75" style="1696"/>
    <col min="15617" max="15628" width="5.75" style="1696" customWidth="1"/>
    <col min="15629" max="15872" width="8.75" style="1696"/>
    <col min="15873" max="15884" width="5.75" style="1696" customWidth="1"/>
    <col min="15885" max="16128" width="8.75" style="1696"/>
    <col min="16129" max="16140" width="5.75" style="1696" customWidth="1"/>
    <col min="16141" max="16384" width="8.75" style="1696"/>
  </cols>
  <sheetData>
    <row r="1" spans="1:14" s="1766" customFormat="1" ht="22.5" customHeight="1">
      <c r="A1" s="3690" t="s">
        <v>2276</v>
      </c>
      <c r="B1" s="3690"/>
      <c r="C1" s="3690"/>
      <c r="D1" s="3690"/>
      <c r="E1" s="3690"/>
      <c r="F1" s="3690"/>
      <c r="G1" s="3690"/>
      <c r="H1" s="3690"/>
      <c r="I1" s="3690"/>
      <c r="J1" s="3690"/>
      <c r="K1" s="3690"/>
      <c r="L1" s="3690"/>
    </row>
    <row r="2" spans="1:14" s="1766" customFormat="1" ht="19.5" customHeight="1">
      <c r="A2" s="3691"/>
      <c r="B2" s="3694" t="s">
        <v>2277</v>
      </c>
      <c r="C2" s="3694"/>
      <c r="D2" s="3695"/>
      <c r="E2" s="3696" t="s">
        <v>2278</v>
      </c>
      <c r="F2" s="3694"/>
      <c r="G2" s="3694"/>
      <c r="H2" s="3694"/>
      <c r="I2" s="3694"/>
      <c r="J2" s="3694"/>
      <c r="K2" s="3694"/>
      <c r="L2" s="3694"/>
    </row>
    <row r="3" spans="1:14" s="1766" customFormat="1" ht="20.100000000000001" customHeight="1">
      <c r="A3" s="3692"/>
      <c r="B3" s="3697" t="s">
        <v>2279</v>
      </c>
      <c r="C3" s="3700" t="s">
        <v>2280</v>
      </c>
      <c r="D3" s="3700" t="s">
        <v>2281</v>
      </c>
      <c r="E3" s="3700" t="s">
        <v>2282</v>
      </c>
      <c r="F3" s="3701" t="s">
        <v>2283</v>
      </c>
      <c r="G3" s="1767"/>
      <c r="H3" s="1767"/>
      <c r="I3" s="3701" t="s">
        <v>2284</v>
      </c>
      <c r="J3" s="1767"/>
      <c r="K3" s="1767"/>
      <c r="L3" s="3701" t="s">
        <v>2285</v>
      </c>
    </row>
    <row r="4" spans="1:14" s="1766" customFormat="1" ht="20.100000000000001" customHeight="1">
      <c r="A4" s="3692"/>
      <c r="B4" s="3698"/>
      <c r="C4" s="3611"/>
      <c r="D4" s="3611"/>
      <c r="E4" s="3611"/>
      <c r="F4" s="3600"/>
      <c r="G4" s="3702" t="s">
        <v>2286</v>
      </c>
      <c r="H4" s="3700" t="s">
        <v>2287</v>
      </c>
      <c r="I4" s="3600"/>
      <c r="J4" s="3700" t="s">
        <v>2288</v>
      </c>
      <c r="K4" s="3702" t="s">
        <v>2289</v>
      </c>
      <c r="L4" s="3600"/>
    </row>
    <row r="5" spans="1:14" s="1766" customFormat="1" ht="20.100000000000001" customHeight="1">
      <c r="A5" s="3692"/>
      <c r="B5" s="3698"/>
      <c r="C5" s="3611"/>
      <c r="D5" s="3611"/>
      <c r="E5" s="3611"/>
      <c r="F5" s="3600"/>
      <c r="G5" s="3611"/>
      <c r="H5" s="3611"/>
      <c r="I5" s="3600"/>
      <c r="J5" s="3611"/>
      <c r="K5" s="3611"/>
      <c r="L5" s="3600"/>
    </row>
    <row r="6" spans="1:14" s="1766" customFormat="1" ht="31.5" customHeight="1">
      <c r="A6" s="3692"/>
      <c r="B6" s="3699"/>
      <c r="C6" s="3612"/>
      <c r="D6" s="3612"/>
      <c r="E6" s="3612"/>
      <c r="F6" s="3601"/>
      <c r="G6" s="3612"/>
      <c r="H6" s="3612"/>
      <c r="I6" s="3601"/>
      <c r="J6" s="3612"/>
      <c r="K6" s="3612"/>
      <c r="L6" s="3601"/>
    </row>
    <row r="7" spans="1:14" s="1766" customFormat="1" ht="16.5" customHeight="1">
      <c r="A7" s="3693"/>
      <c r="B7" s="1768" t="s">
        <v>1516</v>
      </c>
      <c r="C7" s="1769" t="s">
        <v>2290</v>
      </c>
      <c r="D7" s="1769" t="s">
        <v>1516</v>
      </c>
      <c r="E7" s="1769" t="s">
        <v>2291</v>
      </c>
      <c r="F7" s="1769" t="s">
        <v>2292</v>
      </c>
      <c r="G7" s="1769" t="s">
        <v>2292</v>
      </c>
      <c r="H7" s="1769" t="s">
        <v>2293</v>
      </c>
      <c r="I7" s="1769" t="s">
        <v>2294</v>
      </c>
      <c r="J7" s="1769" t="s">
        <v>2295</v>
      </c>
      <c r="K7" s="1769" t="s">
        <v>2295</v>
      </c>
      <c r="L7" s="1769" t="s">
        <v>2291</v>
      </c>
    </row>
    <row r="8" spans="1:14" s="1766" customFormat="1" ht="26.25" customHeight="1">
      <c r="A8" s="1753" t="s">
        <v>2296</v>
      </c>
      <c r="B8" s="1770">
        <f t="shared" ref="B8:B17" si="0">SUM(C8:D8)</f>
        <v>8507</v>
      </c>
      <c r="C8" s="1770">
        <v>2333</v>
      </c>
      <c r="D8" s="1770">
        <v>6174</v>
      </c>
      <c r="E8" s="1770">
        <f t="shared" ref="E8:E17" si="1">SUM(F8,I8,L8)</f>
        <v>72513</v>
      </c>
      <c r="F8" s="1770">
        <v>8686</v>
      </c>
      <c r="G8" s="1770">
        <v>589</v>
      </c>
      <c r="H8" s="1770">
        <v>1608</v>
      </c>
      <c r="I8" s="1770">
        <v>60509</v>
      </c>
      <c r="J8" s="1770">
        <v>1726</v>
      </c>
      <c r="K8" s="1770">
        <v>41069</v>
      </c>
      <c r="L8" s="1771">
        <v>3318</v>
      </c>
      <c r="N8" s="1772"/>
    </row>
    <row r="9" spans="1:14" s="1766" customFormat="1" ht="26.25" customHeight="1">
      <c r="A9" s="1753" t="s">
        <v>1107</v>
      </c>
      <c r="B9" s="1770">
        <f t="shared" si="0"/>
        <v>8255</v>
      </c>
      <c r="C9" s="1770">
        <v>2444</v>
      </c>
      <c r="D9" s="1770">
        <v>5811</v>
      </c>
      <c r="E9" s="1770">
        <f t="shared" si="1"/>
        <v>83535</v>
      </c>
      <c r="F9" s="1770">
        <v>8930</v>
      </c>
      <c r="G9" s="1770">
        <v>468</v>
      </c>
      <c r="H9" s="1770">
        <v>1686</v>
      </c>
      <c r="I9" s="1770">
        <v>71180</v>
      </c>
      <c r="J9" s="1770">
        <v>1390</v>
      </c>
      <c r="K9" s="1770">
        <v>48449</v>
      </c>
      <c r="L9" s="1771">
        <v>3425</v>
      </c>
      <c r="N9" s="1772"/>
    </row>
    <row r="10" spans="1:14" s="1766" customFormat="1" ht="26.25" customHeight="1">
      <c r="A10" s="1753" t="s">
        <v>1060</v>
      </c>
      <c r="B10" s="1770">
        <f t="shared" si="0"/>
        <v>5905</v>
      </c>
      <c r="C10" s="1770">
        <v>1655</v>
      </c>
      <c r="D10" s="1770">
        <v>4250</v>
      </c>
      <c r="E10" s="1770">
        <f t="shared" si="1"/>
        <v>76562</v>
      </c>
      <c r="F10" s="1770">
        <v>10637</v>
      </c>
      <c r="G10" s="1770">
        <v>459</v>
      </c>
      <c r="H10" s="1770">
        <v>2072</v>
      </c>
      <c r="I10" s="1770">
        <v>62744</v>
      </c>
      <c r="J10" s="1770">
        <v>1133</v>
      </c>
      <c r="K10" s="1770">
        <v>43955</v>
      </c>
      <c r="L10" s="1771">
        <v>3181</v>
      </c>
      <c r="N10" s="1772"/>
    </row>
    <row r="11" spans="1:14" s="1766" customFormat="1" ht="26.25" customHeight="1">
      <c r="A11" s="1753" t="s">
        <v>1061</v>
      </c>
      <c r="B11" s="1770">
        <f t="shared" si="0"/>
        <v>7259</v>
      </c>
      <c r="C11" s="1770">
        <v>1985</v>
      </c>
      <c r="D11" s="1770">
        <v>5274</v>
      </c>
      <c r="E11" s="1770">
        <f t="shared" si="1"/>
        <v>79193</v>
      </c>
      <c r="F11" s="1770">
        <v>9690</v>
      </c>
      <c r="G11" s="1770">
        <v>450</v>
      </c>
      <c r="H11" s="1770">
        <v>2054</v>
      </c>
      <c r="I11" s="1770">
        <v>65882</v>
      </c>
      <c r="J11" s="1770">
        <v>1627</v>
      </c>
      <c r="K11" s="1770">
        <v>45120</v>
      </c>
      <c r="L11" s="1771">
        <v>3621</v>
      </c>
      <c r="N11" s="1772"/>
    </row>
    <row r="12" spans="1:14" s="1766" customFormat="1" ht="26.25" customHeight="1">
      <c r="A12" s="1753" t="s">
        <v>1062</v>
      </c>
      <c r="B12" s="1770">
        <f t="shared" si="0"/>
        <v>7684</v>
      </c>
      <c r="C12" s="1770">
        <v>2069</v>
      </c>
      <c r="D12" s="1770">
        <v>5615</v>
      </c>
      <c r="E12" s="1770">
        <f t="shared" si="1"/>
        <v>93718</v>
      </c>
      <c r="F12" s="1770">
        <v>9749</v>
      </c>
      <c r="G12" s="1770">
        <v>486</v>
      </c>
      <c r="H12" s="1770">
        <v>1723</v>
      </c>
      <c r="I12" s="1770">
        <v>80341</v>
      </c>
      <c r="J12" s="1770">
        <v>1575</v>
      </c>
      <c r="K12" s="1770">
        <v>48200</v>
      </c>
      <c r="L12" s="1771">
        <v>3628</v>
      </c>
      <c r="N12" s="1772"/>
    </row>
    <row r="13" spans="1:14" s="1766" customFormat="1" ht="26.25" customHeight="1">
      <c r="A13" s="1753" t="s">
        <v>1063</v>
      </c>
      <c r="B13" s="1770">
        <f t="shared" si="0"/>
        <v>7095</v>
      </c>
      <c r="C13" s="1770">
        <v>2325</v>
      </c>
      <c r="D13" s="1770">
        <v>4770</v>
      </c>
      <c r="E13" s="1770">
        <f t="shared" si="1"/>
        <v>87879</v>
      </c>
      <c r="F13" s="1770">
        <v>10797</v>
      </c>
      <c r="G13" s="1770">
        <v>569</v>
      </c>
      <c r="H13" s="1770">
        <v>1632</v>
      </c>
      <c r="I13" s="1770">
        <v>73783</v>
      </c>
      <c r="J13" s="1770">
        <v>1805</v>
      </c>
      <c r="K13" s="1770">
        <v>48486</v>
      </c>
      <c r="L13" s="1771">
        <v>3299</v>
      </c>
      <c r="N13" s="1772"/>
    </row>
    <row r="14" spans="1:14" s="1766" customFormat="1" ht="26.25" customHeight="1">
      <c r="A14" s="1753" t="s">
        <v>1064</v>
      </c>
      <c r="B14" s="1770">
        <f t="shared" si="0"/>
        <v>7062</v>
      </c>
      <c r="C14" s="1770">
        <v>2296</v>
      </c>
      <c r="D14" s="1770">
        <v>4766</v>
      </c>
      <c r="E14" s="1770">
        <f t="shared" si="1"/>
        <v>88674</v>
      </c>
      <c r="F14" s="1770">
        <v>8047</v>
      </c>
      <c r="G14" s="1770">
        <v>490</v>
      </c>
      <c r="H14" s="1770">
        <v>1360</v>
      </c>
      <c r="I14" s="1770">
        <v>76769</v>
      </c>
      <c r="J14" s="1770">
        <v>2010</v>
      </c>
      <c r="K14" s="1770">
        <v>48092</v>
      </c>
      <c r="L14" s="1771">
        <v>3858</v>
      </c>
      <c r="N14" s="1772"/>
    </row>
    <row r="15" spans="1:14" s="1766" customFormat="1" ht="26.25" customHeight="1">
      <c r="A15" s="1753" t="s">
        <v>1065</v>
      </c>
      <c r="B15" s="1770">
        <f t="shared" si="0"/>
        <v>6781</v>
      </c>
      <c r="C15" s="1770">
        <v>2325</v>
      </c>
      <c r="D15" s="1770">
        <v>4456</v>
      </c>
      <c r="E15" s="1770">
        <f t="shared" si="1"/>
        <v>95050</v>
      </c>
      <c r="F15" s="1770">
        <v>8056</v>
      </c>
      <c r="G15" s="1770">
        <v>391</v>
      </c>
      <c r="H15" s="1770">
        <v>1562</v>
      </c>
      <c r="I15" s="1770">
        <v>83438</v>
      </c>
      <c r="J15" s="1770">
        <v>1929</v>
      </c>
      <c r="K15" s="1770">
        <v>54181</v>
      </c>
      <c r="L15" s="1771">
        <v>3556</v>
      </c>
      <c r="N15" s="1772"/>
    </row>
    <row r="16" spans="1:14" s="1766" customFormat="1" ht="26.25" customHeight="1">
      <c r="A16" s="1753" t="s">
        <v>1066</v>
      </c>
      <c r="B16" s="1770">
        <f t="shared" si="0"/>
        <v>6156</v>
      </c>
      <c r="C16" s="1770">
        <v>1804</v>
      </c>
      <c r="D16" s="1770">
        <v>4352</v>
      </c>
      <c r="E16" s="1770">
        <f t="shared" si="1"/>
        <v>102103</v>
      </c>
      <c r="F16" s="1770">
        <v>8936</v>
      </c>
      <c r="G16" s="1770">
        <v>446</v>
      </c>
      <c r="H16" s="1770">
        <v>1693</v>
      </c>
      <c r="I16" s="1770">
        <v>89755</v>
      </c>
      <c r="J16" s="1770">
        <v>1875</v>
      </c>
      <c r="K16" s="1770">
        <v>50854</v>
      </c>
      <c r="L16" s="1771">
        <v>3412</v>
      </c>
      <c r="N16" s="1772"/>
    </row>
    <row r="17" spans="1:14" s="1766" customFormat="1" ht="26.25" customHeight="1">
      <c r="A17" s="1753" t="s">
        <v>1067</v>
      </c>
      <c r="B17" s="1773">
        <f t="shared" si="0"/>
        <v>7646</v>
      </c>
      <c r="C17" s="1773">
        <v>2614</v>
      </c>
      <c r="D17" s="1773">
        <v>5032</v>
      </c>
      <c r="E17" s="1773">
        <f t="shared" si="1"/>
        <v>100306</v>
      </c>
      <c r="F17" s="1773">
        <v>9993</v>
      </c>
      <c r="G17" s="1773">
        <v>487</v>
      </c>
      <c r="H17" s="1773">
        <v>1236</v>
      </c>
      <c r="I17" s="1773">
        <v>87208</v>
      </c>
      <c r="J17" s="1773">
        <v>2029</v>
      </c>
      <c r="K17" s="1773">
        <v>53004</v>
      </c>
      <c r="L17" s="1774">
        <v>3105</v>
      </c>
      <c r="N17" s="1772"/>
    </row>
    <row r="18" spans="1:14" ht="18.75" customHeight="1">
      <c r="A18" s="3688" t="s">
        <v>2297</v>
      </c>
      <c r="B18" s="3689"/>
      <c r="C18" s="3689"/>
      <c r="D18" s="3689"/>
    </row>
    <row r="19" spans="1:14" ht="19.899999999999999" customHeight="1"/>
    <row r="20" spans="1:14" ht="19.899999999999999" customHeight="1"/>
    <row r="21" spans="1:14" ht="19.899999999999999" customHeight="1"/>
    <row r="22" spans="1:14" ht="19.899999999999999" customHeight="1"/>
    <row r="23" spans="1:14" ht="19.899999999999999" customHeight="1"/>
    <row r="24" spans="1:14" ht="19.899999999999999" customHeight="1"/>
    <row r="25" spans="1:14" ht="19.899999999999999" customHeight="1"/>
    <row r="26" spans="1:14" ht="19.899999999999999" customHeight="1"/>
    <row r="27" spans="1:14" ht="19.899999999999999" customHeight="1"/>
    <row r="28" spans="1:14" ht="19.899999999999999" customHeight="1"/>
    <row r="29" spans="1:14" ht="19.899999999999999" customHeight="1"/>
  </sheetData>
  <mergeCells count="16">
    <mergeCell ref="A18:D18"/>
    <mergeCell ref="A1:L1"/>
    <mergeCell ref="A2:A7"/>
    <mergeCell ref="B2:D2"/>
    <mergeCell ref="E2:L2"/>
    <mergeCell ref="B3:B6"/>
    <mergeCell ref="C3:C6"/>
    <mergeCell ref="D3:D6"/>
    <mergeCell ref="E3:E6"/>
    <mergeCell ref="F3:F6"/>
    <mergeCell ref="I3:I6"/>
    <mergeCell ref="L3:L6"/>
    <mergeCell ref="G4:G6"/>
    <mergeCell ref="H4:H6"/>
    <mergeCell ref="J4:J6"/>
    <mergeCell ref="K4:K6"/>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76"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M17"/>
  <sheetViews>
    <sheetView showGridLines="0" workbookViewId="0">
      <selection activeCell="B16" sqref="B16"/>
    </sheetView>
  </sheetViews>
  <sheetFormatPr defaultRowHeight="15.75"/>
  <cols>
    <col min="1" max="1" width="11.75" style="1777" customWidth="1"/>
    <col min="2" max="3" width="10.625" style="1777" customWidth="1"/>
    <col min="4" max="6" width="9.625" style="1777" customWidth="1"/>
    <col min="7" max="13" width="8.625" style="1777" customWidth="1"/>
    <col min="14" max="127" width="9" style="1777"/>
    <col min="128" max="128" width="11.75" style="1777" customWidth="1"/>
    <col min="129" max="129" width="3.125" style="1777" customWidth="1"/>
    <col min="130" max="131" width="10.625" style="1777" customWidth="1"/>
    <col min="132" max="134" width="9.625" style="1777" customWidth="1"/>
    <col min="135" max="141" width="8.625" style="1777" customWidth="1"/>
    <col min="142" max="383" width="9" style="1777"/>
    <col min="384" max="384" width="11.75" style="1777" customWidth="1"/>
    <col min="385" max="385" width="3.125" style="1777" customWidth="1"/>
    <col min="386" max="387" width="10.625" style="1777" customWidth="1"/>
    <col min="388" max="390" width="9.625" style="1777" customWidth="1"/>
    <col min="391" max="397" width="8.625" style="1777" customWidth="1"/>
    <col min="398" max="639" width="9" style="1777"/>
    <col min="640" max="640" width="11.75" style="1777" customWidth="1"/>
    <col min="641" max="641" width="3.125" style="1777" customWidth="1"/>
    <col min="642" max="643" width="10.625" style="1777" customWidth="1"/>
    <col min="644" max="646" width="9.625" style="1777" customWidth="1"/>
    <col min="647" max="653" width="8.625" style="1777" customWidth="1"/>
    <col min="654" max="895" width="9" style="1777"/>
    <col min="896" max="896" width="11.75" style="1777" customWidth="1"/>
    <col min="897" max="897" width="3.125" style="1777" customWidth="1"/>
    <col min="898" max="899" width="10.625" style="1777" customWidth="1"/>
    <col min="900" max="902" width="9.625" style="1777" customWidth="1"/>
    <col min="903" max="909" width="8.625" style="1777" customWidth="1"/>
    <col min="910" max="1151" width="9" style="1777"/>
    <col min="1152" max="1152" width="11.75" style="1777" customWidth="1"/>
    <col min="1153" max="1153" width="3.125" style="1777" customWidth="1"/>
    <col min="1154" max="1155" width="10.625" style="1777" customWidth="1"/>
    <col min="1156" max="1158" width="9.625" style="1777" customWidth="1"/>
    <col min="1159" max="1165" width="8.625" style="1777" customWidth="1"/>
    <col min="1166" max="1407" width="9" style="1777"/>
    <col min="1408" max="1408" width="11.75" style="1777" customWidth="1"/>
    <col min="1409" max="1409" width="3.125" style="1777" customWidth="1"/>
    <col min="1410" max="1411" width="10.625" style="1777" customWidth="1"/>
    <col min="1412" max="1414" width="9.625" style="1777" customWidth="1"/>
    <col min="1415" max="1421" width="8.625" style="1777" customWidth="1"/>
    <col min="1422" max="1663" width="9" style="1777"/>
    <col min="1664" max="1664" width="11.75" style="1777" customWidth="1"/>
    <col min="1665" max="1665" width="3.125" style="1777" customWidth="1"/>
    <col min="1666" max="1667" width="10.625" style="1777" customWidth="1"/>
    <col min="1668" max="1670" width="9.625" style="1777" customWidth="1"/>
    <col min="1671" max="1677" width="8.625" style="1777" customWidth="1"/>
    <col min="1678" max="1919" width="9" style="1777"/>
    <col min="1920" max="1920" width="11.75" style="1777" customWidth="1"/>
    <col min="1921" max="1921" width="3.125" style="1777" customWidth="1"/>
    <col min="1922" max="1923" width="10.625" style="1777" customWidth="1"/>
    <col min="1924" max="1926" width="9.625" style="1777" customWidth="1"/>
    <col min="1927" max="1933" width="8.625" style="1777" customWidth="1"/>
    <col min="1934" max="2175" width="9" style="1777"/>
    <col min="2176" max="2176" width="11.75" style="1777" customWidth="1"/>
    <col min="2177" max="2177" width="3.125" style="1777" customWidth="1"/>
    <col min="2178" max="2179" width="10.625" style="1777" customWidth="1"/>
    <col min="2180" max="2182" width="9.625" style="1777" customWidth="1"/>
    <col min="2183" max="2189" width="8.625" style="1777" customWidth="1"/>
    <col min="2190" max="2431" width="9" style="1777"/>
    <col min="2432" max="2432" width="11.75" style="1777" customWidth="1"/>
    <col min="2433" max="2433" width="3.125" style="1777" customWidth="1"/>
    <col min="2434" max="2435" width="10.625" style="1777" customWidth="1"/>
    <col min="2436" max="2438" width="9.625" style="1777" customWidth="1"/>
    <col min="2439" max="2445" width="8.625" style="1777" customWidth="1"/>
    <col min="2446" max="2687" width="9" style="1777"/>
    <col min="2688" max="2688" width="11.75" style="1777" customWidth="1"/>
    <col min="2689" max="2689" width="3.125" style="1777" customWidth="1"/>
    <col min="2690" max="2691" width="10.625" style="1777" customWidth="1"/>
    <col min="2692" max="2694" width="9.625" style="1777" customWidth="1"/>
    <col min="2695" max="2701" width="8.625" style="1777" customWidth="1"/>
    <col min="2702" max="2943" width="9" style="1777"/>
    <col min="2944" max="2944" width="11.75" style="1777" customWidth="1"/>
    <col min="2945" max="2945" width="3.125" style="1777" customWidth="1"/>
    <col min="2946" max="2947" width="10.625" style="1777" customWidth="1"/>
    <col min="2948" max="2950" width="9.625" style="1777" customWidth="1"/>
    <col min="2951" max="2957" width="8.625" style="1777" customWidth="1"/>
    <col min="2958" max="3199" width="9" style="1777"/>
    <col min="3200" max="3200" width="11.75" style="1777" customWidth="1"/>
    <col min="3201" max="3201" width="3.125" style="1777" customWidth="1"/>
    <col min="3202" max="3203" width="10.625" style="1777" customWidth="1"/>
    <col min="3204" max="3206" width="9.625" style="1777" customWidth="1"/>
    <col min="3207" max="3213" width="8.625" style="1777" customWidth="1"/>
    <col min="3214" max="3455" width="9" style="1777"/>
    <col min="3456" max="3456" width="11.75" style="1777" customWidth="1"/>
    <col min="3457" max="3457" width="3.125" style="1777" customWidth="1"/>
    <col min="3458" max="3459" width="10.625" style="1777" customWidth="1"/>
    <col min="3460" max="3462" width="9.625" style="1777" customWidth="1"/>
    <col min="3463" max="3469" width="8.625" style="1777" customWidth="1"/>
    <col min="3470" max="3711" width="9" style="1777"/>
    <col min="3712" max="3712" width="11.75" style="1777" customWidth="1"/>
    <col min="3713" max="3713" width="3.125" style="1777" customWidth="1"/>
    <col min="3714" max="3715" width="10.625" style="1777" customWidth="1"/>
    <col min="3716" max="3718" width="9.625" style="1777" customWidth="1"/>
    <col min="3719" max="3725" width="8.625" style="1777" customWidth="1"/>
    <col min="3726" max="3967" width="9" style="1777"/>
    <col min="3968" max="3968" width="11.75" style="1777" customWidth="1"/>
    <col min="3969" max="3969" width="3.125" style="1777" customWidth="1"/>
    <col min="3970" max="3971" width="10.625" style="1777" customWidth="1"/>
    <col min="3972" max="3974" width="9.625" style="1777" customWidth="1"/>
    <col min="3975" max="3981" width="8.625" style="1777" customWidth="1"/>
    <col min="3982" max="4223" width="9" style="1777"/>
    <col min="4224" max="4224" width="11.75" style="1777" customWidth="1"/>
    <col min="4225" max="4225" width="3.125" style="1777" customWidth="1"/>
    <col min="4226" max="4227" width="10.625" style="1777" customWidth="1"/>
    <col min="4228" max="4230" width="9.625" style="1777" customWidth="1"/>
    <col min="4231" max="4237" width="8.625" style="1777" customWidth="1"/>
    <col min="4238" max="4479" width="9" style="1777"/>
    <col min="4480" max="4480" width="11.75" style="1777" customWidth="1"/>
    <col min="4481" max="4481" width="3.125" style="1777" customWidth="1"/>
    <col min="4482" max="4483" width="10.625" style="1777" customWidth="1"/>
    <col min="4484" max="4486" width="9.625" style="1777" customWidth="1"/>
    <col min="4487" max="4493" width="8.625" style="1777" customWidth="1"/>
    <col min="4494" max="4735" width="9" style="1777"/>
    <col min="4736" max="4736" width="11.75" style="1777" customWidth="1"/>
    <col min="4737" max="4737" width="3.125" style="1777" customWidth="1"/>
    <col min="4738" max="4739" width="10.625" style="1777" customWidth="1"/>
    <col min="4740" max="4742" width="9.625" style="1777" customWidth="1"/>
    <col min="4743" max="4749" width="8.625" style="1777" customWidth="1"/>
    <col min="4750" max="4991" width="9" style="1777"/>
    <col min="4992" max="4992" width="11.75" style="1777" customWidth="1"/>
    <col min="4993" max="4993" width="3.125" style="1777" customWidth="1"/>
    <col min="4994" max="4995" width="10.625" style="1777" customWidth="1"/>
    <col min="4996" max="4998" width="9.625" style="1777" customWidth="1"/>
    <col min="4999" max="5005" width="8.625" style="1777" customWidth="1"/>
    <col min="5006" max="5247" width="9" style="1777"/>
    <col min="5248" max="5248" width="11.75" style="1777" customWidth="1"/>
    <col min="5249" max="5249" width="3.125" style="1777" customWidth="1"/>
    <col min="5250" max="5251" width="10.625" style="1777" customWidth="1"/>
    <col min="5252" max="5254" width="9.625" style="1777" customWidth="1"/>
    <col min="5255" max="5261" width="8.625" style="1777" customWidth="1"/>
    <col min="5262" max="5503" width="9" style="1777"/>
    <col min="5504" max="5504" width="11.75" style="1777" customWidth="1"/>
    <col min="5505" max="5505" width="3.125" style="1777" customWidth="1"/>
    <col min="5506" max="5507" width="10.625" style="1777" customWidth="1"/>
    <col min="5508" max="5510" width="9.625" style="1777" customWidth="1"/>
    <col min="5511" max="5517" width="8.625" style="1777" customWidth="1"/>
    <col min="5518" max="5759" width="9" style="1777"/>
    <col min="5760" max="5760" width="11.75" style="1777" customWidth="1"/>
    <col min="5761" max="5761" width="3.125" style="1777" customWidth="1"/>
    <col min="5762" max="5763" width="10.625" style="1777" customWidth="1"/>
    <col min="5764" max="5766" width="9.625" style="1777" customWidth="1"/>
    <col min="5767" max="5773" width="8.625" style="1777" customWidth="1"/>
    <col min="5774" max="6015" width="9" style="1777"/>
    <col min="6016" max="6016" width="11.75" style="1777" customWidth="1"/>
    <col min="6017" max="6017" width="3.125" style="1777" customWidth="1"/>
    <col min="6018" max="6019" width="10.625" style="1777" customWidth="1"/>
    <col min="6020" max="6022" width="9.625" style="1777" customWidth="1"/>
    <col min="6023" max="6029" width="8.625" style="1777" customWidth="1"/>
    <col min="6030" max="6271" width="9" style="1777"/>
    <col min="6272" max="6272" width="11.75" style="1777" customWidth="1"/>
    <col min="6273" max="6273" width="3.125" style="1777" customWidth="1"/>
    <col min="6274" max="6275" width="10.625" style="1777" customWidth="1"/>
    <col min="6276" max="6278" width="9.625" style="1777" customWidth="1"/>
    <col min="6279" max="6285" width="8.625" style="1777" customWidth="1"/>
    <col min="6286" max="6527" width="9" style="1777"/>
    <col min="6528" max="6528" width="11.75" style="1777" customWidth="1"/>
    <col min="6529" max="6529" width="3.125" style="1777" customWidth="1"/>
    <col min="6530" max="6531" width="10.625" style="1777" customWidth="1"/>
    <col min="6532" max="6534" width="9.625" style="1777" customWidth="1"/>
    <col min="6535" max="6541" width="8.625" style="1777" customWidth="1"/>
    <col min="6542" max="6783" width="9" style="1777"/>
    <col min="6784" max="6784" width="11.75" style="1777" customWidth="1"/>
    <col min="6785" max="6785" width="3.125" style="1777" customWidth="1"/>
    <col min="6786" max="6787" width="10.625" style="1777" customWidth="1"/>
    <col min="6788" max="6790" width="9.625" style="1777" customWidth="1"/>
    <col min="6791" max="6797" width="8.625" style="1777" customWidth="1"/>
    <col min="6798" max="7039" width="9" style="1777"/>
    <col min="7040" max="7040" width="11.75" style="1777" customWidth="1"/>
    <col min="7041" max="7041" width="3.125" style="1777" customWidth="1"/>
    <col min="7042" max="7043" width="10.625" style="1777" customWidth="1"/>
    <col min="7044" max="7046" width="9.625" style="1777" customWidth="1"/>
    <col min="7047" max="7053" width="8.625" style="1777" customWidth="1"/>
    <col min="7054" max="7295" width="9" style="1777"/>
    <col min="7296" max="7296" width="11.75" style="1777" customWidth="1"/>
    <col min="7297" max="7297" width="3.125" style="1777" customWidth="1"/>
    <col min="7298" max="7299" width="10.625" style="1777" customWidth="1"/>
    <col min="7300" max="7302" width="9.625" style="1777" customWidth="1"/>
    <col min="7303" max="7309" width="8.625" style="1777" customWidth="1"/>
    <col min="7310" max="7551" width="9" style="1777"/>
    <col min="7552" max="7552" width="11.75" style="1777" customWidth="1"/>
    <col min="7553" max="7553" width="3.125" style="1777" customWidth="1"/>
    <col min="7554" max="7555" width="10.625" style="1777" customWidth="1"/>
    <col min="7556" max="7558" width="9.625" style="1777" customWidth="1"/>
    <col min="7559" max="7565" width="8.625" style="1777" customWidth="1"/>
    <col min="7566" max="7807" width="9" style="1777"/>
    <col min="7808" max="7808" width="11.75" style="1777" customWidth="1"/>
    <col min="7809" max="7809" width="3.125" style="1777" customWidth="1"/>
    <col min="7810" max="7811" width="10.625" style="1777" customWidth="1"/>
    <col min="7812" max="7814" width="9.625" style="1777" customWidth="1"/>
    <col min="7815" max="7821" width="8.625" style="1777" customWidth="1"/>
    <col min="7822" max="8063" width="9" style="1777"/>
    <col min="8064" max="8064" width="11.75" style="1777" customWidth="1"/>
    <col min="8065" max="8065" width="3.125" style="1777" customWidth="1"/>
    <col min="8066" max="8067" width="10.625" style="1777" customWidth="1"/>
    <col min="8068" max="8070" width="9.625" style="1777" customWidth="1"/>
    <col min="8071" max="8077" width="8.625" style="1777" customWidth="1"/>
    <col min="8078" max="8319" width="9" style="1777"/>
    <col min="8320" max="8320" width="11.75" style="1777" customWidth="1"/>
    <col min="8321" max="8321" width="3.125" style="1777" customWidth="1"/>
    <col min="8322" max="8323" width="10.625" style="1777" customWidth="1"/>
    <col min="8324" max="8326" width="9.625" style="1777" customWidth="1"/>
    <col min="8327" max="8333" width="8.625" style="1777" customWidth="1"/>
    <col min="8334" max="8575" width="9" style="1777"/>
    <col min="8576" max="8576" width="11.75" style="1777" customWidth="1"/>
    <col min="8577" max="8577" width="3.125" style="1777" customWidth="1"/>
    <col min="8578" max="8579" width="10.625" style="1777" customWidth="1"/>
    <col min="8580" max="8582" width="9.625" style="1777" customWidth="1"/>
    <col min="8583" max="8589" width="8.625" style="1777" customWidth="1"/>
    <col min="8590" max="8831" width="9" style="1777"/>
    <col min="8832" max="8832" width="11.75" style="1777" customWidth="1"/>
    <col min="8833" max="8833" width="3.125" style="1777" customWidth="1"/>
    <col min="8834" max="8835" width="10.625" style="1777" customWidth="1"/>
    <col min="8836" max="8838" width="9.625" style="1777" customWidth="1"/>
    <col min="8839" max="8845" width="8.625" style="1777" customWidth="1"/>
    <col min="8846" max="9087" width="9" style="1777"/>
    <col min="9088" max="9088" width="11.75" style="1777" customWidth="1"/>
    <col min="9089" max="9089" width="3.125" style="1777" customWidth="1"/>
    <col min="9090" max="9091" width="10.625" style="1777" customWidth="1"/>
    <col min="9092" max="9094" width="9.625" style="1777" customWidth="1"/>
    <col min="9095" max="9101" width="8.625" style="1777" customWidth="1"/>
    <col min="9102" max="9343" width="9" style="1777"/>
    <col min="9344" max="9344" width="11.75" style="1777" customWidth="1"/>
    <col min="9345" max="9345" width="3.125" style="1777" customWidth="1"/>
    <col min="9346" max="9347" width="10.625" style="1777" customWidth="1"/>
    <col min="9348" max="9350" width="9.625" style="1777" customWidth="1"/>
    <col min="9351" max="9357" width="8.625" style="1777" customWidth="1"/>
    <col min="9358" max="9599" width="9" style="1777"/>
    <col min="9600" max="9600" width="11.75" style="1777" customWidth="1"/>
    <col min="9601" max="9601" width="3.125" style="1777" customWidth="1"/>
    <col min="9602" max="9603" width="10.625" style="1777" customWidth="1"/>
    <col min="9604" max="9606" width="9.625" style="1777" customWidth="1"/>
    <col min="9607" max="9613" width="8.625" style="1777" customWidth="1"/>
    <col min="9614" max="9855" width="9" style="1777"/>
    <col min="9856" max="9856" width="11.75" style="1777" customWidth="1"/>
    <col min="9857" max="9857" width="3.125" style="1777" customWidth="1"/>
    <col min="9858" max="9859" width="10.625" style="1777" customWidth="1"/>
    <col min="9860" max="9862" width="9.625" style="1777" customWidth="1"/>
    <col min="9863" max="9869" width="8.625" style="1777" customWidth="1"/>
    <col min="9870" max="10111" width="9" style="1777"/>
    <col min="10112" max="10112" width="11.75" style="1777" customWidth="1"/>
    <col min="10113" max="10113" width="3.125" style="1777" customWidth="1"/>
    <col min="10114" max="10115" width="10.625" style="1777" customWidth="1"/>
    <col min="10116" max="10118" width="9.625" style="1777" customWidth="1"/>
    <col min="10119" max="10125" width="8.625" style="1777" customWidth="1"/>
    <col min="10126" max="10367" width="9" style="1777"/>
    <col min="10368" max="10368" width="11.75" style="1777" customWidth="1"/>
    <col min="10369" max="10369" width="3.125" style="1777" customWidth="1"/>
    <col min="10370" max="10371" width="10.625" style="1777" customWidth="1"/>
    <col min="10372" max="10374" width="9.625" style="1777" customWidth="1"/>
    <col min="10375" max="10381" width="8.625" style="1777" customWidth="1"/>
    <col min="10382" max="10623" width="9" style="1777"/>
    <col min="10624" max="10624" width="11.75" style="1777" customWidth="1"/>
    <col min="10625" max="10625" width="3.125" style="1777" customWidth="1"/>
    <col min="10626" max="10627" width="10.625" style="1777" customWidth="1"/>
    <col min="10628" max="10630" width="9.625" style="1777" customWidth="1"/>
    <col min="10631" max="10637" width="8.625" style="1777" customWidth="1"/>
    <col min="10638" max="10879" width="9" style="1777"/>
    <col min="10880" max="10880" width="11.75" style="1777" customWidth="1"/>
    <col min="10881" max="10881" width="3.125" style="1777" customWidth="1"/>
    <col min="10882" max="10883" width="10.625" style="1777" customWidth="1"/>
    <col min="10884" max="10886" width="9.625" style="1777" customWidth="1"/>
    <col min="10887" max="10893" width="8.625" style="1777" customWidth="1"/>
    <col min="10894" max="11135" width="9" style="1777"/>
    <col min="11136" max="11136" width="11.75" style="1777" customWidth="1"/>
    <col min="11137" max="11137" width="3.125" style="1777" customWidth="1"/>
    <col min="11138" max="11139" width="10.625" style="1777" customWidth="1"/>
    <col min="11140" max="11142" width="9.625" style="1777" customWidth="1"/>
    <col min="11143" max="11149" width="8.625" style="1777" customWidth="1"/>
    <col min="11150" max="11391" width="9" style="1777"/>
    <col min="11392" max="11392" width="11.75" style="1777" customWidth="1"/>
    <col min="11393" max="11393" width="3.125" style="1777" customWidth="1"/>
    <col min="11394" max="11395" width="10.625" style="1777" customWidth="1"/>
    <col min="11396" max="11398" width="9.625" style="1777" customWidth="1"/>
    <col min="11399" max="11405" width="8.625" style="1777" customWidth="1"/>
    <col min="11406" max="11647" width="9" style="1777"/>
    <col min="11648" max="11648" width="11.75" style="1777" customWidth="1"/>
    <col min="11649" max="11649" width="3.125" style="1777" customWidth="1"/>
    <col min="11650" max="11651" width="10.625" style="1777" customWidth="1"/>
    <col min="11652" max="11654" width="9.625" style="1777" customWidth="1"/>
    <col min="11655" max="11661" width="8.625" style="1777" customWidth="1"/>
    <col min="11662" max="11903" width="9" style="1777"/>
    <col min="11904" max="11904" width="11.75" style="1777" customWidth="1"/>
    <col min="11905" max="11905" width="3.125" style="1777" customWidth="1"/>
    <col min="11906" max="11907" width="10.625" style="1777" customWidth="1"/>
    <col min="11908" max="11910" width="9.625" style="1777" customWidth="1"/>
    <col min="11911" max="11917" width="8.625" style="1777" customWidth="1"/>
    <col min="11918" max="12159" width="9" style="1777"/>
    <col min="12160" max="12160" width="11.75" style="1777" customWidth="1"/>
    <col min="12161" max="12161" width="3.125" style="1777" customWidth="1"/>
    <col min="12162" max="12163" width="10.625" style="1777" customWidth="1"/>
    <col min="12164" max="12166" width="9.625" style="1777" customWidth="1"/>
    <col min="12167" max="12173" width="8.625" style="1777" customWidth="1"/>
    <col min="12174" max="12415" width="9" style="1777"/>
    <col min="12416" max="12416" width="11.75" style="1777" customWidth="1"/>
    <col min="12417" max="12417" width="3.125" style="1777" customWidth="1"/>
    <col min="12418" max="12419" width="10.625" style="1777" customWidth="1"/>
    <col min="12420" max="12422" width="9.625" style="1777" customWidth="1"/>
    <col min="12423" max="12429" width="8.625" style="1777" customWidth="1"/>
    <col min="12430" max="12671" width="9" style="1777"/>
    <col min="12672" max="12672" width="11.75" style="1777" customWidth="1"/>
    <col min="12673" max="12673" width="3.125" style="1777" customWidth="1"/>
    <col min="12674" max="12675" width="10.625" style="1777" customWidth="1"/>
    <col min="12676" max="12678" width="9.625" style="1777" customWidth="1"/>
    <col min="12679" max="12685" width="8.625" style="1777" customWidth="1"/>
    <col min="12686" max="12927" width="9" style="1777"/>
    <col min="12928" max="12928" width="11.75" style="1777" customWidth="1"/>
    <col min="12929" max="12929" width="3.125" style="1777" customWidth="1"/>
    <col min="12930" max="12931" width="10.625" style="1777" customWidth="1"/>
    <col min="12932" max="12934" width="9.625" style="1777" customWidth="1"/>
    <col min="12935" max="12941" width="8.625" style="1777" customWidth="1"/>
    <col min="12942" max="13183" width="9" style="1777"/>
    <col min="13184" max="13184" width="11.75" style="1777" customWidth="1"/>
    <col min="13185" max="13185" width="3.125" style="1777" customWidth="1"/>
    <col min="13186" max="13187" width="10.625" style="1777" customWidth="1"/>
    <col min="13188" max="13190" width="9.625" style="1777" customWidth="1"/>
    <col min="13191" max="13197" width="8.625" style="1777" customWidth="1"/>
    <col min="13198" max="13439" width="9" style="1777"/>
    <col min="13440" max="13440" width="11.75" style="1777" customWidth="1"/>
    <col min="13441" max="13441" width="3.125" style="1777" customWidth="1"/>
    <col min="13442" max="13443" width="10.625" style="1777" customWidth="1"/>
    <col min="13444" max="13446" width="9.625" style="1777" customWidth="1"/>
    <col min="13447" max="13453" width="8.625" style="1777" customWidth="1"/>
    <col min="13454" max="13695" width="9" style="1777"/>
    <col min="13696" max="13696" width="11.75" style="1777" customWidth="1"/>
    <col min="13697" max="13697" width="3.125" style="1777" customWidth="1"/>
    <col min="13698" max="13699" width="10.625" style="1777" customWidth="1"/>
    <col min="13700" max="13702" width="9.625" style="1777" customWidth="1"/>
    <col min="13703" max="13709" width="8.625" style="1777" customWidth="1"/>
    <col min="13710" max="13951" width="9" style="1777"/>
    <col min="13952" max="13952" width="11.75" style="1777" customWidth="1"/>
    <col min="13953" max="13953" width="3.125" style="1777" customWidth="1"/>
    <col min="13954" max="13955" width="10.625" style="1777" customWidth="1"/>
    <col min="13956" max="13958" width="9.625" style="1777" customWidth="1"/>
    <col min="13959" max="13965" width="8.625" style="1777" customWidth="1"/>
    <col min="13966" max="14207" width="9" style="1777"/>
    <col min="14208" max="14208" width="11.75" style="1777" customWidth="1"/>
    <col min="14209" max="14209" width="3.125" style="1777" customWidth="1"/>
    <col min="14210" max="14211" width="10.625" style="1777" customWidth="1"/>
    <col min="14212" max="14214" width="9.625" style="1777" customWidth="1"/>
    <col min="14215" max="14221" width="8.625" style="1777" customWidth="1"/>
    <col min="14222" max="14463" width="9" style="1777"/>
    <col min="14464" max="14464" width="11.75" style="1777" customWidth="1"/>
    <col min="14465" max="14465" width="3.125" style="1777" customWidth="1"/>
    <col min="14466" max="14467" width="10.625" style="1777" customWidth="1"/>
    <col min="14468" max="14470" width="9.625" style="1777" customWidth="1"/>
    <col min="14471" max="14477" width="8.625" style="1777" customWidth="1"/>
    <col min="14478" max="14719" width="9" style="1777"/>
    <col min="14720" max="14720" width="11.75" style="1777" customWidth="1"/>
    <col min="14721" max="14721" width="3.125" style="1777" customWidth="1"/>
    <col min="14722" max="14723" width="10.625" style="1777" customWidth="1"/>
    <col min="14724" max="14726" width="9.625" style="1777" customWidth="1"/>
    <col min="14727" max="14733" width="8.625" style="1777" customWidth="1"/>
    <col min="14734" max="14975" width="9" style="1777"/>
    <col min="14976" max="14976" width="11.75" style="1777" customWidth="1"/>
    <col min="14977" max="14977" width="3.125" style="1777" customWidth="1"/>
    <col min="14978" max="14979" width="10.625" style="1777" customWidth="1"/>
    <col min="14980" max="14982" width="9.625" style="1777" customWidth="1"/>
    <col min="14983" max="14989" width="8.625" style="1777" customWidth="1"/>
    <col min="14990" max="15231" width="9" style="1777"/>
    <col min="15232" max="15232" width="11.75" style="1777" customWidth="1"/>
    <col min="15233" max="15233" width="3.125" style="1777" customWidth="1"/>
    <col min="15234" max="15235" width="10.625" style="1777" customWidth="1"/>
    <col min="15236" max="15238" width="9.625" style="1777" customWidth="1"/>
    <col min="15239" max="15245" width="8.625" style="1777" customWidth="1"/>
    <col min="15246" max="15487" width="9" style="1777"/>
    <col min="15488" max="15488" width="11.75" style="1777" customWidth="1"/>
    <col min="15489" max="15489" width="3.125" style="1777" customWidth="1"/>
    <col min="15490" max="15491" width="10.625" style="1777" customWidth="1"/>
    <col min="15492" max="15494" width="9.625" style="1777" customWidth="1"/>
    <col min="15495" max="15501" width="8.625" style="1777" customWidth="1"/>
    <col min="15502" max="15743" width="9" style="1777"/>
    <col min="15744" max="15744" width="11.75" style="1777" customWidth="1"/>
    <col min="15745" max="15745" width="3.125" style="1777" customWidth="1"/>
    <col min="15746" max="15747" width="10.625" style="1777" customWidth="1"/>
    <col min="15748" max="15750" width="9.625" style="1777" customWidth="1"/>
    <col min="15751" max="15757" width="8.625" style="1777" customWidth="1"/>
    <col min="15758" max="15999" width="9" style="1777"/>
    <col min="16000" max="16000" width="11.75" style="1777" customWidth="1"/>
    <col min="16001" max="16001" width="3.125" style="1777" customWidth="1"/>
    <col min="16002" max="16003" width="10.625" style="1777" customWidth="1"/>
    <col min="16004" max="16006" width="9.625" style="1777" customWidth="1"/>
    <col min="16007" max="16013" width="8.625" style="1777" customWidth="1"/>
    <col min="16014" max="16255" width="9" style="1777"/>
    <col min="16256" max="16261" width="9" style="1777" customWidth="1"/>
    <col min="16262" max="16384" width="9" style="1777"/>
  </cols>
  <sheetData>
    <row r="1" spans="1:13" s="1173" customFormat="1" ht="30.75" customHeight="1">
      <c r="A1" s="3704" t="s">
        <v>2298</v>
      </c>
      <c r="B1" s="3704"/>
      <c r="C1" s="3704"/>
      <c r="D1" s="3704"/>
      <c r="E1" s="3704"/>
      <c r="F1" s="3704"/>
      <c r="G1" s="3704"/>
      <c r="H1" s="3704"/>
      <c r="I1" s="3704"/>
      <c r="J1" s="3704"/>
      <c r="K1" s="3704"/>
      <c r="L1" s="3704"/>
      <c r="M1" s="3704"/>
    </row>
    <row r="2" spans="1:13" ht="18" customHeight="1">
      <c r="A2" s="3705"/>
      <c r="B2" s="3708" t="s">
        <v>2299</v>
      </c>
      <c r="C2" s="3709"/>
      <c r="D2" s="3709"/>
      <c r="E2" s="3709"/>
      <c r="F2" s="1775"/>
      <c r="G2" s="1775"/>
      <c r="H2" s="1775"/>
      <c r="I2" s="1775"/>
      <c r="J2" s="1776"/>
      <c r="K2" s="1776"/>
      <c r="L2" s="1776"/>
      <c r="M2" s="1776"/>
    </row>
    <row r="3" spans="1:13" ht="18" customHeight="1">
      <c r="A3" s="3706"/>
      <c r="B3" s="3710"/>
      <c r="C3" s="3710"/>
      <c r="D3" s="3710"/>
      <c r="E3" s="3710"/>
      <c r="F3" s="3712" t="s">
        <v>2300</v>
      </c>
      <c r="G3" s="3705"/>
      <c r="H3" s="3705"/>
      <c r="I3" s="3705"/>
      <c r="J3" s="1776"/>
      <c r="K3" s="1776"/>
      <c r="L3" s="1776"/>
      <c r="M3" s="1776"/>
    </row>
    <row r="4" spans="1:13" ht="33.6" customHeight="1">
      <c r="A4" s="3706"/>
      <c r="B4" s="3711"/>
      <c r="C4" s="3711"/>
      <c r="D4" s="3711"/>
      <c r="E4" s="3711"/>
      <c r="F4" s="3713"/>
      <c r="G4" s="3707"/>
      <c r="H4" s="3707"/>
      <c r="I4" s="3707"/>
      <c r="J4" s="3714" t="s">
        <v>2301</v>
      </c>
      <c r="K4" s="3715"/>
      <c r="L4" s="3715"/>
      <c r="M4" s="3715"/>
    </row>
    <row r="5" spans="1:13" ht="33.6" customHeight="1">
      <c r="A5" s="3707"/>
      <c r="B5" s="1778" t="s">
        <v>2302</v>
      </c>
      <c r="C5" s="1779" t="s">
        <v>957</v>
      </c>
      <c r="D5" s="1779" t="s">
        <v>2303</v>
      </c>
      <c r="E5" s="1780" t="s">
        <v>2304</v>
      </c>
      <c r="F5" s="1779" t="s">
        <v>2305</v>
      </c>
      <c r="G5" s="1779" t="s">
        <v>2306</v>
      </c>
      <c r="H5" s="1779" t="s">
        <v>2307</v>
      </c>
      <c r="I5" s="1779" t="s">
        <v>2308</v>
      </c>
      <c r="J5" s="1779" t="s">
        <v>2309</v>
      </c>
      <c r="K5" s="1779" t="s">
        <v>957</v>
      </c>
      <c r="L5" s="1779" t="s">
        <v>2303</v>
      </c>
      <c r="M5" s="1781" t="s">
        <v>2304</v>
      </c>
    </row>
    <row r="6" spans="1:13" ht="30" customHeight="1">
      <c r="A6" s="1782" t="s">
        <v>2310</v>
      </c>
      <c r="B6" s="385">
        <v>203489</v>
      </c>
      <c r="C6" s="385">
        <v>171788</v>
      </c>
      <c r="D6" s="385">
        <v>31176</v>
      </c>
      <c r="E6" s="385">
        <v>525</v>
      </c>
      <c r="F6" s="385">
        <v>3325</v>
      </c>
      <c r="G6" s="385">
        <v>1798</v>
      </c>
      <c r="H6" s="385">
        <v>1518</v>
      </c>
      <c r="I6" s="385">
        <v>9</v>
      </c>
      <c r="J6" s="385">
        <v>2913</v>
      </c>
      <c r="K6" s="385">
        <v>1569</v>
      </c>
      <c r="L6" s="385">
        <v>1338</v>
      </c>
      <c r="M6" s="386">
        <v>6</v>
      </c>
    </row>
    <row r="7" spans="1:13" ht="30" customHeight="1">
      <c r="A7" s="1782" t="s">
        <v>1107</v>
      </c>
      <c r="B7" s="385">
        <v>198336</v>
      </c>
      <c r="C7" s="385">
        <v>166565</v>
      </c>
      <c r="D7" s="385">
        <v>31234</v>
      </c>
      <c r="E7" s="385">
        <v>537</v>
      </c>
      <c r="F7" s="385">
        <v>3201</v>
      </c>
      <c r="G7" s="385">
        <v>1704</v>
      </c>
      <c r="H7" s="385">
        <v>1484</v>
      </c>
      <c r="I7" s="385">
        <v>13</v>
      </c>
      <c r="J7" s="385">
        <v>2830</v>
      </c>
      <c r="K7" s="385">
        <v>1496</v>
      </c>
      <c r="L7" s="385">
        <v>1328</v>
      </c>
      <c r="M7" s="386">
        <v>6</v>
      </c>
    </row>
    <row r="8" spans="1:13" ht="30" customHeight="1">
      <c r="A8" s="1782" t="s">
        <v>1060</v>
      </c>
      <c r="B8" s="385">
        <v>197202</v>
      </c>
      <c r="C8" s="385">
        <v>165739</v>
      </c>
      <c r="D8" s="385">
        <v>30906</v>
      </c>
      <c r="E8" s="385">
        <v>557</v>
      </c>
      <c r="F8" s="385">
        <v>3263</v>
      </c>
      <c r="G8" s="385">
        <v>1771</v>
      </c>
      <c r="H8" s="385">
        <v>1473</v>
      </c>
      <c r="I8" s="385">
        <v>19</v>
      </c>
      <c r="J8" s="385">
        <v>2880</v>
      </c>
      <c r="K8" s="385">
        <v>1551</v>
      </c>
      <c r="L8" s="385">
        <v>1325</v>
      </c>
      <c r="M8" s="386">
        <v>4</v>
      </c>
    </row>
    <row r="9" spans="1:13" ht="30" customHeight="1">
      <c r="A9" s="1782" t="s">
        <v>1061</v>
      </c>
      <c r="B9" s="385">
        <v>190469</v>
      </c>
      <c r="C9" s="385">
        <v>160744</v>
      </c>
      <c r="D9" s="385">
        <v>29270</v>
      </c>
      <c r="E9" s="385">
        <v>455</v>
      </c>
      <c r="F9" s="385">
        <v>3134</v>
      </c>
      <c r="G9" s="385">
        <v>1808</v>
      </c>
      <c r="H9" s="385">
        <v>1305</v>
      </c>
      <c r="I9" s="385">
        <v>21</v>
      </c>
      <c r="J9" s="385">
        <v>2755</v>
      </c>
      <c r="K9" s="385">
        <v>1581</v>
      </c>
      <c r="L9" s="385">
        <v>1165</v>
      </c>
      <c r="M9" s="386">
        <v>9</v>
      </c>
    </row>
    <row r="10" spans="1:13" ht="30" customHeight="1">
      <c r="A10" s="1782" t="s">
        <v>1062</v>
      </c>
      <c r="B10" s="385">
        <v>211166</v>
      </c>
      <c r="C10" s="385">
        <v>180649</v>
      </c>
      <c r="D10" s="385">
        <v>29995</v>
      </c>
      <c r="E10" s="385">
        <v>522</v>
      </c>
      <c r="F10" s="385">
        <v>3004</v>
      </c>
      <c r="G10" s="385">
        <v>1707</v>
      </c>
      <c r="H10" s="385">
        <v>1281</v>
      </c>
      <c r="I10" s="385">
        <v>16</v>
      </c>
      <c r="J10" s="385">
        <v>2598</v>
      </c>
      <c r="K10" s="385">
        <v>1480</v>
      </c>
      <c r="L10" s="385">
        <v>1109</v>
      </c>
      <c r="M10" s="386">
        <v>9</v>
      </c>
    </row>
    <row r="11" spans="1:13" ht="30" customHeight="1">
      <c r="A11" s="1782" t="s">
        <v>1063</v>
      </c>
      <c r="B11" s="385">
        <v>208576</v>
      </c>
      <c r="C11" s="385">
        <v>178089</v>
      </c>
      <c r="D11" s="385">
        <v>29952</v>
      </c>
      <c r="E11" s="385">
        <v>535</v>
      </c>
      <c r="F11" s="385">
        <v>2802</v>
      </c>
      <c r="G11" s="385">
        <v>1597</v>
      </c>
      <c r="H11" s="385">
        <v>1175</v>
      </c>
      <c r="I11" s="385">
        <v>30</v>
      </c>
      <c r="J11" s="385">
        <v>2399</v>
      </c>
      <c r="K11" s="385">
        <v>1391</v>
      </c>
      <c r="L11" s="385">
        <v>1000</v>
      </c>
      <c r="M11" s="386">
        <v>8</v>
      </c>
    </row>
    <row r="12" spans="1:13" ht="30" customHeight="1">
      <c r="A12" s="1782" t="s">
        <v>1064</v>
      </c>
      <c r="B12" s="385">
        <v>204062</v>
      </c>
      <c r="C12" s="385">
        <v>174056</v>
      </c>
      <c r="D12" s="385">
        <v>29426</v>
      </c>
      <c r="E12" s="385">
        <v>580</v>
      </c>
      <c r="F12" s="385">
        <v>2778</v>
      </c>
      <c r="G12" s="385">
        <v>1713</v>
      </c>
      <c r="H12" s="385">
        <v>1052</v>
      </c>
      <c r="I12" s="385">
        <v>13</v>
      </c>
      <c r="J12" s="385">
        <v>2360</v>
      </c>
      <c r="K12" s="385">
        <v>1474</v>
      </c>
      <c r="L12" s="385">
        <v>879</v>
      </c>
      <c r="M12" s="386">
        <v>7</v>
      </c>
    </row>
    <row r="13" spans="1:13" ht="30" customHeight="1">
      <c r="A13" s="1782" t="s">
        <v>1065</v>
      </c>
      <c r="B13" s="385">
        <v>217372</v>
      </c>
      <c r="C13" s="385">
        <v>184752</v>
      </c>
      <c r="D13" s="385">
        <v>32104</v>
      </c>
      <c r="E13" s="385">
        <v>516</v>
      </c>
      <c r="F13" s="385">
        <v>3580</v>
      </c>
      <c r="G13" s="385">
        <v>2403</v>
      </c>
      <c r="H13" s="385">
        <v>1160</v>
      </c>
      <c r="I13" s="385">
        <v>17</v>
      </c>
      <c r="J13" s="385">
        <v>3048</v>
      </c>
      <c r="K13" s="385">
        <v>2089</v>
      </c>
      <c r="L13" s="385">
        <v>953</v>
      </c>
      <c r="M13" s="386">
        <v>6</v>
      </c>
    </row>
    <row r="14" spans="1:13" ht="30" customHeight="1">
      <c r="A14" s="1782" t="s">
        <v>1066</v>
      </c>
      <c r="B14" s="385">
        <v>218162</v>
      </c>
      <c r="C14" s="385">
        <v>185477</v>
      </c>
      <c r="D14" s="385">
        <v>32241</v>
      </c>
      <c r="E14" s="385">
        <v>444</v>
      </c>
      <c r="F14" s="385">
        <v>4477</v>
      </c>
      <c r="G14" s="385">
        <v>3203</v>
      </c>
      <c r="H14" s="385">
        <v>1256</v>
      </c>
      <c r="I14" s="385">
        <v>18</v>
      </c>
      <c r="J14" s="385">
        <v>3927</v>
      </c>
      <c r="K14" s="385">
        <v>2875</v>
      </c>
      <c r="L14" s="385">
        <v>1047</v>
      </c>
      <c r="M14" s="386">
        <v>5</v>
      </c>
    </row>
    <row r="15" spans="1:13" ht="30" customHeight="1">
      <c r="A15" s="1783" t="s">
        <v>1067</v>
      </c>
      <c r="B15" s="388">
        <v>209103</v>
      </c>
      <c r="C15" s="388">
        <v>176481</v>
      </c>
      <c r="D15" s="388">
        <v>32092</v>
      </c>
      <c r="E15" s="388">
        <v>530</v>
      </c>
      <c r="F15" s="388">
        <v>4782</v>
      </c>
      <c r="G15" s="388">
        <v>3539</v>
      </c>
      <c r="H15" s="388">
        <v>1234</v>
      </c>
      <c r="I15" s="388">
        <v>9</v>
      </c>
      <c r="J15" s="388">
        <v>4218</v>
      </c>
      <c r="K15" s="388">
        <v>3182</v>
      </c>
      <c r="L15" s="388">
        <v>1034</v>
      </c>
      <c r="M15" s="387">
        <v>2</v>
      </c>
    </row>
    <row r="16" spans="1:13" ht="29.25" customHeight="1">
      <c r="A16" s="3703" t="s">
        <v>2311</v>
      </c>
      <c r="B16" s="3703"/>
      <c r="C16" s="3703"/>
      <c r="D16" s="3703"/>
      <c r="E16" s="3703"/>
      <c r="F16" s="3703"/>
      <c r="G16" s="3703"/>
      <c r="H16" s="3703"/>
      <c r="I16" s="3703"/>
      <c r="J16" s="3703"/>
      <c r="K16" s="3703"/>
      <c r="L16" s="3703"/>
      <c r="M16" s="3703"/>
    </row>
    <row r="17" spans="1:1" ht="21" customHeight="1">
      <c r="A17" s="1130"/>
    </row>
  </sheetData>
  <mergeCells count="6">
    <mergeCell ref="A16:M16"/>
    <mergeCell ref="A1:M1"/>
    <mergeCell ref="A2:A5"/>
    <mergeCell ref="B2:E4"/>
    <mergeCell ref="F3:I4"/>
    <mergeCell ref="J4:M4"/>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71"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I20"/>
  <sheetViews>
    <sheetView showGridLines="0" workbookViewId="0">
      <selection activeCell="B16" sqref="B16"/>
    </sheetView>
  </sheetViews>
  <sheetFormatPr defaultRowHeight="15.75"/>
  <cols>
    <col min="1" max="1" width="18.125" style="1785" customWidth="1"/>
    <col min="2" max="8" width="10.625" style="1785" customWidth="1"/>
    <col min="9" max="256" width="9" style="1785"/>
    <col min="257" max="257" width="18.125" style="1785" customWidth="1"/>
    <col min="258" max="264" width="10.625" style="1785" customWidth="1"/>
    <col min="265" max="512" width="9" style="1785"/>
    <col min="513" max="513" width="18.125" style="1785" customWidth="1"/>
    <col min="514" max="520" width="10.625" style="1785" customWidth="1"/>
    <col min="521" max="768" width="9" style="1785"/>
    <col min="769" max="769" width="18.125" style="1785" customWidth="1"/>
    <col min="770" max="776" width="10.625" style="1785" customWidth="1"/>
    <col min="777" max="1024" width="9" style="1785"/>
    <col min="1025" max="1025" width="18.125" style="1785" customWidth="1"/>
    <col min="1026" max="1032" width="10.625" style="1785" customWidth="1"/>
    <col min="1033" max="1280" width="9" style="1785"/>
    <col min="1281" max="1281" width="18.125" style="1785" customWidth="1"/>
    <col min="1282" max="1288" width="10.625" style="1785" customWidth="1"/>
    <col min="1289" max="1536" width="9" style="1785"/>
    <col min="1537" max="1537" width="18.125" style="1785" customWidth="1"/>
    <col min="1538" max="1544" width="10.625" style="1785" customWidth="1"/>
    <col min="1545" max="1792" width="9" style="1785"/>
    <col min="1793" max="1793" width="18.125" style="1785" customWidth="1"/>
    <col min="1794" max="1800" width="10.625" style="1785" customWidth="1"/>
    <col min="1801" max="2048" width="9" style="1785"/>
    <col min="2049" max="2049" width="18.125" style="1785" customWidth="1"/>
    <col min="2050" max="2056" width="10.625" style="1785" customWidth="1"/>
    <col min="2057" max="2304" width="9" style="1785"/>
    <col min="2305" max="2305" width="18.125" style="1785" customWidth="1"/>
    <col min="2306" max="2312" width="10.625" style="1785" customWidth="1"/>
    <col min="2313" max="2560" width="9" style="1785"/>
    <col min="2561" max="2561" width="18.125" style="1785" customWidth="1"/>
    <col min="2562" max="2568" width="10.625" style="1785" customWidth="1"/>
    <col min="2569" max="2816" width="9" style="1785"/>
    <col min="2817" max="2817" width="18.125" style="1785" customWidth="1"/>
    <col min="2818" max="2824" width="10.625" style="1785" customWidth="1"/>
    <col min="2825" max="3072" width="9" style="1785"/>
    <col min="3073" max="3073" width="18.125" style="1785" customWidth="1"/>
    <col min="3074" max="3080" width="10.625" style="1785" customWidth="1"/>
    <col min="3081" max="3328" width="9" style="1785"/>
    <col min="3329" max="3329" width="18.125" style="1785" customWidth="1"/>
    <col min="3330" max="3336" width="10.625" style="1785" customWidth="1"/>
    <col min="3337" max="3584" width="9" style="1785"/>
    <col min="3585" max="3585" width="18.125" style="1785" customWidth="1"/>
    <col min="3586" max="3592" width="10.625" style="1785" customWidth="1"/>
    <col min="3593" max="3840" width="9" style="1785"/>
    <col min="3841" max="3841" width="18.125" style="1785" customWidth="1"/>
    <col min="3842" max="3848" width="10.625" style="1785" customWidth="1"/>
    <col min="3849" max="4096" width="9" style="1785"/>
    <col min="4097" max="4097" width="18.125" style="1785" customWidth="1"/>
    <col min="4098" max="4104" width="10.625" style="1785" customWidth="1"/>
    <col min="4105" max="4352" width="9" style="1785"/>
    <col min="4353" max="4353" width="18.125" style="1785" customWidth="1"/>
    <col min="4354" max="4360" width="10.625" style="1785" customWidth="1"/>
    <col min="4361" max="4608" width="9" style="1785"/>
    <col min="4609" max="4609" width="18.125" style="1785" customWidth="1"/>
    <col min="4610" max="4616" width="10.625" style="1785" customWidth="1"/>
    <col min="4617" max="4864" width="9" style="1785"/>
    <col min="4865" max="4865" width="18.125" style="1785" customWidth="1"/>
    <col min="4866" max="4872" width="10.625" style="1785" customWidth="1"/>
    <col min="4873" max="5120" width="9" style="1785"/>
    <col min="5121" max="5121" width="18.125" style="1785" customWidth="1"/>
    <col min="5122" max="5128" width="10.625" style="1785" customWidth="1"/>
    <col min="5129" max="5376" width="9" style="1785"/>
    <col min="5377" max="5377" width="18.125" style="1785" customWidth="1"/>
    <col min="5378" max="5384" width="10.625" style="1785" customWidth="1"/>
    <col min="5385" max="5632" width="9" style="1785"/>
    <col min="5633" max="5633" width="18.125" style="1785" customWidth="1"/>
    <col min="5634" max="5640" width="10.625" style="1785" customWidth="1"/>
    <col min="5641" max="5888" width="9" style="1785"/>
    <col min="5889" max="5889" width="18.125" style="1785" customWidth="1"/>
    <col min="5890" max="5896" width="10.625" style="1785" customWidth="1"/>
    <col min="5897" max="6144" width="9" style="1785"/>
    <col min="6145" max="6145" width="18.125" style="1785" customWidth="1"/>
    <col min="6146" max="6152" width="10.625" style="1785" customWidth="1"/>
    <col min="6153" max="6400" width="9" style="1785"/>
    <col min="6401" max="6401" width="18.125" style="1785" customWidth="1"/>
    <col min="6402" max="6408" width="10.625" style="1785" customWidth="1"/>
    <col min="6409" max="6656" width="9" style="1785"/>
    <col min="6657" max="6657" width="18.125" style="1785" customWidth="1"/>
    <col min="6658" max="6664" width="10.625" style="1785" customWidth="1"/>
    <col min="6665" max="6912" width="9" style="1785"/>
    <col min="6913" max="6913" width="18.125" style="1785" customWidth="1"/>
    <col min="6914" max="6920" width="10.625" style="1785" customWidth="1"/>
    <col min="6921" max="7168" width="9" style="1785"/>
    <col min="7169" max="7169" width="18.125" style="1785" customWidth="1"/>
    <col min="7170" max="7176" width="10.625" style="1785" customWidth="1"/>
    <col min="7177" max="7424" width="9" style="1785"/>
    <col min="7425" max="7425" width="18.125" style="1785" customWidth="1"/>
    <col min="7426" max="7432" width="10.625" style="1785" customWidth="1"/>
    <col min="7433" max="7680" width="9" style="1785"/>
    <col min="7681" max="7681" width="18.125" style="1785" customWidth="1"/>
    <col min="7682" max="7688" width="10.625" style="1785" customWidth="1"/>
    <col min="7689" max="7936" width="9" style="1785"/>
    <col min="7937" max="7937" width="18.125" style="1785" customWidth="1"/>
    <col min="7938" max="7944" width="10.625" style="1785" customWidth="1"/>
    <col min="7945" max="8192" width="9" style="1785"/>
    <col min="8193" max="8193" width="18.125" style="1785" customWidth="1"/>
    <col min="8194" max="8200" width="10.625" style="1785" customWidth="1"/>
    <col min="8201" max="8448" width="9" style="1785"/>
    <col min="8449" max="8449" width="18.125" style="1785" customWidth="1"/>
    <col min="8450" max="8456" width="10.625" style="1785" customWidth="1"/>
    <col min="8457" max="8704" width="9" style="1785"/>
    <col min="8705" max="8705" width="18.125" style="1785" customWidth="1"/>
    <col min="8706" max="8712" width="10.625" style="1785" customWidth="1"/>
    <col min="8713" max="8960" width="9" style="1785"/>
    <col min="8961" max="8961" width="18.125" style="1785" customWidth="1"/>
    <col min="8962" max="8968" width="10.625" style="1785" customWidth="1"/>
    <col min="8969" max="9216" width="9" style="1785"/>
    <col min="9217" max="9217" width="18.125" style="1785" customWidth="1"/>
    <col min="9218" max="9224" width="10.625" style="1785" customWidth="1"/>
    <col min="9225" max="9472" width="9" style="1785"/>
    <col min="9473" max="9473" width="18.125" style="1785" customWidth="1"/>
    <col min="9474" max="9480" width="10.625" style="1785" customWidth="1"/>
    <col min="9481" max="9728" width="9" style="1785"/>
    <col min="9729" max="9729" width="18.125" style="1785" customWidth="1"/>
    <col min="9730" max="9736" width="10.625" style="1785" customWidth="1"/>
    <col min="9737" max="9984" width="9" style="1785"/>
    <col min="9985" max="9985" width="18.125" style="1785" customWidth="1"/>
    <col min="9986" max="9992" width="10.625" style="1785" customWidth="1"/>
    <col min="9993" max="10240" width="9" style="1785"/>
    <col min="10241" max="10241" width="18.125" style="1785" customWidth="1"/>
    <col min="10242" max="10248" width="10.625" style="1785" customWidth="1"/>
    <col min="10249" max="10496" width="9" style="1785"/>
    <col min="10497" max="10497" width="18.125" style="1785" customWidth="1"/>
    <col min="10498" max="10504" width="10.625" style="1785" customWidth="1"/>
    <col min="10505" max="10752" width="9" style="1785"/>
    <col min="10753" max="10753" width="18.125" style="1785" customWidth="1"/>
    <col min="10754" max="10760" width="10.625" style="1785" customWidth="1"/>
    <col min="10761" max="11008" width="9" style="1785"/>
    <col min="11009" max="11009" width="18.125" style="1785" customWidth="1"/>
    <col min="11010" max="11016" width="10.625" style="1785" customWidth="1"/>
    <col min="11017" max="11264" width="9" style="1785"/>
    <col min="11265" max="11265" width="18.125" style="1785" customWidth="1"/>
    <col min="11266" max="11272" width="10.625" style="1785" customWidth="1"/>
    <col min="11273" max="11520" width="9" style="1785"/>
    <col min="11521" max="11521" width="18.125" style="1785" customWidth="1"/>
    <col min="11522" max="11528" width="10.625" style="1785" customWidth="1"/>
    <col min="11529" max="11776" width="9" style="1785"/>
    <col min="11777" max="11777" width="18.125" style="1785" customWidth="1"/>
    <col min="11778" max="11784" width="10.625" style="1785" customWidth="1"/>
    <col min="11785" max="12032" width="9" style="1785"/>
    <col min="12033" max="12033" width="18.125" style="1785" customWidth="1"/>
    <col min="12034" max="12040" width="10.625" style="1785" customWidth="1"/>
    <col min="12041" max="12288" width="9" style="1785"/>
    <col min="12289" max="12289" width="18.125" style="1785" customWidth="1"/>
    <col min="12290" max="12296" width="10.625" style="1785" customWidth="1"/>
    <col min="12297" max="12544" width="9" style="1785"/>
    <col min="12545" max="12545" width="18.125" style="1785" customWidth="1"/>
    <col min="12546" max="12552" width="10.625" style="1785" customWidth="1"/>
    <col min="12553" max="12800" width="9" style="1785"/>
    <col min="12801" max="12801" width="18.125" style="1785" customWidth="1"/>
    <col min="12802" max="12808" width="10.625" style="1785" customWidth="1"/>
    <col min="12809" max="13056" width="9" style="1785"/>
    <col min="13057" max="13057" width="18.125" style="1785" customWidth="1"/>
    <col min="13058" max="13064" width="10.625" style="1785" customWidth="1"/>
    <col min="13065" max="13312" width="9" style="1785"/>
    <col min="13313" max="13313" width="18.125" style="1785" customWidth="1"/>
    <col min="13314" max="13320" width="10.625" style="1785" customWidth="1"/>
    <col min="13321" max="13568" width="9" style="1785"/>
    <col min="13569" max="13569" width="18.125" style="1785" customWidth="1"/>
    <col min="13570" max="13576" width="10.625" style="1785" customWidth="1"/>
    <col min="13577" max="13824" width="9" style="1785"/>
    <col min="13825" max="13825" width="18.125" style="1785" customWidth="1"/>
    <col min="13826" max="13832" width="10.625" style="1785" customWidth="1"/>
    <col min="13833" max="14080" width="9" style="1785"/>
    <col min="14081" max="14081" width="18.125" style="1785" customWidth="1"/>
    <col min="14082" max="14088" width="10.625" style="1785" customWidth="1"/>
    <col min="14089" max="14336" width="9" style="1785"/>
    <col min="14337" max="14337" width="18.125" style="1785" customWidth="1"/>
    <col min="14338" max="14344" width="10.625" style="1785" customWidth="1"/>
    <col min="14345" max="14592" width="9" style="1785"/>
    <col min="14593" max="14593" width="18.125" style="1785" customWidth="1"/>
    <col min="14594" max="14600" width="10.625" style="1785" customWidth="1"/>
    <col min="14601" max="14848" width="9" style="1785"/>
    <col min="14849" max="14849" width="18.125" style="1785" customWidth="1"/>
    <col min="14850" max="14856" width="10.625" style="1785" customWidth="1"/>
    <col min="14857" max="15104" width="9" style="1785"/>
    <col min="15105" max="15105" width="18.125" style="1785" customWidth="1"/>
    <col min="15106" max="15112" width="10.625" style="1785" customWidth="1"/>
    <col min="15113" max="15360" width="9" style="1785"/>
    <col min="15361" max="15361" width="18.125" style="1785" customWidth="1"/>
    <col min="15362" max="15368" width="10.625" style="1785" customWidth="1"/>
    <col min="15369" max="15616" width="9" style="1785"/>
    <col min="15617" max="15617" width="18.125" style="1785" customWidth="1"/>
    <col min="15618" max="15624" width="10.625" style="1785" customWidth="1"/>
    <col min="15625" max="15872" width="9" style="1785"/>
    <col min="15873" max="15873" width="18.125" style="1785" customWidth="1"/>
    <col min="15874" max="15880" width="10.625" style="1785" customWidth="1"/>
    <col min="15881" max="16128" width="9" style="1785"/>
    <col min="16129" max="16129" width="18.125" style="1785" customWidth="1"/>
    <col min="16130" max="16136" width="10.625" style="1785" customWidth="1"/>
    <col min="16137" max="16384" width="9" style="1785"/>
  </cols>
  <sheetData>
    <row r="1" spans="1:8" s="1784" customFormat="1" ht="20.25">
      <c r="A1" s="3716" t="s">
        <v>2312</v>
      </c>
      <c r="B1" s="3716"/>
      <c r="C1" s="3716"/>
      <c r="D1" s="3716"/>
      <c r="E1" s="3716"/>
      <c r="F1" s="3716"/>
      <c r="G1" s="3716"/>
      <c r="H1" s="3716"/>
    </row>
    <row r="2" spans="1:8" ht="14.25" customHeight="1">
      <c r="F2" s="1786"/>
      <c r="H2" s="1786" t="s">
        <v>2313</v>
      </c>
    </row>
    <row r="3" spans="1:8" ht="24" customHeight="1">
      <c r="A3" s="3717"/>
      <c r="B3" s="3718" t="s">
        <v>2314</v>
      </c>
      <c r="C3" s="3719" t="s">
        <v>2315</v>
      </c>
      <c r="D3" s="3721" t="s">
        <v>2316</v>
      </c>
      <c r="E3" s="3722"/>
      <c r="F3" s="3722"/>
      <c r="G3" s="3722"/>
      <c r="H3" s="3722"/>
    </row>
    <row r="4" spans="1:8" ht="24" customHeight="1">
      <c r="A4" s="3522"/>
      <c r="B4" s="3523"/>
      <c r="C4" s="3720"/>
      <c r="D4" s="3720"/>
      <c r="E4" s="1787" t="s">
        <v>2317</v>
      </c>
      <c r="F4" s="1788" t="s">
        <v>2318</v>
      </c>
      <c r="G4" s="1788" t="s">
        <v>2319</v>
      </c>
      <c r="H4" s="1788" t="s">
        <v>2320</v>
      </c>
    </row>
    <row r="5" spans="1:8" ht="30" customHeight="1">
      <c r="A5" s="1789" t="s">
        <v>2302</v>
      </c>
      <c r="B5" s="1790">
        <v>29866</v>
      </c>
      <c r="C5" s="1790">
        <v>11230</v>
      </c>
      <c r="D5" s="1790">
        <v>18636</v>
      </c>
      <c r="E5" s="1790">
        <v>3154</v>
      </c>
      <c r="F5" s="1790">
        <v>2682</v>
      </c>
      <c r="G5" s="1790">
        <v>1882</v>
      </c>
      <c r="H5" s="1790">
        <v>7359</v>
      </c>
    </row>
    <row r="6" spans="1:8" ht="30" customHeight="1">
      <c r="A6" s="1789" t="s">
        <v>2321</v>
      </c>
      <c r="B6" s="1790">
        <v>8533</v>
      </c>
      <c r="C6" s="1790">
        <v>8428</v>
      </c>
      <c r="D6" s="1790">
        <v>105</v>
      </c>
      <c r="E6" s="1790">
        <v>56</v>
      </c>
      <c r="F6" s="1790">
        <v>3</v>
      </c>
      <c r="G6" s="1790">
        <v>5</v>
      </c>
      <c r="H6" s="1790">
        <v>10</v>
      </c>
    </row>
    <row r="7" spans="1:8" ht="30" customHeight="1">
      <c r="A7" s="1789" t="s">
        <v>819</v>
      </c>
      <c r="B7" s="1790">
        <v>5698</v>
      </c>
      <c r="C7" s="1790">
        <v>44</v>
      </c>
      <c r="D7" s="1790">
        <v>5654</v>
      </c>
      <c r="E7" s="1790">
        <v>259</v>
      </c>
      <c r="F7" s="1790">
        <v>1469</v>
      </c>
      <c r="G7" s="1790">
        <v>174</v>
      </c>
      <c r="H7" s="1790">
        <v>2539</v>
      </c>
    </row>
    <row r="8" spans="1:8" ht="30" customHeight="1">
      <c r="A8" s="1789" t="s">
        <v>813</v>
      </c>
      <c r="B8" s="1790">
        <v>2819</v>
      </c>
      <c r="C8" s="1790">
        <v>219</v>
      </c>
      <c r="D8" s="1790">
        <v>2600</v>
      </c>
      <c r="E8" s="1790">
        <v>872</v>
      </c>
      <c r="F8" s="1790">
        <v>210</v>
      </c>
      <c r="G8" s="1790">
        <v>365</v>
      </c>
      <c r="H8" s="1790">
        <v>951</v>
      </c>
    </row>
    <row r="9" spans="1:8" ht="30" customHeight="1">
      <c r="A9" s="1789" t="s">
        <v>816</v>
      </c>
      <c r="B9" s="1790">
        <v>2667</v>
      </c>
      <c r="C9" s="1790">
        <v>93</v>
      </c>
      <c r="D9" s="1790">
        <v>2574</v>
      </c>
      <c r="E9" s="1790">
        <v>311</v>
      </c>
      <c r="F9" s="1790">
        <v>188</v>
      </c>
      <c r="G9" s="1790">
        <v>546</v>
      </c>
      <c r="H9" s="1790">
        <v>1024</v>
      </c>
    </row>
    <row r="10" spans="1:8" ht="30" customHeight="1">
      <c r="A10" s="1789" t="s">
        <v>2322</v>
      </c>
      <c r="B10" s="1790">
        <v>2102</v>
      </c>
      <c r="C10" s="1790">
        <v>1380</v>
      </c>
      <c r="D10" s="1790">
        <v>722</v>
      </c>
      <c r="E10" s="1790">
        <v>196</v>
      </c>
      <c r="F10" s="1790">
        <v>44</v>
      </c>
      <c r="G10" s="1790">
        <v>93</v>
      </c>
      <c r="H10" s="1790">
        <v>171</v>
      </c>
    </row>
    <row r="11" spans="1:8" ht="30" customHeight="1">
      <c r="A11" s="1789" t="s">
        <v>815</v>
      </c>
      <c r="B11" s="1790">
        <v>974</v>
      </c>
      <c r="C11" s="1790">
        <v>33</v>
      </c>
      <c r="D11" s="1790">
        <v>941</v>
      </c>
      <c r="E11" s="1790">
        <v>218</v>
      </c>
      <c r="F11" s="1790">
        <v>51</v>
      </c>
      <c r="G11" s="1790">
        <v>83</v>
      </c>
      <c r="H11" s="1790">
        <v>344</v>
      </c>
    </row>
    <row r="12" spans="1:8" ht="30" customHeight="1">
      <c r="A12" s="1789" t="s">
        <v>812</v>
      </c>
      <c r="B12" s="1790">
        <v>893</v>
      </c>
      <c r="C12" s="1790">
        <v>82</v>
      </c>
      <c r="D12" s="1790">
        <v>811</v>
      </c>
      <c r="E12" s="1790">
        <v>58</v>
      </c>
      <c r="F12" s="1790">
        <v>224</v>
      </c>
      <c r="G12" s="1790">
        <v>38</v>
      </c>
      <c r="H12" s="1790">
        <v>140</v>
      </c>
    </row>
    <row r="13" spans="1:8" ht="30" customHeight="1">
      <c r="A13" s="1789" t="s">
        <v>1086</v>
      </c>
      <c r="B13" s="1790">
        <v>618</v>
      </c>
      <c r="C13" s="1790">
        <v>39</v>
      </c>
      <c r="D13" s="1790">
        <v>579</v>
      </c>
      <c r="E13" s="1790">
        <v>92</v>
      </c>
      <c r="F13" s="1790">
        <v>209</v>
      </c>
      <c r="G13" s="1790">
        <v>33</v>
      </c>
      <c r="H13" s="1790">
        <v>201</v>
      </c>
    </row>
    <row r="14" spans="1:8" ht="30" customHeight="1">
      <c r="A14" s="1789" t="s">
        <v>2323</v>
      </c>
      <c r="B14" s="1790">
        <v>536</v>
      </c>
      <c r="C14" s="1790">
        <v>163</v>
      </c>
      <c r="D14" s="1790">
        <v>373</v>
      </c>
      <c r="E14" s="1790">
        <v>82</v>
      </c>
      <c r="F14" s="1790">
        <v>28</v>
      </c>
      <c r="G14" s="1790">
        <v>29</v>
      </c>
      <c r="H14" s="1790">
        <v>212</v>
      </c>
    </row>
    <row r="15" spans="1:8" ht="30" customHeight="1">
      <c r="A15" s="1789" t="s">
        <v>2324</v>
      </c>
      <c r="B15" s="1790">
        <v>373</v>
      </c>
      <c r="C15" s="1790">
        <v>13</v>
      </c>
      <c r="D15" s="1790">
        <v>360</v>
      </c>
      <c r="E15" s="1790">
        <v>38</v>
      </c>
      <c r="F15" s="1790">
        <v>38</v>
      </c>
      <c r="G15" s="1790">
        <v>60</v>
      </c>
      <c r="H15" s="1790">
        <v>156</v>
      </c>
    </row>
    <row r="16" spans="1:8" ht="30" customHeight="1">
      <c r="A16" s="1789" t="s">
        <v>2325</v>
      </c>
      <c r="B16" s="1790">
        <v>308</v>
      </c>
      <c r="C16" s="1790">
        <v>184</v>
      </c>
      <c r="D16" s="1790">
        <v>124</v>
      </c>
      <c r="E16" s="1790">
        <v>123</v>
      </c>
      <c r="F16" s="1790">
        <v>0</v>
      </c>
      <c r="G16" s="1790">
        <v>1</v>
      </c>
      <c r="H16" s="1790">
        <v>0</v>
      </c>
    </row>
    <row r="17" spans="1:9" ht="30" customHeight="1">
      <c r="A17" s="1791" t="s">
        <v>2326</v>
      </c>
      <c r="B17" s="1792">
        <v>4345</v>
      </c>
      <c r="C17" s="1792">
        <v>552</v>
      </c>
      <c r="D17" s="1792">
        <v>3793</v>
      </c>
      <c r="E17" s="1792">
        <v>849</v>
      </c>
      <c r="F17" s="1792">
        <v>218</v>
      </c>
      <c r="G17" s="1792">
        <v>455</v>
      </c>
      <c r="H17" s="1792">
        <v>1611</v>
      </c>
    </row>
    <row r="18" spans="1:9" s="1602" customFormat="1" ht="14.25">
      <c r="A18" s="1793" t="s">
        <v>925</v>
      </c>
      <c r="B18" s="1794"/>
      <c r="C18" s="1794"/>
      <c r="D18" s="1794"/>
      <c r="E18" s="1794"/>
      <c r="F18" s="1794"/>
      <c r="G18" s="1794"/>
      <c r="H18" s="1794"/>
      <c r="I18" s="1794"/>
    </row>
    <row r="19" spans="1:9">
      <c r="A19" s="1602" t="s">
        <v>2327</v>
      </c>
      <c r="B19" s="1795"/>
      <c r="C19" s="1795"/>
      <c r="D19" s="1795"/>
      <c r="E19" s="1795"/>
      <c r="F19" s="1795"/>
      <c r="G19" s="1795"/>
      <c r="H19" s="1795"/>
      <c r="I19" s="1795"/>
    </row>
    <row r="20" spans="1:9">
      <c r="A20" s="1602" t="s">
        <v>2328</v>
      </c>
      <c r="B20" s="1795"/>
      <c r="C20" s="1795"/>
      <c r="D20" s="1795"/>
      <c r="E20" s="1795"/>
      <c r="F20" s="1795"/>
      <c r="G20" s="1795"/>
      <c r="H20" s="1795"/>
      <c r="I20" s="1795"/>
    </row>
  </sheetData>
  <mergeCells count="6">
    <mergeCell ref="A1:H1"/>
    <mergeCell ref="A3:A4"/>
    <mergeCell ref="B3:B4"/>
    <mergeCell ref="C3:C4"/>
    <mergeCell ref="D3:D4"/>
    <mergeCell ref="E3:H3"/>
  </mergeCells>
  <phoneticPr fontId="61" type="noConversion"/>
  <printOptions horizontalCentered="1" verticalCentered="1"/>
  <pageMargins left="0.39370078740157483" right="0.39370078740157483" top="0.74803149606299213" bottom="0.74803149606299213" header="0.31496062992125984" footer="0.31496062992125984"/>
  <pageSetup paperSize="11" scale="63" orientation="landscape" r:id="rId1"/>
  <headerFooter differentOddEven="1" scaleWithDoc="0">
    <oddHeader>&amp;L&amp;"Times New Roman,標準"&amp;8 107&amp;"標楷體,標準"年犯罪狀況及其分析</oddHeader>
    <evenHeader>&amp;R&amp;"標楷體,標準"&amp;8第二篇　犯罪之處理</even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H22"/>
  <sheetViews>
    <sheetView showGridLines="0" showRuler="0" zoomScale="130" zoomScaleNormal="130" zoomScalePageLayoutView="125" workbookViewId="0">
      <selection activeCell="D21" sqref="D21"/>
    </sheetView>
  </sheetViews>
  <sheetFormatPr defaultColWidth="9" defaultRowHeight="20.100000000000001" customHeight="1"/>
  <cols>
    <col min="1" max="1" width="9.125" style="1785" customWidth="1"/>
    <col min="2" max="7" width="13.625" style="1785" customWidth="1"/>
    <col min="8" max="16384" width="9" style="1785"/>
  </cols>
  <sheetData>
    <row r="1" spans="1:8" ht="20.100000000000001" customHeight="1">
      <c r="A1" s="3724" t="s">
        <v>2329</v>
      </c>
      <c r="B1" s="3724"/>
      <c r="C1" s="3724"/>
      <c r="D1" s="3724"/>
      <c r="E1" s="3724"/>
      <c r="F1" s="3724"/>
      <c r="G1" s="3724"/>
    </row>
    <row r="2" spans="1:8" ht="20.100000000000001" customHeight="1">
      <c r="A2" s="1796"/>
      <c r="B2" s="1797"/>
      <c r="C2" s="1797"/>
      <c r="D2" s="1797"/>
      <c r="E2" s="1797"/>
      <c r="F2" s="3725" t="s">
        <v>2330</v>
      </c>
      <c r="G2" s="3725"/>
    </row>
    <row r="3" spans="1:8" ht="20.100000000000001" customHeight="1">
      <c r="A3" s="3726" t="s">
        <v>2331</v>
      </c>
      <c r="B3" s="3728" t="s">
        <v>2332</v>
      </c>
      <c r="C3" s="3728"/>
      <c r="D3" s="3729"/>
      <c r="E3" s="3728" t="s">
        <v>2333</v>
      </c>
      <c r="F3" s="3728"/>
      <c r="G3" s="3728"/>
    </row>
    <row r="4" spans="1:8" ht="20.100000000000001" customHeight="1">
      <c r="A4" s="3727"/>
      <c r="B4" s="1798" t="s">
        <v>2334</v>
      </c>
      <c r="C4" s="1799" t="s">
        <v>2335</v>
      </c>
      <c r="D4" s="1800" t="s">
        <v>2336</v>
      </c>
      <c r="E4" s="1798" t="s">
        <v>2334</v>
      </c>
      <c r="F4" s="1798" t="s">
        <v>2337</v>
      </c>
      <c r="G4" s="1801" t="s">
        <v>2336</v>
      </c>
    </row>
    <row r="5" spans="1:8" ht="20.100000000000001" hidden="1" customHeight="1">
      <c r="A5" s="1802" t="s">
        <v>2338</v>
      </c>
      <c r="B5" s="1803">
        <v>1948681</v>
      </c>
      <c r="C5" s="1804">
        <f>372+8691-240</f>
        <v>8823</v>
      </c>
      <c r="D5" s="1805">
        <f t="shared" ref="D5:D7" si="0">C5/B5*100000</f>
        <v>452.76779524201243</v>
      </c>
      <c r="E5" s="1806">
        <v>17527455</v>
      </c>
      <c r="F5" s="1804">
        <f>126978-329</f>
        <v>126649</v>
      </c>
      <c r="G5" s="1807">
        <f t="shared" ref="G5:G16" si="1">F5/E5*100000</f>
        <v>722.57495454987611</v>
      </c>
    </row>
    <row r="6" spans="1:8" ht="20.100000000000001" hidden="1" customHeight="1">
      <c r="A6" s="1802" t="s">
        <v>2339</v>
      </c>
      <c r="B6" s="1803">
        <v>1930184</v>
      </c>
      <c r="C6" s="1804">
        <f>9600+336-872-239</f>
        <v>8825</v>
      </c>
      <c r="D6" s="1805">
        <f t="shared" si="0"/>
        <v>457.21029704940042</v>
      </c>
      <c r="E6" s="1806">
        <v>17769346</v>
      </c>
      <c r="F6" s="1804">
        <f>145741-249</f>
        <v>145492</v>
      </c>
      <c r="G6" s="1807">
        <f t="shared" si="1"/>
        <v>818.78083751647353</v>
      </c>
    </row>
    <row r="7" spans="1:8" ht="20.100000000000001" customHeight="1">
      <c r="A7" s="1802" t="s">
        <v>2340</v>
      </c>
      <c r="B7" s="1808">
        <v>1910558</v>
      </c>
      <c r="C7" s="1809">
        <v>11102</v>
      </c>
      <c r="D7" s="1810">
        <f t="shared" si="0"/>
        <v>581.08678197678375</v>
      </c>
      <c r="E7" s="1811">
        <v>18470486</v>
      </c>
      <c r="F7" s="1812">
        <v>257763</v>
      </c>
      <c r="G7" s="1813">
        <f t="shared" si="1"/>
        <v>1395.5398899628306</v>
      </c>
    </row>
    <row r="8" spans="1:8" ht="20.100000000000001" customHeight="1">
      <c r="A8" s="1802" t="s">
        <v>2341</v>
      </c>
      <c r="B8" s="1808">
        <v>1862512</v>
      </c>
      <c r="C8" s="1809">
        <v>13103</v>
      </c>
      <c r="D8" s="1810">
        <f>C8/B8*100000</f>
        <v>703.51224582714099</v>
      </c>
      <c r="E8" s="1811">
        <v>18660959</v>
      </c>
      <c r="F8" s="1812">
        <v>246716</v>
      </c>
      <c r="G8" s="1813">
        <f t="shared" si="1"/>
        <v>1322.0971119437108</v>
      </c>
    </row>
    <row r="9" spans="1:8" ht="20.100000000000001" customHeight="1">
      <c r="A9" s="1802" t="s">
        <v>2342</v>
      </c>
      <c r="B9" s="1814">
        <v>1832716</v>
      </c>
      <c r="C9" s="1815">
        <v>15078</v>
      </c>
      <c r="D9" s="1810">
        <f>C9/B9*100000</f>
        <v>822.71339367365158</v>
      </c>
      <c r="E9" s="1811">
        <v>18845589</v>
      </c>
      <c r="F9" s="1812">
        <v>246343</v>
      </c>
      <c r="G9" s="1813">
        <f t="shared" si="1"/>
        <v>1307.1653000604015</v>
      </c>
    </row>
    <row r="10" spans="1:8" ht="20.100000000000001" customHeight="1">
      <c r="A10" s="1802" t="s">
        <v>2343</v>
      </c>
      <c r="B10" s="1814">
        <v>1791110</v>
      </c>
      <c r="C10" s="1815">
        <v>12038</v>
      </c>
      <c r="D10" s="1810">
        <f>C10/B10*100000</f>
        <v>672.09719112728976</v>
      </c>
      <c r="E10" s="1811">
        <v>19025376</v>
      </c>
      <c r="F10" s="1812">
        <v>242635</v>
      </c>
      <c r="G10" s="1813">
        <f t="shared" si="1"/>
        <v>1275.3230212112496</v>
      </c>
    </row>
    <row r="11" spans="1:8" ht="20.100000000000001" customHeight="1">
      <c r="A11" s="1802" t="s">
        <v>2344</v>
      </c>
      <c r="B11" s="1814">
        <v>1719628</v>
      </c>
      <c r="C11" s="1815">
        <v>10969</v>
      </c>
      <c r="D11" s="1810">
        <f>C11/B11*100000</f>
        <v>637.87051618140663</v>
      </c>
      <c r="E11" s="1811">
        <v>19199546</v>
      </c>
      <c r="F11" s="1812">
        <v>250029</v>
      </c>
      <c r="G11" s="1813">
        <f t="shared" si="1"/>
        <v>1302.2651681451218</v>
      </c>
    </row>
    <row r="12" spans="1:8" s="1816" customFormat="1" ht="20.100000000000001" customHeight="1">
      <c r="A12" s="1802" t="s">
        <v>2345</v>
      </c>
      <c r="B12" s="1814">
        <v>1634004</v>
      </c>
      <c r="C12" s="1815">
        <v>11002</v>
      </c>
      <c r="D12" s="1810">
        <f>C12/B12*100000</f>
        <v>673.31536520106442</v>
      </c>
      <c r="E12" s="1811">
        <v>19366339</v>
      </c>
      <c r="F12" s="1812">
        <v>257794</v>
      </c>
      <c r="G12" s="1813">
        <f t="shared" si="1"/>
        <v>1331.1447248754657</v>
      </c>
    </row>
    <row r="13" spans="1:8" s="1816" customFormat="1" ht="20.100000000000001" customHeight="1">
      <c r="A13" s="1802" t="s">
        <v>2346</v>
      </c>
      <c r="B13" s="1814">
        <v>1561916</v>
      </c>
      <c r="C13" s="1815">
        <v>9775</v>
      </c>
      <c r="D13" s="1810">
        <f t="shared" ref="D13:D16" si="2">C13/B13*100000</f>
        <v>625.8339116828306</v>
      </c>
      <c r="E13" s="1811">
        <v>19500665</v>
      </c>
      <c r="F13" s="1812">
        <v>262585</v>
      </c>
      <c r="G13" s="1813">
        <f t="shared" si="1"/>
        <v>1346.5438229927031</v>
      </c>
    </row>
    <row r="14" spans="1:8" s="1816" customFormat="1" ht="20.100000000000001" customHeight="1">
      <c r="A14" s="1802" t="s">
        <v>2347</v>
      </c>
      <c r="B14" s="1809">
        <v>1500217</v>
      </c>
      <c r="C14" s="1815">
        <v>10499</v>
      </c>
      <c r="D14" s="1810">
        <f t="shared" si="2"/>
        <v>699.83209095750817</v>
      </c>
      <c r="E14" s="1811">
        <v>19611597</v>
      </c>
      <c r="F14" s="1812">
        <v>276321</v>
      </c>
      <c r="G14" s="1813">
        <f t="shared" si="1"/>
        <v>1408.9673574263227</v>
      </c>
    </row>
    <row r="15" spans="1:8" s="1816" customFormat="1" ht="20.100000000000001" customHeight="1">
      <c r="A15" s="1817" t="s">
        <v>2348</v>
      </c>
      <c r="B15" s="1818">
        <v>1413345</v>
      </c>
      <c r="C15" s="1815">
        <v>8893</v>
      </c>
      <c r="D15" s="1810">
        <f t="shared" si="2"/>
        <v>629.21650410904624</v>
      </c>
      <c r="E15" s="1819">
        <v>19740490</v>
      </c>
      <c r="F15" s="1812">
        <v>282328</v>
      </c>
      <c r="G15" s="1813">
        <f t="shared" si="1"/>
        <v>1430.1975280248869</v>
      </c>
    </row>
    <row r="16" spans="1:8" ht="20.100000000000001" customHeight="1">
      <c r="A16" s="1820" t="s">
        <v>2349</v>
      </c>
      <c r="B16" s="1821">
        <v>1338302</v>
      </c>
      <c r="C16" s="1822">
        <v>9441</v>
      </c>
      <c r="D16" s="1823">
        <f t="shared" si="2"/>
        <v>705.44615490375111</v>
      </c>
      <c r="E16" s="1824">
        <v>19855664</v>
      </c>
      <c r="F16" s="1812">
        <v>267781</v>
      </c>
      <c r="G16" s="1825">
        <f t="shared" si="1"/>
        <v>1348.6378496332331</v>
      </c>
      <c r="H16" s="1826"/>
    </row>
    <row r="17" spans="1:8" ht="15.75">
      <c r="A17" s="1827" t="s">
        <v>2350</v>
      </c>
      <c r="B17" s="1828" t="s">
        <v>2351</v>
      </c>
      <c r="C17" s="1827"/>
      <c r="D17" s="1827"/>
      <c r="E17" s="1827"/>
      <c r="F17" s="1827"/>
      <c r="G17" s="1827"/>
      <c r="H17" s="1829"/>
    </row>
    <row r="18" spans="1:8" ht="15.75">
      <c r="A18" s="1830" t="s">
        <v>2352</v>
      </c>
      <c r="B18" s="3723" t="s">
        <v>2353</v>
      </c>
      <c r="C18" s="3723"/>
      <c r="D18" s="3723"/>
      <c r="E18" s="1830"/>
      <c r="F18" s="1830"/>
      <c r="G18" s="1830"/>
    </row>
    <row r="19" spans="1:8" ht="15.75"/>
    <row r="22" spans="1:8" ht="20.100000000000001" customHeight="1">
      <c r="C22" s="1831"/>
    </row>
  </sheetData>
  <mergeCells count="6">
    <mergeCell ref="B18:D18"/>
    <mergeCell ref="A1:G1"/>
    <mergeCell ref="F2:G2"/>
    <mergeCell ref="A3:A4"/>
    <mergeCell ref="B3:D3"/>
    <mergeCell ref="E3:G3"/>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95"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D17"/>
  <sheetViews>
    <sheetView showGridLines="0" workbookViewId="0">
      <selection activeCell="A13" sqref="A13:B13"/>
    </sheetView>
  </sheetViews>
  <sheetFormatPr defaultColWidth="6.125" defaultRowHeight="15.75"/>
  <cols>
    <col min="1" max="1" width="10.125" style="31" customWidth="1"/>
    <col min="2" max="2" width="25.875" style="28" customWidth="1"/>
    <col min="3" max="3" width="16.625" style="28" customWidth="1"/>
    <col min="4" max="16384" width="6.125" style="28"/>
  </cols>
  <sheetData>
    <row r="1" spans="1:4" s="42" customFormat="1" ht="19.5" customHeight="1">
      <c r="A1" s="2891" t="s">
        <v>66</v>
      </c>
      <c r="B1" s="2891"/>
      <c r="C1" s="41"/>
    </row>
    <row r="2" spans="1:4" ht="18.75" customHeight="1">
      <c r="A2" s="169"/>
      <c r="B2" s="292" t="s">
        <v>67</v>
      </c>
      <c r="C2" s="29"/>
    </row>
    <row r="3" spans="1:4" ht="18.75" customHeight="1">
      <c r="A3" s="171" t="s">
        <v>68</v>
      </c>
      <c r="B3" s="39">
        <v>6128686617</v>
      </c>
      <c r="C3" s="29"/>
    </row>
    <row r="4" spans="1:4" ht="18.75" customHeight="1">
      <c r="A4" s="171" t="s">
        <v>69</v>
      </c>
      <c r="B4" s="39">
        <v>4880102556</v>
      </c>
      <c r="C4" s="29"/>
    </row>
    <row r="5" spans="1:4" ht="18.75" customHeight="1">
      <c r="A5" s="171" t="s">
        <v>70</v>
      </c>
      <c r="B5" s="39">
        <v>4261445068</v>
      </c>
      <c r="C5" s="29"/>
    </row>
    <row r="6" spans="1:4" ht="18.75" customHeight="1">
      <c r="A6" s="171" t="s">
        <v>71</v>
      </c>
      <c r="B6" s="39">
        <v>3705831144</v>
      </c>
      <c r="C6" s="29"/>
    </row>
    <row r="7" spans="1:4" ht="18.75" customHeight="1">
      <c r="A7" s="170" t="s">
        <v>72</v>
      </c>
      <c r="B7" s="39">
        <v>3379822624</v>
      </c>
      <c r="C7" s="29"/>
    </row>
    <row r="8" spans="1:4" ht="18.75" customHeight="1">
      <c r="A8" s="170" t="s">
        <v>73</v>
      </c>
      <c r="B8" s="39">
        <v>3560788279</v>
      </c>
      <c r="C8" s="29"/>
    </row>
    <row r="9" spans="1:4" ht="18.75" customHeight="1">
      <c r="A9" s="170" t="s">
        <v>74</v>
      </c>
      <c r="B9" s="39">
        <v>3831614687</v>
      </c>
      <c r="C9" s="29"/>
    </row>
    <row r="10" spans="1:4" ht="18.75" customHeight="1">
      <c r="A10" s="170" t="s">
        <v>75</v>
      </c>
      <c r="B10" s="39">
        <v>4047910039</v>
      </c>
      <c r="C10" s="29"/>
    </row>
    <row r="11" spans="1:4" ht="18.75" customHeight="1">
      <c r="A11" s="170" t="s">
        <v>76</v>
      </c>
      <c r="B11" s="39">
        <v>3969141892</v>
      </c>
      <c r="C11" s="29"/>
    </row>
    <row r="12" spans="1:4" ht="18.75" customHeight="1">
      <c r="A12" s="172" t="s">
        <v>77</v>
      </c>
      <c r="B12" s="40">
        <v>4293483761</v>
      </c>
      <c r="C12" s="29"/>
    </row>
    <row r="13" spans="1:4">
      <c r="A13" s="2889" t="s">
        <v>435</v>
      </c>
      <c r="B13" s="2890"/>
      <c r="C13" s="29"/>
    </row>
    <row r="14" spans="1:4">
      <c r="A14" s="173"/>
      <c r="B14" s="36"/>
      <c r="C14" s="29"/>
      <c r="D14" s="29"/>
    </row>
    <row r="15" spans="1:4">
      <c r="A15" s="174"/>
      <c r="B15" s="36"/>
      <c r="D15" s="29"/>
    </row>
    <row r="16" spans="1:4">
      <c r="A16" s="174"/>
      <c r="B16" s="36"/>
    </row>
    <row r="17" spans="2:2" s="31" customFormat="1">
      <c r="B17" s="30"/>
    </row>
  </sheetData>
  <mergeCells count="2">
    <mergeCell ref="A13:B13"/>
    <mergeCell ref="A1:B1"/>
  </mergeCells>
  <phoneticPr fontId="6" type="noConversion"/>
  <printOptions horizontalCentered="1" verticalCentered="1"/>
  <pageMargins left="0.70866141732283472" right="0.70866141732283472" top="0.74803149606299213" bottom="0.74803149606299213" header="0.31496062992125984" footer="0.31496062992125984"/>
  <pageSetup paperSize="11" orientation="landscape" r:id="rId1"/>
  <headerFooter differentOddEven="1" scaleWithDoc="0">
    <oddHeader>&amp;L&amp;"Times New Roman,標準"&amp;8 107&amp;"標楷體,標準"年犯罪狀況及其分析</oddHeader>
    <evenHeader>&amp;R&amp;"標楷體,標準"&amp;8第一篇　&amp;"Times New Roman,標準"107&amp;"標楷體,標準"年犯罪狀況及近&amp;"Times New Roman,標準"10&amp;"標楷體,標準"年犯罪趨勢分析</even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U50"/>
  <sheetViews>
    <sheetView showGridLines="0" zoomScale="91" zoomScaleNormal="100" workbookViewId="0">
      <pane xSplit="1" topLeftCell="B1" activePane="topRight" state="frozen"/>
      <selection activeCell="B18" sqref="B18:D18"/>
      <selection pane="topRight" activeCell="B18" sqref="B18:D18"/>
    </sheetView>
  </sheetViews>
  <sheetFormatPr defaultColWidth="9" defaultRowHeight="15.75"/>
  <cols>
    <col min="1" max="1" width="23.125" style="1785" customWidth="1"/>
    <col min="2" max="2" width="8.125" style="1858" customWidth="1"/>
    <col min="3" max="3" width="9" style="1857"/>
    <col min="4" max="4" width="8.125" style="1858" customWidth="1"/>
    <col min="5" max="5" width="9" style="1857"/>
    <col min="6" max="6" width="8.125" style="1858" customWidth="1"/>
    <col min="7" max="7" width="9" style="1857"/>
    <col min="8" max="8" width="8.125" style="1858" customWidth="1"/>
    <col min="9" max="9" width="9" style="1795"/>
    <col min="10" max="10" width="8.125" style="1858" customWidth="1"/>
    <col min="11" max="11" width="9" style="1795"/>
    <col min="12" max="12" width="8.125" style="1858" customWidth="1"/>
    <col min="13" max="13" width="9" style="1795"/>
    <col min="14" max="14" width="8.125" style="1858" customWidth="1"/>
    <col min="15" max="15" width="9" style="1795"/>
    <col min="16" max="16" width="8.125" style="1858" customWidth="1"/>
    <col min="17" max="17" width="9" style="1795"/>
    <col min="18" max="18" width="8.125" style="1858" customWidth="1"/>
    <col min="19" max="19" width="9" style="1795"/>
    <col min="20" max="20" width="8.125" style="1858" customWidth="1"/>
    <col min="21" max="16384" width="9" style="1795"/>
  </cols>
  <sheetData>
    <row r="1" spans="1:21" ht="26.25" customHeight="1">
      <c r="A1" s="3733" t="s">
        <v>2354</v>
      </c>
      <c r="B1" s="3733"/>
      <c r="C1" s="3733"/>
      <c r="D1" s="3733"/>
      <c r="E1" s="3733"/>
      <c r="F1" s="3733"/>
      <c r="G1" s="3733"/>
      <c r="H1" s="3733"/>
      <c r="I1" s="3733"/>
      <c r="J1" s="3733"/>
      <c r="K1" s="3733"/>
      <c r="L1" s="3733"/>
      <c r="M1" s="3733"/>
      <c r="N1" s="3733"/>
      <c r="O1" s="3733"/>
      <c r="P1" s="3733"/>
      <c r="Q1" s="3733"/>
      <c r="R1" s="3733"/>
      <c r="S1" s="3733"/>
      <c r="T1" s="3733"/>
      <c r="U1" s="3733"/>
    </row>
    <row r="2" spans="1:21" ht="16.5">
      <c r="A2" s="1832"/>
      <c r="B2" s="3722" t="s">
        <v>2355</v>
      </c>
      <c r="C2" s="3734" t="s">
        <v>2356</v>
      </c>
      <c r="D2" s="3730" t="s">
        <v>2357</v>
      </c>
      <c r="E2" s="3734" t="s">
        <v>2358</v>
      </c>
      <c r="F2" s="3730" t="s">
        <v>2359</v>
      </c>
      <c r="G2" s="3734" t="s">
        <v>2358</v>
      </c>
      <c r="H2" s="3730" t="s">
        <v>2360</v>
      </c>
      <c r="I2" s="3734" t="s">
        <v>2358</v>
      </c>
      <c r="J2" s="3730" t="s">
        <v>2361</v>
      </c>
      <c r="K2" s="3734" t="s">
        <v>2358</v>
      </c>
      <c r="L2" s="3730" t="s">
        <v>2362</v>
      </c>
      <c r="M2" s="3734" t="s">
        <v>2358</v>
      </c>
      <c r="N2" s="3730" t="s">
        <v>2363</v>
      </c>
      <c r="O2" s="3734" t="s">
        <v>2356</v>
      </c>
      <c r="P2" s="3730" t="s">
        <v>2364</v>
      </c>
      <c r="Q2" s="3734" t="s">
        <v>2356</v>
      </c>
      <c r="R2" s="3730" t="s">
        <v>2365</v>
      </c>
      <c r="S2" s="3734" t="s">
        <v>2356</v>
      </c>
      <c r="T2" s="3730" t="s">
        <v>2366</v>
      </c>
      <c r="U2" s="3722" t="s">
        <v>2358</v>
      </c>
    </row>
    <row r="3" spans="1:21">
      <c r="A3" s="1833"/>
      <c r="B3" s="1834" t="s">
        <v>2367</v>
      </c>
      <c r="C3" s="1835" t="s">
        <v>2368</v>
      </c>
      <c r="D3" s="1835" t="s">
        <v>2367</v>
      </c>
      <c r="E3" s="1835" t="s">
        <v>2369</v>
      </c>
      <c r="F3" s="1835" t="s">
        <v>2370</v>
      </c>
      <c r="G3" s="1835" t="s">
        <v>2371</v>
      </c>
      <c r="H3" s="1835" t="s">
        <v>2367</v>
      </c>
      <c r="I3" s="1835" t="s">
        <v>2372</v>
      </c>
      <c r="J3" s="1835" t="s">
        <v>2367</v>
      </c>
      <c r="K3" s="1835" t="s">
        <v>2102</v>
      </c>
      <c r="L3" s="1835" t="s">
        <v>2370</v>
      </c>
      <c r="M3" s="1835" t="s">
        <v>2102</v>
      </c>
      <c r="N3" s="1835" t="s">
        <v>2370</v>
      </c>
      <c r="O3" s="1835" t="s">
        <v>2373</v>
      </c>
      <c r="P3" s="1835" t="s">
        <v>2367</v>
      </c>
      <c r="Q3" s="1835" t="s">
        <v>2373</v>
      </c>
      <c r="R3" s="1835" t="s">
        <v>2367</v>
      </c>
      <c r="S3" s="1835" t="s">
        <v>2102</v>
      </c>
      <c r="T3" s="1835" t="s">
        <v>2374</v>
      </c>
      <c r="U3" s="1836" t="s">
        <v>2102</v>
      </c>
    </row>
    <row r="4" spans="1:21" ht="18" customHeight="1">
      <c r="A4" s="299" t="s">
        <v>2375</v>
      </c>
      <c r="B4" s="1837">
        <v>11102</v>
      </c>
      <c r="C4" s="1838">
        <f t="shared" ref="C4:C14" si="0">B4/B$4*100</f>
        <v>100</v>
      </c>
      <c r="D4" s="1837">
        <v>13103</v>
      </c>
      <c r="E4" s="1838">
        <f t="shared" ref="E4:E37" si="1">D4/D$4*100</f>
        <v>100</v>
      </c>
      <c r="F4" s="1837">
        <v>15078</v>
      </c>
      <c r="G4" s="1838">
        <f t="shared" ref="G4:G38" si="2">F4/F$4*100</f>
        <v>100</v>
      </c>
      <c r="H4" s="1837">
        <v>12038</v>
      </c>
      <c r="I4" s="1838">
        <f t="shared" ref="I4:I33" si="3">H4/H$4*100</f>
        <v>100</v>
      </c>
      <c r="J4" s="1839">
        <v>10969</v>
      </c>
      <c r="K4" s="1838">
        <f t="shared" ref="K4:K39" si="4">J4/J$4*100</f>
        <v>100</v>
      </c>
      <c r="L4" s="1839">
        <v>11002</v>
      </c>
      <c r="M4" s="1838">
        <f t="shared" ref="M4:M36" si="5">L4/L$4*100</f>
        <v>100</v>
      </c>
      <c r="N4" s="1839">
        <v>9775</v>
      </c>
      <c r="O4" s="1838">
        <f t="shared" ref="O4:O35" si="6">N4/N$4*100</f>
        <v>100</v>
      </c>
      <c r="P4" s="1839">
        <v>10499</v>
      </c>
      <c r="Q4" s="1838">
        <f t="shared" ref="Q4:Q33" si="7">P4/P$4*100</f>
        <v>100</v>
      </c>
      <c r="R4" s="1839">
        <v>8893</v>
      </c>
      <c r="S4" s="1840">
        <f t="shared" ref="S4:S33" si="8">R4/R$4*100</f>
        <v>100</v>
      </c>
      <c r="T4" s="1839">
        <v>9441</v>
      </c>
      <c r="U4" s="1840">
        <f t="shared" ref="U4:U42" si="9">T4/T$4*100</f>
        <v>100</v>
      </c>
    </row>
    <row r="5" spans="1:21" ht="18" customHeight="1">
      <c r="A5" s="299" t="s">
        <v>2376</v>
      </c>
      <c r="B5" s="1841">
        <v>4086</v>
      </c>
      <c r="C5" s="1842">
        <f t="shared" si="0"/>
        <v>36.804179427130244</v>
      </c>
      <c r="D5" s="1843">
        <v>4053</v>
      </c>
      <c r="E5" s="1842">
        <f t="shared" si="1"/>
        <v>30.931847668472866</v>
      </c>
      <c r="F5" s="1843">
        <v>4368</v>
      </c>
      <c r="G5" s="1842">
        <f t="shared" si="2"/>
        <v>28.969359331476323</v>
      </c>
      <c r="H5" s="1841">
        <v>3385</v>
      </c>
      <c r="I5" s="1842">
        <f t="shared" si="3"/>
        <v>28.119288918424989</v>
      </c>
      <c r="J5" s="1844">
        <v>3155</v>
      </c>
      <c r="K5" s="1842">
        <f t="shared" si="4"/>
        <v>28.762877199380071</v>
      </c>
      <c r="L5" s="1844">
        <v>2741</v>
      </c>
      <c r="M5" s="1842">
        <f t="shared" si="5"/>
        <v>24.913652063261225</v>
      </c>
      <c r="N5" s="1844">
        <v>2111</v>
      </c>
      <c r="O5" s="1842">
        <f t="shared" si="6"/>
        <v>21.595907928388748</v>
      </c>
      <c r="P5" s="1844">
        <v>1823</v>
      </c>
      <c r="Q5" s="1842">
        <f t="shared" si="7"/>
        <v>17.363558434136582</v>
      </c>
      <c r="R5" s="1844">
        <v>1795</v>
      </c>
      <c r="S5" s="1845">
        <f t="shared" si="8"/>
        <v>20.184414708197458</v>
      </c>
      <c r="T5" s="1844">
        <v>1838</v>
      </c>
      <c r="U5" s="1845">
        <f t="shared" si="9"/>
        <v>19.468276665607455</v>
      </c>
    </row>
    <row r="6" spans="1:21" ht="18" customHeight="1">
      <c r="A6" s="299" t="s">
        <v>2377</v>
      </c>
      <c r="B6" s="1841">
        <v>503</v>
      </c>
      <c r="C6" s="1842">
        <f t="shared" si="0"/>
        <v>4.5307151864528912</v>
      </c>
      <c r="D6" s="1843">
        <v>536</v>
      </c>
      <c r="E6" s="1842">
        <f t="shared" si="1"/>
        <v>4.0906662596351975</v>
      </c>
      <c r="F6" s="1841">
        <v>752</v>
      </c>
      <c r="G6" s="1842">
        <f t="shared" si="2"/>
        <v>4.9873988592651548</v>
      </c>
      <c r="H6" s="1841">
        <v>650</v>
      </c>
      <c r="I6" s="1842">
        <f t="shared" si="3"/>
        <v>5.3995680345572357</v>
      </c>
      <c r="J6" s="1844">
        <v>563</v>
      </c>
      <c r="K6" s="1842">
        <f t="shared" si="4"/>
        <v>5.1326465493663962</v>
      </c>
      <c r="L6" s="1844">
        <v>806</v>
      </c>
      <c r="M6" s="1842">
        <f t="shared" si="5"/>
        <v>7.3259407380476276</v>
      </c>
      <c r="N6" s="1844">
        <v>957</v>
      </c>
      <c r="O6" s="1842">
        <f t="shared" si="6"/>
        <v>9.7902813299232747</v>
      </c>
      <c r="P6" s="1844">
        <v>1342</v>
      </c>
      <c r="Q6" s="1842">
        <f t="shared" si="7"/>
        <v>12.782169730450518</v>
      </c>
      <c r="R6" s="1844">
        <v>1381</v>
      </c>
      <c r="S6" s="1845">
        <f t="shared" si="8"/>
        <v>15.529067806139659</v>
      </c>
      <c r="T6" s="1844">
        <v>1629</v>
      </c>
      <c r="U6" s="1845">
        <f t="shared" si="9"/>
        <v>17.254528122020972</v>
      </c>
    </row>
    <row r="7" spans="1:21" ht="18" customHeight="1">
      <c r="A7" s="299" t="s">
        <v>2378</v>
      </c>
      <c r="B7" s="1841">
        <v>1228</v>
      </c>
      <c r="C7" s="1842">
        <f t="shared" si="0"/>
        <v>11.061070077463519</v>
      </c>
      <c r="D7" s="1843">
        <v>2186</v>
      </c>
      <c r="E7" s="1842">
        <f t="shared" si="1"/>
        <v>16.683202320079371</v>
      </c>
      <c r="F7" s="1846">
        <v>2424</v>
      </c>
      <c r="G7" s="1842">
        <f t="shared" si="2"/>
        <v>16.076402705929169</v>
      </c>
      <c r="H7" s="1841">
        <v>1660</v>
      </c>
      <c r="I7" s="1842">
        <f t="shared" si="3"/>
        <v>13.789666057484631</v>
      </c>
      <c r="J7" s="1844">
        <v>1453</v>
      </c>
      <c r="K7" s="1842">
        <f t="shared" si="4"/>
        <v>13.246421733977574</v>
      </c>
      <c r="L7" s="1844">
        <v>1220</v>
      </c>
      <c r="M7" s="1842">
        <f t="shared" si="5"/>
        <v>11.088892928558444</v>
      </c>
      <c r="N7" s="1844">
        <v>1224</v>
      </c>
      <c r="O7" s="1842">
        <f t="shared" si="6"/>
        <v>12.521739130434783</v>
      </c>
      <c r="P7" s="1844">
        <v>1250</v>
      </c>
      <c r="Q7" s="1842">
        <f t="shared" si="7"/>
        <v>11.905895799599962</v>
      </c>
      <c r="R7" s="1844">
        <v>1098</v>
      </c>
      <c r="S7" s="1845">
        <f t="shared" si="8"/>
        <v>12.346789609805466</v>
      </c>
      <c r="T7" s="1844">
        <v>1283</v>
      </c>
      <c r="U7" s="1845">
        <f t="shared" si="9"/>
        <v>13.589662112064399</v>
      </c>
    </row>
    <row r="8" spans="1:21" ht="18" customHeight="1">
      <c r="A8" s="299" t="s">
        <v>2379</v>
      </c>
      <c r="B8" s="1846">
        <v>1213</v>
      </c>
      <c r="C8" s="1842">
        <f t="shared" si="0"/>
        <v>10.925959286615024</v>
      </c>
      <c r="D8" s="1843">
        <v>1317</v>
      </c>
      <c r="E8" s="1842">
        <f t="shared" si="1"/>
        <v>10.05113332824544</v>
      </c>
      <c r="F8" s="1846">
        <v>1655</v>
      </c>
      <c r="G8" s="1842">
        <f t="shared" si="2"/>
        <v>10.976256797983817</v>
      </c>
      <c r="H8" s="1846">
        <v>1519</v>
      </c>
      <c r="I8" s="1842">
        <f t="shared" si="3"/>
        <v>12.618375145372983</v>
      </c>
      <c r="J8" s="1847">
        <v>1381</v>
      </c>
      <c r="K8" s="1842">
        <f t="shared" si="4"/>
        <v>12.590026438143859</v>
      </c>
      <c r="L8" s="1847">
        <v>1939</v>
      </c>
      <c r="M8" s="1842">
        <f t="shared" si="5"/>
        <v>17.624068351208873</v>
      </c>
      <c r="N8" s="1847">
        <v>1835</v>
      </c>
      <c r="O8" s="1842">
        <f t="shared" si="6"/>
        <v>18.772378516624041</v>
      </c>
      <c r="P8" s="1847">
        <v>1782</v>
      </c>
      <c r="Q8" s="1842">
        <f t="shared" si="7"/>
        <v>16.973045051909704</v>
      </c>
      <c r="R8" s="1847">
        <v>847</v>
      </c>
      <c r="S8" s="1845">
        <f t="shared" si="8"/>
        <v>9.5243449904419197</v>
      </c>
      <c r="T8" s="1847">
        <v>940</v>
      </c>
      <c r="U8" s="1845">
        <f t="shared" si="9"/>
        <v>9.9565723969918452</v>
      </c>
    </row>
    <row r="9" spans="1:21" ht="18" customHeight="1">
      <c r="A9" s="299" t="s">
        <v>2380</v>
      </c>
      <c r="B9" s="1846">
        <v>677</v>
      </c>
      <c r="C9" s="1842">
        <f t="shared" si="0"/>
        <v>6.0980003602954422</v>
      </c>
      <c r="D9" s="1843">
        <v>806</v>
      </c>
      <c r="E9" s="1842">
        <f t="shared" si="1"/>
        <v>6.1512630695260624</v>
      </c>
      <c r="F9" s="1846">
        <v>995</v>
      </c>
      <c r="G9" s="1842">
        <f t="shared" si="2"/>
        <v>6.5990184374585494</v>
      </c>
      <c r="H9" s="1846">
        <v>772</v>
      </c>
      <c r="I9" s="1842">
        <f t="shared" si="3"/>
        <v>6.4130254195049012</v>
      </c>
      <c r="J9" s="1847">
        <v>755</v>
      </c>
      <c r="K9" s="1842">
        <f t="shared" si="4"/>
        <v>6.8830340049229655</v>
      </c>
      <c r="L9" s="1847">
        <v>743</v>
      </c>
      <c r="M9" s="1842">
        <f t="shared" si="5"/>
        <v>6.7533175786220685</v>
      </c>
      <c r="N9" s="1847">
        <v>662</v>
      </c>
      <c r="O9" s="1842">
        <f t="shared" si="6"/>
        <v>6.7723785166240402</v>
      </c>
      <c r="P9" s="1847">
        <v>662</v>
      </c>
      <c r="Q9" s="1842">
        <f t="shared" si="7"/>
        <v>6.3053624154681396</v>
      </c>
      <c r="R9" s="1847">
        <v>617</v>
      </c>
      <c r="S9" s="1845">
        <f t="shared" si="8"/>
        <v>6.9380411559653661</v>
      </c>
      <c r="T9" s="1847">
        <v>593</v>
      </c>
      <c r="U9" s="1845">
        <f t="shared" si="9"/>
        <v>6.2811142887406</v>
      </c>
    </row>
    <row r="10" spans="1:21" ht="18" customHeight="1">
      <c r="A10" s="299" t="s">
        <v>2381</v>
      </c>
      <c r="B10" s="1846">
        <v>638</v>
      </c>
      <c r="C10" s="1842">
        <f t="shared" si="0"/>
        <v>5.7467123040893533</v>
      </c>
      <c r="D10" s="1843">
        <v>938</v>
      </c>
      <c r="E10" s="1842">
        <f t="shared" si="1"/>
        <v>7.1586659543615969</v>
      </c>
      <c r="F10" s="1846">
        <v>778</v>
      </c>
      <c r="G10" s="1842">
        <f t="shared" si="2"/>
        <v>5.1598355219525134</v>
      </c>
      <c r="H10" s="1846">
        <v>795</v>
      </c>
      <c r="I10" s="1842">
        <f t="shared" si="3"/>
        <v>6.6040870576507729</v>
      </c>
      <c r="J10" s="1847">
        <v>770</v>
      </c>
      <c r="K10" s="1842">
        <f t="shared" si="4"/>
        <v>7.019783024888322</v>
      </c>
      <c r="L10" s="1847">
        <v>746</v>
      </c>
      <c r="M10" s="1842">
        <f t="shared" si="5"/>
        <v>6.7805853481185245</v>
      </c>
      <c r="N10" s="1847">
        <v>611</v>
      </c>
      <c r="O10" s="1842">
        <f t="shared" si="6"/>
        <v>6.250639386189258</v>
      </c>
      <c r="P10" s="1847">
        <v>750</v>
      </c>
      <c r="Q10" s="1842">
        <f t="shared" si="7"/>
        <v>7.1435374797599778</v>
      </c>
      <c r="R10" s="1847">
        <v>611</v>
      </c>
      <c r="S10" s="1845">
        <f t="shared" si="8"/>
        <v>6.8705723602833695</v>
      </c>
      <c r="T10" s="1847">
        <v>562</v>
      </c>
      <c r="U10" s="1845">
        <f t="shared" si="9"/>
        <v>5.9527592416057624</v>
      </c>
    </row>
    <row r="11" spans="1:21" ht="18" customHeight="1">
      <c r="A11" s="299" t="s">
        <v>2382</v>
      </c>
      <c r="B11" s="1848">
        <v>210</v>
      </c>
      <c r="C11" s="1842">
        <f t="shared" si="0"/>
        <v>1.8915510718789406</v>
      </c>
      <c r="D11" s="1843">
        <v>315</v>
      </c>
      <c r="E11" s="1842">
        <f t="shared" si="1"/>
        <v>2.4040296115393418</v>
      </c>
      <c r="F11" s="1848">
        <v>463</v>
      </c>
      <c r="G11" s="1842">
        <f t="shared" si="2"/>
        <v>3.070699031701817</v>
      </c>
      <c r="H11" s="1848">
        <v>307</v>
      </c>
      <c r="I11" s="1842">
        <f t="shared" si="3"/>
        <v>2.5502575178601097</v>
      </c>
      <c r="J11" s="1843">
        <v>303</v>
      </c>
      <c r="K11" s="1842">
        <f t="shared" si="4"/>
        <v>2.7623302033002095</v>
      </c>
      <c r="L11" s="1843">
        <v>231</v>
      </c>
      <c r="M11" s="1842">
        <f t="shared" si="5"/>
        <v>2.0996182512270494</v>
      </c>
      <c r="N11" s="1843">
        <v>296</v>
      </c>
      <c r="O11" s="1842">
        <f t="shared" si="6"/>
        <v>3.0281329923273659</v>
      </c>
      <c r="P11" s="1843">
        <v>313</v>
      </c>
      <c r="Q11" s="1842">
        <f t="shared" si="7"/>
        <v>2.9812363082198305</v>
      </c>
      <c r="R11" s="1843">
        <v>343</v>
      </c>
      <c r="S11" s="1845">
        <f t="shared" si="8"/>
        <v>3.8569661531541661</v>
      </c>
      <c r="T11" s="1843">
        <v>371</v>
      </c>
      <c r="U11" s="1845">
        <f t="shared" si="9"/>
        <v>3.9296684673233764</v>
      </c>
    </row>
    <row r="12" spans="1:21" ht="18" customHeight="1">
      <c r="A12" s="299" t="s">
        <v>2383</v>
      </c>
      <c r="B12" s="1848">
        <v>237</v>
      </c>
      <c r="C12" s="1842">
        <f t="shared" si="0"/>
        <v>2.1347504954062333</v>
      </c>
      <c r="D12" s="1843">
        <v>293</v>
      </c>
      <c r="E12" s="1842">
        <f t="shared" si="1"/>
        <v>2.2361291307334197</v>
      </c>
      <c r="F12" s="1848">
        <v>329</v>
      </c>
      <c r="G12" s="1842">
        <f t="shared" si="2"/>
        <v>2.1819870009285052</v>
      </c>
      <c r="H12" s="1848">
        <v>346</v>
      </c>
      <c r="I12" s="1842">
        <f t="shared" si="3"/>
        <v>2.8742315999335437</v>
      </c>
      <c r="J12" s="1843">
        <v>312</v>
      </c>
      <c r="K12" s="1842">
        <f t="shared" si="4"/>
        <v>2.8443796152794238</v>
      </c>
      <c r="L12" s="1843">
        <v>306</v>
      </c>
      <c r="M12" s="1842">
        <f t="shared" si="5"/>
        <v>2.7813124886384295</v>
      </c>
      <c r="N12" s="1843">
        <v>299</v>
      </c>
      <c r="O12" s="1842">
        <f t="shared" si="6"/>
        <v>3.0588235294117649</v>
      </c>
      <c r="P12" s="1843">
        <v>268</v>
      </c>
      <c r="Q12" s="1842">
        <f t="shared" si="7"/>
        <v>2.5526240594342315</v>
      </c>
      <c r="R12" s="1843">
        <v>292</v>
      </c>
      <c r="S12" s="1845">
        <f t="shared" si="8"/>
        <v>3.2834813898571911</v>
      </c>
      <c r="T12" s="1843">
        <v>283</v>
      </c>
      <c r="U12" s="1845">
        <f t="shared" si="9"/>
        <v>2.9975638173922254</v>
      </c>
    </row>
    <row r="13" spans="1:21" ht="18" customHeight="1">
      <c r="A13" s="299" t="s">
        <v>2384</v>
      </c>
      <c r="B13" s="1848">
        <v>120</v>
      </c>
      <c r="C13" s="1842">
        <f t="shared" si="0"/>
        <v>1.080886326787966</v>
      </c>
      <c r="D13" s="1843">
        <v>185</v>
      </c>
      <c r="E13" s="1842">
        <f t="shared" si="1"/>
        <v>1.4118904067770741</v>
      </c>
      <c r="F13" s="1848">
        <v>220</v>
      </c>
      <c r="G13" s="1842">
        <f t="shared" si="2"/>
        <v>1.4590794535084228</v>
      </c>
      <c r="H13" s="1848">
        <v>151</v>
      </c>
      <c r="I13" s="1842">
        <f t="shared" si="3"/>
        <v>1.2543611895663731</v>
      </c>
      <c r="J13" s="1843">
        <v>155</v>
      </c>
      <c r="K13" s="1842">
        <f t="shared" si="4"/>
        <v>1.4130732063086882</v>
      </c>
      <c r="L13" s="1843">
        <v>119</v>
      </c>
      <c r="M13" s="1842">
        <f t="shared" si="5"/>
        <v>1.0816215233593891</v>
      </c>
      <c r="N13" s="1843">
        <v>123</v>
      </c>
      <c r="O13" s="1842">
        <f t="shared" si="6"/>
        <v>1.2583120204603579</v>
      </c>
      <c r="P13" s="1843">
        <v>147</v>
      </c>
      <c r="Q13" s="1842">
        <f t="shared" si="7"/>
        <v>1.4001333460329555</v>
      </c>
      <c r="R13" s="1843">
        <v>225</v>
      </c>
      <c r="S13" s="1845">
        <f t="shared" si="8"/>
        <v>2.5300798380748906</v>
      </c>
      <c r="T13" s="1843">
        <v>201</v>
      </c>
      <c r="U13" s="1845">
        <f t="shared" si="9"/>
        <v>2.1290117572291067</v>
      </c>
    </row>
    <row r="14" spans="1:21" ht="18" customHeight="1">
      <c r="A14" s="299" t="s">
        <v>2385</v>
      </c>
      <c r="B14" s="1848">
        <v>107</v>
      </c>
      <c r="C14" s="1842">
        <f t="shared" si="0"/>
        <v>0.96379030805260313</v>
      </c>
      <c r="D14" s="1843">
        <v>142</v>
      </c>
      <c r="E14" s="1842">
        <f t="shared" si="1"/>
        <v>1.0837212852018621</v>
      </c>
      <c r="F14" s="1848">
        <v>105</v>
      </c>
      <c r="G14" s="1842">
        <f t="shared" si="2"/>
        <v>0.69637883008356549</v>
      </c>
      <c r="H14" s="1848">
        <v>129</v>
      </c>
      <c r="I14" s="1842">
        <f t="shared" si="3"/>
        <v>1.0716065791659743</v>
      </c>
      <c r="J14" s="1843">
        <v>154</v>
      </c>
      <c r="K14" s="1842">
        <f t="shared" si="4"/>
        <v>1.4039566049776642</v>
      </c>
      <c r="L14" s="1843">
        <v>131</v>
      </c>
      <c r="M14" s="1842">
        <f t="shared" si="5"/>
        <v>1.1906926013452099</v>
      </c>
      <c r="N14" s="1843">
        <v>180</v>
      </c>
      <c r="O14" s="1842">
        <f t="shared" si="6"/>
        <v>1.8414322250639386</v>
      </c>
      <c r="P14" s="1843">
        <v>300</v>
      </c>
      <c r="Q14" s="1842">
        <f t="shared" si="7"/>
        <v>2.8574149919039908</v>
      </c>
      <c r="R14" s="1843">
        <v>205</v>
      </c>
      <c r="S14" s="1845">
        <f t="shared" si="8"/>
        <v>2.3051838524682333</v>
      </c>
      <c r="T14" s="1843">
        <v>192</v>
      </c>
      <c r="U14" s="1845">
        <f t="shared" si="9"/>
        <v>2.0336828725770575</v>
      </c>
    </row>
    <row r="15" spans="1:21" ht="18" customHeight="1">
      <c r="A15" s="299" t="s">
        <v>2386</v>
      </c>
      <c r="B15" s="1848" t="s">
        <v>1</v>
      </c>
      <c r="C15" s="1842" t="s">
        <v>5</v>
      </c>
      <c r="D15" s="1843">
        <v>6</v>
      </c>
      <c r="E15" s="1842">
        <f t="shared" si="1"/>
        <v>4.5791040219796991E-2</v>
      </c>
      <c r="F15" s="1848">
        <v>27</v>
      </c>
      <c r="G15" s="1842">
        <f t="shared" si="2"/>
        <v>0.17906884202148826</v>
      </c>
      <c r="H15" s="1848">
        <v>1</v>
      </c>
      <c r="I15" s="1842">
        <f t="shared" si="3"/>
        <v>8.3070277454726713E-3</v>
      </c>
      <c r="J15" s="1843">
        <v>17</v>
      </c>
      <c r="K15" s="1842">
        <f t="shared" si="4"/>
        <v>0.15498222262740449</v>
      </c>
      <c r="L15" s="1843">
        <v>12</v>
      </c>
      <c r="M15" s="1842">
        <f t="shared" si="5"/>
        <v>0.10907107798582077</v>
      </c>
      <c r="N15" s="1843">
        <v>17</v>
      </c>
      <c r="O15" s="1842">
        <f t="shared" si="6"/>
        <v>0.17391304347826086</v>
      </c>
      <c r="P15" s="1843">
        <v>121</v>
      </c>
      <c r="Q15" s="1842">
        <f t="shared" si="7"/>
        <v>1.1524907134012763</v>
      </c>
      <c r="R15" s="1843">
        <v>133</v>
      </c>
      <c r="S15" s="1845">
        <f t="shared" si="8"/>
        <v>1.4955583042842686</v>
      </c>
      <c r="T15" s="1843">
        <v>167</v>
      </c>
      <c r="U15" s="1845">
        <f t="shared" si="9"/>
        <v>1.7688804152102531</v>
      </c>
    </row>
    <row r="16" spans="1:21" ht="18" customHeight="1">
      <c r="A16" s="299" t="s">
        <v>2387</v>
      </c>
      <c r="B16" s="1843">
        <v>122</v>
      </c>
      <c r="C16" s="1842">
        <f t="shared" ref="C16:C38" si="10">B16/B$4*100</f>
        <v>1.098901098901099</v>
      </c>
      <c r="D16" s="1843">
        <v>117</v>
      </c>
      <c r="E16" s="1842">
        <f t="shared" si="1"/>
        <v>0.89292528428604134</v>
      </c>
      <c r="F16" s="1843">
        <v>151</v>
      </c>
      <c r="G16" s="1842">
        <f t="shared" si="2"/>
        <v>1.0014590794535083</v>
      </c>
      <c r="H16" s="1843">
        <v>104</v>
      </c>
      <c r="I16" s="1842">
        <f t="shared" si="3"/>
        <v>0.86393088552915775</v>
      </c>
      <c r="J16" s="1843">
        <v>62</v>
      </c>
      <c r="K16" s="1842">
        <f t="shared" si="4"/>
        <v>0.56522928252347526</v>
      </c>
      <c r="L16" s="1843">
        <v>67</v>
      </c>
      <c r="M16" s="1842">
        <f t="shared" si="5"/>
        <v>0.60898018542083265</v>
      </c>
      <c r="N16" s="1843">
        <v>59</v>
      </c>
      <c r="O16" s="1842">
        <f t="shared" si="6"/>
        <v>0.60358056265984661</v>
      </c>
      <c r="P16" s="1843">
        <v>58</v>
      </c>
      <c r="Q16" s="1842">
        <f t="shared" si="7"/>
        <v>0.55243356510143826</v>
      </c>
      <c r="R16" s="1843">
        <v>117</v>
      </c>
      <c r="S16" s="1845">
        <f t="shared" si="8"/>
        <v>1.315641515798943</v>
      </c>
      <c r="T16" s="1843">
        <v>116</v>
      </c>
      <c r="U16" s="1845">
        <f t="shared" si="9"/>
        <v>1.2286834021819724</v>
      </c>
    </row>
    <row r="17" spans="1:21" ht="18" customHeight="1">
      <c r="A17" s="299" t="s">
        <v>2388</v>
      </c>
      <c r="B17" s="1848">
        <v>211</v>
      </c>
      <c r="C17" s="1842">
        <f t="shared" si="10"/>
        <v>1.900558457935507</v>
      </c>
      <c r="D17" s="1843">
        <v>287</v>
      </c>
      <c r="E17" s="1842">
        <f t="shared" si="1"/>
        <v>2.1903380905136229</v>
      </c>
      <c r="F17" s="1848">
        <v>242</v>
      </c>
      <c r="G17" s="1842">
        <f t="shared" si="2"/>
        <v>1.6049873988592651</v>
      </c>
      <c r="H17" s="1848">
        <v>170</v>
      </c>
      <c r="I17" s="1842">
        <f t="shared" si="3"/>
        <v>1.4121947167303539</v>
      </c>
      <c r="J17" s="1843">
        <v>171</v>
      </c>
      <c r="K17" s="1842">
        <f t="shared" si="4"/>
        <v>1.5589388276050689</v>
      </c>
      <c r="L17" s="1843">
        <v>147</v>
      </c>
      <c r="M17" s="1842">
        <f t="shared" si="5"/>
        <v>1.3361207053263042</v>
      </c>
      <c r="N17" s="1843">
        <v>109</v>
      </c>
      <c r="O17" s="1842">
        <f t="shared" si="6"/>
        <v>1.1150895140664963</v>
      </c>
      <c r="P17" s="1843">
        <v>103</v>
      </c>
      <c r="Q17" s="1842">
        <f t="shared" si="7"/>
        <v>0.98104581388703693</v>
      </c>
      <c r="R17" s="1843">
        <v>111</v>
      </c>
      <c r="S17" s="1845">
        <f t="shared" si="8"/>
        <v>1.2481727201169459</v>
      </c>
      <c r="T17" s="1843">
        <v>107</v>
      </c>
      <c r="U17" s="1845">
        <f t="shared" si="9"/>
        <v>1.1333545175299227</v>
      </c>
    </row>
    <row r="18" spans="1:21" ht="18" customHeight="1">
      <c r="A18" s="299" t="s">
        <v>2389</v>
      </c>
      <c r="B18" s="1848">
        <v>62</v>
      </c>
      <c r="C18" s="1842">
        <f t="shared" si="10"/>
        <v>0.55845793550711587</v>
      </c>
      <c r="D18" s="1843">
        <v>82</v>
      </c>
      <c r="E18" s="1842">
        <f t="shared" si="1"/>
        <v>0.6258108830038922</v>
      </c>
      <c r="F18" s="1848">
        <v>154</v>
      </c>
      <c r="G18" s="1842">
        <f t="shared" si="2"/>
        <v>1.021355617455896</v>
      </c>
      <c r="H18" s="1848">
        <v>94</v>
      </c>
      <c r="I18" s="1842">
        <f t="shared" si="3"/>
        <v>0.78086060807443092</v>
      </c>
      <c r="J18" s="1843">
        <v>104</v>
      </c>
      <c r="K18" s="1842">
        <f t="shared" si="4"/>
        <v>0.94812653842647454</v>
      </c>
      <c r="L18" s="1843">
        <v>228</v>
      </c>
      <c r="M18" s="1842">
        <f t="shared" si="5"/>
        <v>2.0723504817305947</v>
      </c>
      <c r="N18" s="1843">
        <v>106</v>
      </c>
      <c r="O18" s="1842">
        <f t="shared" si="6"/>
        <v>1.0843989769820972</v>
      </c>
      <c r="P18" s="1843">
        <v>230</v>
      </c>
      <c r="Q18" s="1842">
        <f t="shared" si="7"/>
        <v>2.1906848271263932</v>
      </c>
      <c r="R18" s="1843">
        <v>114</v>
      </c>
      <c r="S18" s="1845">
        <f t="shared" si="8"/>
        <v>1.2819071179579444</v>
      </c>
      <c r="T18" s="1843">
        <v>81</v>
      </c>
      <c r="U18" s="1845">
        <f t="shared" si="9"/>
        <v>0.85795996186844614</v>
      </c>
    </row>
    <row r="19" spans="1:21" ht="18" customHeight="1">
      <c r="A19" s="299" t="s">
        <v>2390</v>
      </c>
      <c r="B19" s="1848">
        <v>103</v>
      </c>
      <c r="C19" s="1842">
        <f t="shared" si="10"/>
        <v>0.92776076382633765</v>
      </c>
      <c r="D19" s="1843">
        <v>64</v>
      </c>
      <c r="E19" s="1842">
        <f t="shared" si="1"/>
        <v>0.4884377623445012</v>
      </c>
      <c r="F19" s="1848">
        <v>89</v>
      </c>
      <c r="G19" s="1842">
        <f t="shared" si="2"/>
        <v>0.59026396073749832</v>
      </c>
      <c r="H19" s="1848">
        <v>82</v>
      </c>
      <c r="I19" s="1842">
        <f t="shared" si="3"/>
        <v>0.68117627512875889</v>
      </c>
      <c r="J19" s="1843">
        <v>72</v>
      </c>
      <c r="K19" s="1842">
        <f t="shared" si="4"/>
        <v>0.65639529583371314</v>
      </c>
      <c r="L19" s="1843">
        <v>79</v>
      </c>
      <c r="M19" s="1842">
        <f t="shared" si="5"/>
        <v>0.71805126340665337</v>
      </c>
      <c r="N19" s="1843">
        <v>61</v>
      </c>
      <c r="O19" s="1842">
        <f t="shared" si="6"/>
        <v>0.62404092071611261</v>
      </c>
      <c r="P19" s="1843">
        <v>50</v>
      </c>
      <c r="Q19" s="1842">
        <f t="shared" si="7"/>
        <v>0.47623583198399849</v>
      </c>
      <c r="R19" s="1843">
        <v>55</v>
      </c>
      <c r="S19" s="1845">
        <f t="shared" si="8"/>
        <v>0.61846396041830654</v>
      </c>
      <c r="T19" s="1843">
        <v>49</v>
      </c>
      <c r="U19" s="1845">
        <f t="shared" si="9"/>
        <v>0.51901281643893649</v>
      </c>
    </row>
    <row r="20" spans="1:21" ht="18" customHeight="1">
      <c r="A20" s="299" t="s">
        <v>2391</v>
      </c>
      <c r="B20" s="1848">
        <v>175</v>
      </c>
      <c r="C20" s="1842">
        <f t="shared" si="10"/>
        <v>1.5762925598991173</v>
      </c>
      <c r="D20" s="1843">
        <v>261</v>
      </c>
      <c r="E20" s="1842">
        <f t="shared" si="1"/>
        <v>1.9919102495611691</v>
      </c>
      <c r="F20" s="1848">
        <v>309</v>
      </c>
      <c r="G20" s="1842">
        <f t="shared" si="2"/>
        <v>2.049343414245921</v>
      </c>
      <c r="H20" s="1848">
        <v>101</v>
      </c>
      <c r="I20" s="1842">
        <f t="shared" si="3"/>
        <v>0.83900980229273969</v>
      </c>
      <c r="J20" s="1843">
        <v>133</v>
      </c>
      <c r="K20" s="1842">
        <f t="shared" si="4"/>
        <v>1.2125079770261646</v>
      </c>
      <c r="L20" s="1843">
        <v>64</v>
      </c>
      <c r="M20" s="1842">
        <f t="shared" si="5"/>
        <v>0.58171241592437739</v>
      </c>
      <c r="N20" s="1843">
        <v>64</v>
      </c>
      <c r="O20" s="1842">
        <f t="shared" si="6"/>
        <v>0.65473145780051156</v>
      </c>
      <c r="P20" s="1843">
        <v>90</v>
      </c>
      <c r="Q20" s="1842">
        <f t="shared" si="7"/>
        <v>0.85722449757119723</v>
      </c>
      <c r="R20" s="1843">
        <v>79</v>
      </c>
      <c r="S20" s="1845">
        <f t="shared" si="8"/>
        <v>0.88833914314629481</v>
      </c>
      <c r="T20" s="1843">
        <v>45</v>
      </c>
      <c r="U20" s="1845">
        <f t="shared" si="9"/>
        <v>0.47664442326024786</v>
      </c>
    </row>
    <row r="21" spans="1:21" ht="18" customHeight="1">
      <c r="A21" s="299" t="s">
        <v>2392</v>
      </c>
      <c r="B21" s="1848">
        <v>55</v>
      </c>
      <c r="C21" s="1842">
        <f t="shared" si="10"/>
        <v>0.49540623311115117</v>
      </c>
      <c r="D21" s="1848">
        <v>51</v>
      </c>
      <c r="E21" s="1842">
        <f t="shared" si="1"/>
        <v>0.38922384186827447</v>
      </c>
      <c r="F21" s="1848">
        <v>31</v>
      </c>
      <c r="G21" s="1842">
        <f t="shared" si="2"/>
        <v>0.20559755935800503</v>
      </c>
      <c r="H21" s="1848">
        <v>42</v>
      </c>
      <c r="I21" s="1842">
        <f t="shared" si="3"/>
        <v>0.34889516530985215</v>
      </c>
      <c r="J21" s="1843">
        <v>39</v>
      </c>
      <c r="K21" s="1842">
        <f t="shared" si="4"/>
        <v>0.35554745190992798</v>
      </c>
      <c r="L21" s="1843">
        <v>48</v>
      </c>
      <c r="M21" s="1842">
        <f t="shared" si="5"/>
        <v>0.4362843119432831</v>
      </c>
      <c r="N21" s="1843">
        <v>30</v>
      </c>
      <c r="O21" s="1842">
        <f t="shared" si="6"/>
        <v>0.30690537084398978</v>
      </c>
      <c r="P21" s="1843">
        <v>66</v>
      </c>
      <c r="Q21" s="1842">
        <f t="shared" si="7"/>
        <v>0.62863129821887798</v>
      </c>
      <c r="R21" s="1843">
        <v>40</v>
      </c>
      <c r="S21" s="1845">
        <f t="shared" si="8"/>
        <v>0.44979197121331382</v>
      </c>
      <c r="T21" s="1843">
        <v>42</v>
      </c>
      <c r="U21" s="1845">
        <f t="shared" si="9"/>
        <v>0.44486812837623135</v>
      </c>
    </row>
    <row r="22" spans="1:21" ht="18" customHeight="1">
      <c r="A22" s="299" t="s">
        <v>2393</v>
      </c>
      <c r="B22" s="1848">
        <v>65</v>
      </c>
      <c r="C22" s="1842">
        <f t="shared" si="10"/>
        <v>0.58548009367681508</v>
      </c>
      <c r="D22" s="1848">
        <v>64</v>
      </c>
      <c r="E22" s="1842">
        <f t="shared" si="1"/>
        <v>0.4884377623445012</v>
      </c>
      <c r="F22" s="1848">
        <v>61</v>
      </c>
      <c r="G22" s="1842">
        <f t="shared" si="2"/>
        <v>0.40456293938188087</v>
      </c>
      <c r="H22" s="1848">
        <v>43</v>
      </c>
      <c r="I22" s="1842">
        <f t="shared" si="3"/>
        <v>0.3572021930553248</v>
      </c>
      <c r="J22" s="1843">
        <v>35</v>
      </c>
      <c r="K22" s="1842">
        <f t="shared" si="4"/>
        <v>0.31908104658583281</v>
      </c>
      <c r="L22" s="1843">
        <v>27</v>
      </c>
      <c r="M22" s="1842">
        <f t="shared" si="5"/>
        <v>0.24540992546809673</v>
      </c>
      <c r="N22" s="1843">
        <v>34</v>
      </c>
      <c r="O22" s="1842">
        <f t="shared" si="6"/>
        <v>0.34782608695652173</v>
      </c>
      <c r="P22" s="1843">
        <v>46</v>
      </c>
      <c r="Q22" s="1842">
        <f t="shared" si="7"/>
        <v>0.43813696542527858</v>
      </c>
      <c r="R22" s="1843">
        <v>51</v>
      </c>
      <c r="S22" s="1845">
        <f t="shared" si="8"/>
        <v>0.57348476329697518</v>
      </c>
      <c r="T22" s="1843">
        <v>35</v>
      </c>
      <c r="U22" s="1845">
        <f t="shared" si="9"/>
        <v>0.37072344031352611</v>
      </c>
    </row>
    <row r="23" spans="1:21" s="1849" customFormat="1" ht="18" customHeight="1">
      <c r="A23" s="299" t="s">
        <v>2394</v>
      </c>
      <c r="B23" s="1848">
        <v>38</v>
      </c>
      <c r="C23" s="1842">
        <f t="shared" si="10"/>
        <v>0.34228067014952263</v>
      </c>
      <c r="D23" s="1848">
        <v>32</v>
      </c>
      <c r="E23" s="1842">
        <f t="shared" si="1"/>
        <v>0.2442188811722506</v>
      </c>
      <c r="F23" s="1848">
        <v>69</v>
      </c>
      <c r="G23" s="1842">
        <f t="shared" si="2"/>
        <v>0.45762037405491446</v>
      </c>
      <c r="H23" s="1848">
        <v>48</v>
      </c>
      <c r="I23" s="1842">
        <f t="shared" si="3"/>
        <v>0.39873733178268816</v>
      </c>
      <c r="J23" s="1843">
        <v>44</v>
      </c>
      <c r="K23" s="1845">
        <f t="shared" si="4"/>
        <v>0.40113045856504692</v>
      </c>
      <c r="L23" s="1843">
        <v>40</v>
      </c>
      <c r="M23" s="1842">
        <f t="shared" si="5"/>
        <v>0.36357025995273584</v>
      </c>
      <c r="N23" s="1843">
        <v>39</v>
      </c>
      <c r="O23" s="1845">
        <f t="shared" si="6"/>
        <v>0.39897698209718668</v>
      </c>
      <c r="P23" s="1843">
        <v>28</v>
      </c>
      <c r="Q23" s="1845">
        <f t="shared" si="7"/>
        <v>0.26669206591103917</v>
      </c>
      <c r="R23" s="1843">
        <v>25</v>
      </c>
      <c r="S23" s="1845">
        <f t="shared" si="8"/>
        <v>0.28111998200832111</v>
      </c>
      <c r="T23" s="1843">
        <v>33</v>
      </c>
      <c r="U23" s="1845">
        <f t="shared" si="9"/>
        <v>0.34953924372418177</v>
      </c>
    </row>
    <row r="24" spans="1:21" ht="16.5">
      <c r="A24" s="299" t="s">
        <v>2395</v>
      </c>
      <c r="B24" s="1850">
        <v>21</v>
      </c>
      <c r="C24" s="1842">
        <f t="shared" si="10"/>
        <v>0.18915510718789408</v>
      </c>
      <c r="D24" s="1850">
        <v>31</v>
      </c>
      <c r="E24" s="1842">
        <f t="shared" si="1"/>
        <v>0.23658704113561779</v>
      </c>
      <c r="F24" s="1850">
        <v>30</v>
      </c>
      <c r="G24" s="1842">
        <f t="shared" si="2"/>
        <v>0.19896538002387587</v>
      </c>
      <c r="H24" s="1850">
        <v>46</v>
      </c>
      <c r="I24" s="1842">
        <f t="shared" si="3"/>
        <v>0.38212327629174281</v>
      </c>
      <c r="J24" s="1851">
        <v>31</v>
      </c>
      <c r="K24" s="1845">
        <f t="shared" si="4"/>
        <v>0.28261464126173763</v>
      </c>
      <c r="L24" s="1843">
        <v>32</v>
      </c>
      <c r="M24" s="1842">
        <f t="shared" si="5"/>
        <v>0.2908562079621887</v>
      </c>
      <c r="N24" s="1851">
        <v>36</v>
      </c>
      <c r="O24" s="1842">
        <f t="shared" si="6"/>
        <v>0.36828644501278773</v>
      </c>
      <c r="P24" s="1851">
        <v>32</v>
      </c>
      <c r="Q24" s="1842">
        <f t="shared" si="7"/>
        <v>0.30479093246975902</v>
      </c>
      <c r="R24" s="1851">
        <v>27</v>
      </c>
      <c r="S24" s="1845">
        <f t="shared" si="8"/>
        <v>0.30360958056898685</v>
      </c>
      <c r="T24" s="1843">
        <v>30</v>
      </c>
      <c r="U24" s="1845">
        <f t="shared" si="9"/>
        <v>0.31776294884016526</v>
      </c>
    </row>
    <row r="25" spans="1:21" ht="16.5">
      <c r="A25" s="299" t="s">
        <v>2396</v>
      </c>
      <c r="B25" s="1850">
        <v>13</v>
      </c>
      <c r="C25" s="1842">
        <f t="shared" si="10"/>
        <v>0.117096018735363</v>
      </c>
      <c r="D25" s="1850">
        <v>25</v>
      </c>
      <c r="E25" s="1842">
        <f t="shared" si="1"/>
        <v>0.1907960009158208</v>
      </c>
      <c r="F25" s="1850">
        <v>15</v>
      </c>
      <c r="G25" s="1842">
        <f t="shared" si="2"/>
        <v>9.9482690011937935E-2</v>
      </c>
      <c r="H25" s="1850">
        <v>16</v>
      </c>
      <c r="I25" s="1842">
        <f t="shared" si="3"/>
        <v>0.13291244392756274</v>
      </c>
      <c r="J25" s="1851">
        <v>22</v>
      </c>
      <c r="K25" s="1845">
        <f t="shared" si="4"/>
        <v>0.20056522928252346</v>
      </c>
      <c r="L25" s="1843">
        <v>7</v>
      </c>
      <c r="M25" s="1842">
        <f t="shared" si="5"/>
        <v>6.3624795491728781E-2</v>
      </c>
      <c r="N25" s="1851">
        <v>17</v>
      </c>
      <c r="O25" s="1842">
        <f t="shared" si="6"/>
        <v>0.17391304347826086</v>
      </c>
      <c r="P25" s="1851">
        <v>14</v>
      </c>
      <c r="Q25" s="1842">
        <f t="shared" si="7"/>
        <v>0.13334603295551958</v>
      </c>
      <c r="R25" s="1851">
        <v>9</v>
      </c>
      <c r="S25" s="1845">
        <f t="shared" si="8"/>
        <v>0.10120319352299563</v>
      </c>
      <c r="T25" s="1843">
        <v>28</v>
      </c>
      <c r="U25" s="1845">
        <f t="shared" si="9"/>
        <v>0.29657875225082087</v>
      </c>
    </row>
    <row r="26" spans="1:21" ht="16.5">
      <c r="A26" s="299" t="s">
        <v>2397</v>
      </c>
      <c r="B26" s="1850">
        <v>2</v>
      </c>
      <c r="C26" s="1842">
        <f t="shared" si="10"/>
        <v>1.8014772113132769E-2</v>
      </c>
      <c r="D26" s="1850">
        <v>11</v>
      </c>
      <c r="E26" s="1842">
        <f t="shared" si="1"/>
        <v>8.3950240402961146E-2</v>
      </c>
      <c r="F26" s="1850">
        <v>11</v>
      </c>
      <c r="G26" s="1842">
        <f t="shared" si="2"/>
        <v>7.2953972675421142E-2</v>
      </c>
      <c r="H26" s="1850">
        <v>3</v>
      </c>
      <c r="I26" s="1842">
        <f t="shared" si="3"/>
        <v>2.492108323641801E-2</v>
      </c>
      <c r="J26" s="1851">
        <v>10</v>
      </c>
      <c r="K26" s="1845">
        <f t="shared" si="4"/>
        <v>9.1166013310237937E-2</v>
      </c>
      <c r="L26" s="1843">
        <v>20</v>
      </c>
      <c r="M26" s="1842">
        <f t="shared" si="5"/>
        <v>0.18178512997636792</v>
      </c>
      <c r="N26" s="1851">
        <v>30</v>
      </c>
      <c r="O26" s="1842">
        <f t="shared" si="6"/>
        <v>0.30690537084398978</v>
      </c>
      <c r="P26" s="1851">
        <v>20</v>
      </c>
      <c r="Q26" s="1842">
        <f t="shared" si="7"/>
        <v>0.1904943327935994</v>
      </c>
      <c r="R26" s="1851">
        <v>36</v>
      </c>
      <c r="S26" s="1845">
        <f t="shared" si="8"/>
        <v>0.40481277409198252</v>
      </c>
      <c r="T26" s="1843">
        <v>27</v>
      </c>
      <c r="U26" s="1845">
        <f t="shared" si="9"/>
        <v>0.2859866539561487</v>
      </c>
    </row>
    <row r="27" spans="1:21" ht="16.5">
      <c r="A27" s="299" t="s">
        <v>2398</v>
      </c>
      <c r="B27" s="1850">
        <v>132</v>
      </c>
      <c r="C27" s="1842">
        <f t="shared" si="10"/>
        <v>1.1889749594667627</v>
      </c>
      <c r="D27" s="1850">
        <v>74</v>
      </c>
      <c r="E27" s="1842">
        <f t="shared" si="1"/>
        <v>0.56475616271082951</v>
      </c>
      <c r="F27" s="1850">
        <v>123</v>
      </c>
      <c r="G27" s="1842">
        <f t="shared" si="2"/>
        <v>0.81575805809789104</v>
      </c>
      <c r="H27" s="1850">
        <v>105</v>
      </c>
      <c r="I27" s="1842">
        <f t="shared" si="3"/>
        <v>0.87223791327463041</v>
      </c>
      <c r="J27" s="1851">
        <v>41</v>
      </c>
      <c r="K27" s="1845">
        <f t="shared" si="4"/>
        <v>0.37378065457197557</v>
      </c>
      <c r="L27" s="1843">
        <v>36</v>
      </c>
      <c r="M27" s="1842">
        <f t="shared" si="5"/>
        <v>0.32721323395746227</v>
      </c>
      <c r="N27" s="1851">
        <v>38</v>
      </c>
      <c r="O27" s="1842">
        <f t="shared" si="6"/>
        <v>0.38874680306905374</v>
      </c>
      <c r="P27" s="1851">
        <v>29</v>
      </c>
      <c r="Q27" s="1842">
        <f t="shared" si="7"/>
        <v>0.27621678255071913</v>
      </c>
      <c r="R27" s="1851">
        <v>36</v>
      </c>
      <c r="S27" s="1842">
        <f t="shared" si="8"/>
        <v>0.40481277409198252</v>
      </c>
      <c r="T27" s="1851">
        <v>21</v>
      </c>
      <c r="U27" s="1845">
        <f t="shared" si="9"/>
        <v>0.22243406418811568</v>
      </c>
    </row>
    <row r="28" spans="1:21" ht="16.5">
      <c r="A28" s="299" t="s">
        <v>2399</v>
      </c>
      <c r="B28" s="1850">
        <v>36</v>
      </c>
      <c r="C28" s="1842">
        <f t="shared" si="10"/>
        <v>0.32426589803638983</v>
      </c>
      <c r="D28" s="1850">
        <v>36</v>
      </c>
      <c r="E28" s="1842">
        <f t="shared" si="1"/>
        <v>0.27474624131878195</v>
      </c>
      <c r="F28" s="1850">
        <v>45</v>
      </c>
      <c r="G28" s="1842">
        <f t="shared" si="2"/>
        <v>0.29844807003581375</v>
      </c>
      <c r="H28" s="1850">
        <v>45</v>
      </c>
      <c r="I28" s="1842">
        <f t="shared" si="3"/>
        <v>0.37381624854627016</v>
      </c>
      <c r="J28" s="1851">
        <v>50</v>
      </c>
      <c r="K28" s="1845">
        <f t="shared" si="4"/>
        <v>0.45583006655118968</v>
      </c>
      <c r="L28" s="1843">
        <v>38</v>
      </c>
      <c r="M28" s="1842">
        <f t="shared" si="5"/>
        <v>0.34539174695509911</v>
      </c>
      <c r="N28" s="1851">
        <v>29</v>
      </c>
      <c r="O28" s="1842">
        <f t="shared" si="6"/>
        <v>0.29667519181585678</v>
      </c>
      <c r="P28" s="1851">
        <v>33</v>
      </c>
      <c r="Q28" s="1842">
        <f t="shared" si="7"/>
        <v>0.31431564910943899</v>
      </c>
      <c r="R28" s="1851">
        <v>20</v>
      </c>
      <c r="S28" s="1842">
        <f t="shared" si="8"/>
        <v>0.22489598560665691</v>
      </c>
      <c r="T28" s="1851">
        <v>20</v>
      </c>
      <c r="U28" s="1845">
        <f t="shared" si="9"/>
        <v>0.21184196589344351</v>
      </c>
    </row>
    <row r="29" spans="1:21" ht="16.5">
      <c r="A29" s="299" t="s">
        <v>2400</v>
      </c>
      <c r="B29" s="1850">
        <v>96</v>
      </c>
      <c r="C29" s="1842">
        <f t="shared" si="10"/>
        <v>0.86470906143037296</v>
      </c>
      <c r="D29" s="1850">
        <v>71</v>
      </c>
      <c r="E29" s="1842">
        <f t="shared" si="1"/>
        <v>0.54186064260093103</v>
      </c>
      <c r="F29" s="1850">
        <v>116</v>
      </c>
      <c r="G29" s="1842">
        <f t="shared" si="2"/>
        <v>0.76933280275898663</v>
      </c>
      <c r="H29" s="1850">
        <v>88</v>
      </c>
      <c r="I29" s="1842">
        <f t="shared" si="3"/>
        <v>0.7310184416015949</v>
      </c>
      <c r="J29" s="1850">
        <v>56</v>
      </c>
      <c r="K29" s="1845">
        <f t="shared" si="4"/>
        <v>0.51052967453733256</v>
      </c>
      <c r="L29" s="1848">
        <v>43</v>
      </c>
      <c r="M29" s="1842">
        <f t="shared" si="5"/>
        <v>0.39083802944919105</v>
      </c>
      <c r="N29" s="1850">
        <v>22</v>
      </c>
      <c r="O29" s="1842">
        <f t="shared" si="6"/>
        <v>0.22506393861892582</v>
      </c>
      <c r="P29" s="1850">
        <v>23</v>
      </c>
      <c r="Q29" s="1842">
        <f t="shared" si="7"/>
        <v>0.21906848271263929</v>
      </c>
      <c r="R29" s="1850">
        <v>9</v>
      </c>
      <c r="S29" s="1845">
        <f t="shared" si="8"/>
        <v>0.10120319352299563</v>
      </c>
      <c r="T29" s="1848">
        <v>13</v>
      </c>
      <c r="U29" s="1845">
        <f t="shared" si="9"/>
        <v>0.13769727783073826</v>
      </c>
    </row>
    <row r="30" spans="1:21" ht="16.5">
      <c r="A30" s="299" t="s">
        <v>2401</v>
      </c>
      <c r="B30" s="1852">
        <v>12</v>
      </c>
      <c r="C30" s="1842">
        <f t="shared" si="10"/>
        <v>0.10808863267879662</v>
      </c>
      <c r="D30" s="1852">
        <v>9</v>
      </c>
      <c r="E30" s="1842">
        <f t="shared" si="1"/>
        <v>6.8686560329695487E-2</v>
      </c>
      <c r="F30" s="1852">
        <v>12</v>
      </c>
      <c r="G30" s="1842">
        <f t="shared" si="2"/>
        <v>7.958615200955034E-2</v>
      </c>
      <c r="H30" s="1852">
        <v>11</v>
      </c>
      <c r="I30" s="1842">
        <f t="shared" si="3"/>
        <v>9.1377305200199363E-2</v>
      </c>
      <c r="J30" s="1852">
        <v>5</v>
      </c>
      <c r="K30" s="1845">
        <f t="shared" si="4"/>
        <v>4.5583006655118968E-2</v>
      </c>
      <c r="L30" s="1848">
        <v>7</v>
      </c>
      <c r="M30" s="1842">
        <f t="shared" si="5"/>
        <v>6.3624795491728781E-2</v>
      </c>
      <c r="N30" s="1852">
        <v>6</v>
      </c>
      <c r="O30" s="1842">
        <f t="shared" si="6"/>
        <v>6.1381074168797949E-2</v>
      </c>
      <c r="P30" s="1852">
        <v>7</v>
      </c>
      <c r="Q30" s="1842">
        <f t="shared" si="7"/>
        <v>6.6673016477759792E-2</v>
      </c>
      <c r="R30" s="1852">
        <v>7</v>
      </c>
      <c r="S30" s="1845">
        <f t="shared" si="8"/>
        <v>7.8713594962329922E-2</v>
      </c>
      <c r="T30" s="1848">
        <v>9</v>
      </c>
      <c r="U30" s="1845">
        <f t="shared" si="9"/>
        <v>9.532888465204957E-2</v>
      </c>
    </row>
    <row r="31" spans="1:21" ht="16.5">
      <c r="A31" s="299" t="s">
        <v>2402</v>
      </c>
      <c r="B31" s="1850">
        <v>78</v>
      </c>
      <c r="C31" s="1842">
        <f t="shared" si="10"/>
        <v>0.70257611241217799</v>
      </c>
      <c r="D31" s="1850">
        <v>65</v>
      </c>
      <c r="E31" s="1842">
        <f t="shared" si="1"/>
        <v>0.49606960238113407</v>
      </c>
      <c r="F31" s="1850">
        <v>67</v>
      </c>
      <c r="G31" s="1842">
        <f t="shared" si="2"/>
        <v>0.44435601538665603</v>
      </c>
      <c r="H31" s="1850">
        <v>61</v>
      </c>
      <c r="I31" s="1842">
        <f t="shared" si="3"/>
        <v>0.50672869247383279</v>
      </c>
      <c r="J31" s="1851">
        <v>85</v>
      </c>
      <c r="K31" s="1845">
        <f t="shared" si="4"/>
        <v>0.77491111313702254</v>
      </c>
      <c r="L31" s="1843">
        <v>35</v>
      </c>
      <c r="M31" s="1842">
        <f t="shared" si="5"/>
        <v>0.3181239774586439</v>
      </c>
      <c r="N31" s="1851">
        <v>12</v>
      </c>
      <c r="O31" s="1842">
        <f t="shared" si="6"/>
        <v>0.1227621483375959</v>
      </c>
      <c r="P31" s="1851">
        <v>12</v>
      </c>
      <c r="Q31" s="1842">
        <f t="shared" si="7"/>
        <v>0.11429659967615964</v>
      </c>
      <c r="R31" s="1851">
        <v>12</v>
      </c>
      <c r="S31" s="1842">
        <f t="shared" si="8"/>
        <v>0.13493759136399416</v>
      </c>
      <c r="T31" s="1851">
        <v>8</v>
      </c>
      <c r="U31" s="1845">
        <f t="shared" si="9"/>
        <v>8.4736786357377386E-2</v>
      </c>
    </row>
    <row r="32" spans="1:21" ht="16.5">
      <c r="A32" s="299" t="s">
        <v>2403</v>
      </c>
      <c r="B32" s="1852">
        <v>26</v>
      </c>
      <c r="C32" s="1842">
        <f t="shared" si="10"/>
        <v>0.23419203747072601</v>
      </c>
      <c r="D32" s="1852">
        <v>37</v>
      </c>
      <c r="E32" s="1842">
        <f t="shared" si="1"/>
        <v>0.28237808135541476</v>
      </c>
      <c r="F32" s="1852">
        <v>42</v>
      </c>
      <c r="G32" s="1842">
        <f t="shared" si="2"/>
        <v>0.2785515320334262</v>
      </c>
      <c r="H32" s="1852">
        <v>32</v>
      </c>
      <c r="I32" s="1842">
        <f t="shared" si="3"/>
        <v>0.26582488785512548</v>
      </c>
      <c r="J32" s="1852">
        <v>13</v>
      </c>
      <c r="K32" s="1845">
        <f t="shared" si="4"/>
        <v>0.11851581730330932</v>
      </c>
      <c r="L32" s="1848">
        <v>13</v>
      </c>
      <c r="M32" s="1842">
        <f t="shared" si="5"/>
        <v>0.11816033448463915</v>
      </c>
      <c r="N32" s="1852">
        <v>15</v>
      </c>
      <c r="O32" s="1842">
        <f t="shared" si="6"/>
        <v>0.15345268542199489</v>
      </c>
      <c r="P32" s="1852">
        <v>17</v>
      </c>
      <c r="Q32" s="1842">
        <f t="shared" si="7"/>
        <v>0.16192018287455948</v>
      </c>
      <c r="R32" s="1852">
        <v>7</v>
      </c>
      <c r="S32" s="1845">
        <f t="shared" si="8"/>
        <v>7.8713594962329922E-2</v>
      </c>
      <c r="T32" s="1848">
        <v>8</v>
      </c>
      <c r="U32" s="1845">
        <f t="shared" si="9"/>
        <v>8.4736786357377386E-2</v>
      </c>
    </row>
    <row r="33" spans="1:21" ht="16.5">
      <c r="A33" s="299" t="s">
        <v>2404</v>
      </c>
      <c r="B33" s="1850">
        <v>228</v>
      </c>
      <c r="C33" s="1842">
        <f t="shared" si="10"/>
        <v>2.0536840208971356</v>
      </c>
      <c r="D33" s="1850">
        <v>98</v>
      </c>
      <c r="E33" s="1842">
        <f t="shared" si="1"/>
        <v>0.74792032359001759</v>
      </c>
      <c r="F33" s="1850">
        <v>97</v>
      </c>
      <c r="G33" s="1842">
        <f t="shared" si="2"/>
        <v>0.6433213954105319</v>
      </c>
      <c r="H33" s="1850">
        <v>76</v>
      </c>
      <c r="I33" s="1842">
        <f t="shared" si="3"/>
        <v>0.63133410865592299</v>
      </c>
      <c r="J33" s="1851">
        <v>18</v>
      </c>
      <c r="K33" s="1845">
        <f t="shared" si="4"/>
        <v>0.16409882395842829</v>
      </c>
      <c r="L33" s="1843">
        <v>40</v>
      </c>
      <c r="M33" s="1842">
        <f t="shared" si="5"/>
        <v>0.36357025995273584</v>
      </c>
      <c r="N33" s="1851">
        <v>23</v>
      </c>
      <c r="O33" s="1842">
        <f t="shared" si="6"/>
        <v>0.23529411764705879</v>
      </c>
      <c r="P33" s="1851">
        <v>9</v>
      </c>
      <c r="Q33" s="1842">
        <f t="shared" si="7"/>
        <v>8.572244975711972E-2</v>
      </c>
      <c r="R33" s="1851">
        <v>13</v>
      </c>
      <c r="S33" s="1845">
        <f t="shared" si="8"/>
        <v>0.146182390644327</v>
      </c>
      <c r="T33" s="1843">
        <v>7</v>
      </c>
      <c r="U33" s="1845">
        <f t="shared" si="9"/>
        <v>7.4144688062705216E-2</v>
      </c>
    </row>
    <row r="34" spans="1:21" ht="16.5">
      <c r="A34" s="299" t="s">
        <v>2405</v>
      </c>
      <c r="B34" s="1850">
        <v>3</v>
      </c>
      <c r="C34" s="1842">
        <f t="shared" si="10"/>
        <v>2.7022158169699155E-2</v>
      </c>
      <c r="D34" s="1850">
        <v>1</v>
      </c>
      <c r="E34" s="1842">
        <f t="shared" si="1"/>
        <v>7.6318400366328313E-3</v>
      </c>
      <c r="F34" s="1850">
        <v>6</v>
      </c>
      <c r="G34" s="1842">
        <f t="shared" si="2"/>
        <v>3.979307600477517E-2</v>
      </c>
      <c r="H34" s="1850" t="s">
        <v>1</v>
      </c>
      <c r="I34" s="1842" t="s">
        <v>5</v>
      </c>
      <c r="J34" s="1850">
        <v>1</v>
      </c>
      <c r="K34" s="1845">
        <f t="shared" si="4"/>
        <v>9.1166013310237954E-3</v>
      </c>
      <c r="L34" s="1848">
        <v>1</v>
      </c>
      <c r="M34" s="1842">
        <f t="shared" si="5"/>
        <v>9.0892564988183967E-3</v>
      </c>
      <c r="N34" s="1850">
        <v>3</v>
      </c>
      <c r="O34" s="1842">
        <f t="shared" si="6"/>
        <v>3.0690537084398974E-2</v>
      </c>
      <c r="P34" s="1850" t="s">
        <v>1</v>
      </c>
      <c r="Q34" s="1842" t="s">
        <v>1898</v>
      </c>
      <c r="R34" s="1850" t="s">
        <v>1</v>
      </c>
      <c r="S34" s="1845" t="s">
        <v>5</v>
      </c>
      <c r="T34" s="1848">
        <v>5</v>
      </c>
      <c r="U34" s="1845">
        <f t="shared" si="9"/>
        <v>5.2960491473360877E-2</v>
      </c>
    </row>
    <row r="35" spans="1:21" ht="16.5">
      <c r="A35" s="299" t="s">
        <v>2406</v>
      </c>
      <c r="B35" s="1850">
        <v>7</v>
      </c>
      <c r="C35" s="1842">
        <f t="shared" si="10"/>
        <v>6.3051702395964693E-2</v>
      </c>
      <c r="D35" s="1850">
        <v>6</v>
      </c>
      <c r="E35" s="1842">
        <f t="shared" si="1"/>
        <v>4.5791040219796991E-2</v>
      </c>
      <c r="F35" s="1850">
        <v>1</v>
      </c>
      <c r="G35" s="1842">
        <f t="shared" si="2"/>
        <v>6.6321793341291941E-3</v>
      </c>
      <c r="H35" s="1850">
        <v>1</v>
      </c>
      <c r="I35" s="1842">
        <f>H35/H$4*100</f>
        <v>8.3070277454726713E-3</v>
      </c>
      <c r="J35" s="1850">
        <v>1</v>
      </c>
      <c r="K35" s="1845">
        <f t="shared" si="4"/>
        <v>9.1166013310237954E-3</v>
      </c>
      <c r="L35" s="1848">
        <v>2</v>
      </c>
      <c r="M35" s="1842">
        <f t="shared" si="5"/>
        <v>1.8178512997636793E-2</v>
      </c>
      <c r="N35" s="1850">
        <v>4</v>
      </c>
      <c r="O35" s="1842">
        <f t="shared" si="6"/>
        <v>4.0920716112531973E-2</v>
      </c>
      <c r="P35" s="1850">
        <v>3</v>
      </c>
      <c r="Q35" s="1842">
        <f>P35/P$4*100</f>
        <v>2.857414991903991E-2</v>
      </c>
      <c r="R35" s="1850" t="s">
        <v>1</v>
      </c>
      <c r="S35" s="1842" t="s">
        <v>5</v>
      </c>
      <c r="T35" s="1850">
        <v>4</v>
      </c>
      <c r="U35" s="1845">
        <f t="shared" si="9"/>
        <v>4.2368393178688693E-2</v>
      </c>
    </row>
    <row r="36" spans="1:21" ht="16.5">
      <c r="A36" s="299" t="s">
        <v>2407</v>
      </c>
      <c r="B36" s="1852">
        <v>5</v>
      </c>
      <c r="C36" s="1842">
        <f t="shared" si="10"/>
        <v>4.503693028283192E-2</v>
      </c>
      <c r="D36" s="1852">
        <v>3</v>
      </c>
      <c r="E36" s="1842">
        <f t="shared" si="1"/>
        <v>2.2895520109898496E-2</v>
      </c>
      <c r="F36" s="1852">
        <v>4</v>
      </c>
      <c r="G36" s="1842">
        <f t="shared" si="2"/>
        <v>2.6528717336516777E-2</v>
      </c>
      <c r="H36" s="1852" t="s">
        <v>1</v>
      </c>
      <c r="I36" s="1842" t="s">
        <v>1898</v>
      </c>
      <c r="J36" s="1852">
        <v>10</v>
      </c>
      <c r="K36" s="1845">
        <f t="shared" si="4"/>
        <v>9.1166013310237937E-2</v>
      </c>
      <c r="L36" s="1848">
        <v>2</v>
      </c>
      <c r="M36" s="1842">
        <f t="shared" si="5"/>
        <v>1.8178512997636793E-2</v>
      </c>
      <c r="N36" s="1852" t="s">
        <v>1</v>
      </c>
      <c r="O36" s="1842" t="s">
        <v>5</v>
      </c>
      <c r="P36" s="1852" t="s">
        <v>1</v>
      </c>
      <c r="Q36" s="1842" t="s">
        <v>5</v>
      </c>
      <c r="R36" s="1852">
        <v>8</v>
      </c>
      <c r="S36" s="1845">
        <f>R36/R$4*100</f>
        <v>8.9958394242662762E-2</v>
      </c>
      <c r="T36" s="1848">
        <v>1</v>
      </c>
      <c r="U36" s="1845">
        <f t="shared" si="9"/>
        <v>1.0592098294672173E-2</v>
      </c>
    </row>
    <row r="37" spans="1:21" ht="16.5">
      <c r="A37" s="299" t="s">
        <v>2408</v>
      </c>
      <c r="B37" s="1852">
        <v>5</v>
      </c>
      <c r="C37" s="1842">
        <f t="shared" si="10"/>
        <v>4.503693028283192E-2</v>
      </c>
      <c r="D37" s="1852">
        <v>2</v>
      </c>
      <c r="E37" s="1842">
        <f t="shared" si="1"/>
        <v>1.5263680073265663E-2</v>
      </c>
      <c r="F37" s="1852">
        <v>3</v>
      </c>
      <c r="G37" s="1842">
        <f t="shared" si="2"/>
        <v>1.9896538002387585E-2</v>
      </c>
      <c r="H37" s="1852">
        <v>1</v>
      </c>
      <c r="I37" s="1842">
        <f>H37/H$4*100</f>
        <v>8.3070277454726713E-3</v>
      </c>
      <c r="J37" s="1852">
        <v>6</v>
      </c>
      <c r="K37" s="1845">
        <f t="shared" si="4"/>
        <v>5.4699607986142769E-2</v>
      </c>
      <c r="L37" s="1848" t="s">
        <v>1</v>
      </c>
      <c r="M37" s="1842" t="s">
        <v>2409</v>
      </c>
      <c r="N37" s="1852">
        <v>4</v>
      </c>
      <c r="O37" s="1842">
        <f>N37/N$4*100</f>
        <v>4.0920716112531973E-2</v>
      </c>
      <c r="P37" s="1852">
        <v>4</v>
      </c>
      <c r="Q37" s="1842">
        <f>P37/P$4*100</f>
        <v>3.8098866558719878E-2</v>
      </c>
      <c r="R37" s="1852">
        <v>2</v>
      </c>
      <c r="S37" s="1845">
        <f>R37/R$4*100</f>
        <v>2.248959856066569E-2</v>
      </c>
      <c r="T37" s="1848">
        <v>1</v>
      </c>
      <c r="U37" s="1845">
        <f t="shared" si="9"/>
        <v>1.0592098294672173E-2</v>
      </c>
    </row>
    <row r="38" spans="1:21" ht="18" customHeight="1">
      <c r="A38" s="299" t="s">
        <v>2410</v>
      </c>
      <c r="B38" s="1848">
        <v>1</v>
      </c>
      <c r="C38" s="1842">
        <f t="shared" si="10"/>
        <v>9.0073860565663844E-3</v>
      </c>
      <c r="D38" s="1848" t="s">
        <v>1</v>
      </c>
      <c r="E38" s="1842" t="s">
        <v>5</v>
      </c>
      <c r="F38" s="1848">
        <v>1</v>
      </c>
      <c r="G38" s="1842">
        <f t="shared" si="2"/>
        <v>6.6321793341291941E-3</v>
      </c>
      <c r="H38" s="1848">
        <v>1</v>
      </c>
      <c r="I38" s="1842">
        <f>H38/H$4*100</f>
        <v>8.3070277454726713E-3</v>
      </c>
      <c r="J38" s="1848">
        <v>1</v>
      </c>
      <c r="K38" s="1842">
        <f t="shared" si="4"/>
        <v>9.1166013310237954E-3</v>
      </c>
      <c r="L38" s="1848">
        <v>4</v>
      </c>
      <c r="M38" s="1842">
        <f>L38/L$4*100</f>
        <v>3.6357025995273587E-2</v>
      </c>
      <c r="N38" s="1848">
        <v>4</v>
      </c>
      <c r="O38" s="1842">
        <f>N38/N$4*100</f>
        <v>4.0920716112531973E-2</v>
      </c>
      <c r="P38" s="1848">
        <v>5</v>
      </c>
      <c r="Q38" s="1842">
        <f>P38/P$4*100</f>
        <v>4.7623583198399849E-2</v>
      </c>
      <c r="R38" s="1848">
        <v>1</v>
      </c>
      <c r="S38" s="1845">
        <f>R38/R$4*100</f>
        <v>1.1244799280332845E-2</v>
      </c>
      <c r="T38" s="1848">
        <v>1</v>
      </c>
      <c r="U38" s="1845">
        <f t="shared" si="9"/>
        <v>1.0592098294672173E-2</v>
      </c>
    </row>
    <row r="39" spans="1:21" ht="18" customHeight="1">
      <c r="A39" s="299" t="s">
        <v>2411</v>
      </c>
      <c r="B39" s="1848" t="s">
        <v>1</v>
      </c>
      <c r="C39" s="1842" t="s">
        <v>5</v>
      </c>
      <c r="D39" s="1848" t="s">
        <v>1</v>
      </c>
      <c r="E39" s="1842" t="s">
        <v>1898</v>
      </c>
      <c r="F39" s="1848" t="s">
        <v>1</v>
      </c>
      <c r="G39" s="1842" t="s">
        <v>2409</v>
      </c>
      <c r="H39" s="1848" t="s">
        <v>1</v>
      </c>
      <c r="I39" s="1842" t="s">
        <v>2409</v>
      </c>
      <c r="J39" s="1848">
        <v>1</v>
      </c>
      <c r="K39" s="1842">
        <f t="shared" si="4"/>
        <v>9.1166013310237954E-3</v>
      </c>
      <c r="L39" s="1848">
        <v>1</v>
      </c>
      <c r="M39" s="1842">
        <f>L39/L$4*100</f>
        <v>9.0892564988183967E-3</v>
      </c>
      <c r="N39" s="1848">
        <v>1</v>
      </c>
      <c r="O39" s="1842">
        <f>N39/N$4*100</f>
        <v>1.0230179028132993E-2</v>
      </c>
      <c r="P39" s="1848" t="s">
        <v>1</v>
      </c>
      <c r="Q39" s="1842" t="s">
        <v>5</v>
      </c>
      <c r="R39" s="1848">
        <v>1</v>
      </c>
      <c r="S39" s="1845">
        <f>R39/R$4*100</f>
        <v>1.1244799280332845E-2</v>
      </c>
      <c r="T39" s="1848">
        <v>1</v>
      </c>
      <c r="U39" s="1845">
        <f t="shared" si="9"/>
        <v>1.0592098294672173E-2</v>
      </c>
    </row>
    <row r="40" spans="1:21" ht="18" customHeight="1">
      <c r="A40" s="299" t="s">
        <v>2412</v>
      </c>
      <c r="B40" s="1848" t="s">
        <v>1</v>
      </c>
      <c r="C40" s="1842" t="s">
        <v>2409</v>
      </c>
      <c r="D40" s="1848">
        <v>1</v>
      </c>
      <c r="E40" s="1842">
        <f>D40/D$4*100</f>
        <v>7.6318400366328313E-3</v>
      </c>
      <c r="F40" s="1848">
        <v>1</v>
      </c>
      <c r="G40" s="1842">
        <f>F40/F$4*100</f>
        <v>6.6321793341291941E-3</v>
      </c>
      <c r="H40" s="1848">
        <v>3</v>
      </c>
      <c r="I40" s="1842">
        <f>H40/H$4*100</f>
        <v>2.492108323641801E-2</v>
      </c>
      <c r="J40" s="1848" t="s">
        <v>1</v>
      </c>
      <c r="K40" s="1842" t="s">
        <v>1898</v>
      </c>
      <c r="L40" s="1848">
        <v>3</v>
      </c>
      <c r="M40" s="1842">
        <f>L40/L$4*100</f>
        <v>2.7267769496455194E-2</v>
      </c>
      <c r="N40" s="1848" t="s">
        <v>1</v>
      </c>
      <c r="O40" s="1842" t="s">
        <v>1898</v>
      </c>
      <c r="P40" s="1848">
        <v>2</v>
      </c>
      <c r="Q40" s="1842">
        <f>P40/P$4*100</f>
        <v>1.9049433279359939E-2</v>
      </c>
      <c r="R40" s="1848" t="s">
        <v>1</v>
      </c>
      <c r="S40" s="1845" t="s">
        <v>1898</v>
      </c>
      <c r="T40" s="1848">
        <v>1</v>
      </c>
      <c r="U40" s="1845">
        <f t="shared" si="9"/>
        <v>1.0592098294672173E-2</v>
      </c>
    </row>
    <row r="41" spans="1:21" ht="18" customHeight="1">
      <c r="A41" s="299" t="s">
        <v>2413</v>
      </c>
      <c r="B41" s="1848">
        <v>1</v>
      </c>
      <c r="C41" s="1842">
        <f>B41/B$4*100</f>
        <v>9.0073860565663844E-3</v>
      </c>
      <c r="D41" s="1848">
        <v>2</v>
      </c>
      <c r="E41" s="1842">
        <f>D41/D$4*100</f>
        <v>1.5263680073265663E-2</v>
      </c>
      <c r="F41" s="1848">
        <v>8</v>
      </c>
      <c r="G41" s="1842">
        <f>F41/F$4*100</f>
        <v>5.3057434673033553E-2</v>
      </c>
      <c r="H41" s="1848">
        <v>17</v>
      </c>
      <c r="I41" s="1842">
        <f>H41/H$4*100</f>
        <v>0.14121947167303539</v>
      </c>
      <c r="J41" s="1848">
        <v>14</v>
      </c>
      <c r="K41" s="1842">
        <f>J41/J$4*100</f>
        <v>0.12763241863433314</v>
      </c>
      <c r="L41" s="1848">
        <v>10</v>
      </c>
      <c r="M41" s="1842">
        <f>L41/L$4*100</f>
        <v>9.089256498818396E-2</v>
      </c>
      <c r="N41" s="1848">
        <v>3</v>
      </c>
      <c r="O41" s="1842">
        <f>N41/N$4*100</f>
        <v>3.0690537084398974E-2</v>
      </c>
      <c r="P41" s="1848">
        <v>2</v>
      </c>
      <c r="Q41" s="1842">
        <f>P41/P$4*100</f>
        <v>1.9049433279359939E-2</v>
      </c>
      <c r="R41" s="1848" t="s">
        <v>1</v>
      </c>
      <c r="S41" s="1845" t="s">
        <v>1898</v>
      </c>
      <c r="T41" s="1848">
        <v>1</v>
      </c>
      <c r="U41" s="1845">
        <f t="shared" si="9"/>
        <v>1.0592098294672173E-2</v>
      </c>
    </row>
    <row r="42" spans="1:21" ht="18" customHeight="1">
      <c r="A42" s="299" t="s">
        <v>2414</v>
      </c>
      <c r="B42" s="1848">
        <v>2</v>
      </c>
      <c r="C42" s="1842">
        <f>B42/B$4*100</f>
        <v>1.8014772113132769E-2</v>
      </c>
      <c r="D42" s="1848">
        <v>1</v>
      </c>
      <c r="E42" s="1842">
        <f>D42/D$4*100</f>
        <v>7.6318400366328313E-3</v>
      </c>
      <c r="F42" s="1848">
        <v>3</v>
      </c>
      <c r="G42" s="1842">
        <f>F42/F$4*100</f>
        <v>1.9896538002387585E-2</v>
      </c>
      <c r="H42" s="1848">
        <v>2</v>
      </c>
      <c r="I42" s="1842">
        <f>H42/H$4*100</f>
        <v>1.6614055490945343E-2</v>
      </c>
      <c r="J42" s="1848">
        <v>2</v>
      </c>
      <c r="K42" s="1842">
        <f>J42/J$4*100</f>
        <v>1.8233202662047591E-2</v>
      </c>
      <c r="L42" s="1848">
        <v>1</v>
      </c>
      <c r="M42" s="1842">
        <f>L42/L$4*100</f>
        <v>9.0892564988183967E-3</v>
      </c>
      <c r="N42" s="1848">
        <v>2</v>
      </c>
      <c r="O42" s="1842">
        <f>N42/N$4*100</f>
        <v>2.0460358056265986E-2</v>
      </c>
      <c r="P42" s="1848">
        <v>1</v>
      </c>
      <c r="Q42" s="1842">
        <f>P42/P$4*100</f>
        <v>9.5247166396799695E-3</v>
      </c>
      <c r="R42" s="1848" t="s">
        <v>1</v>
      </c>
      <c r="S42" s="1845" t="s">
        <v>5</v>
      </c>
      <c r="T42" s="1848">
        <v>1</v>
      </c>
      <c r="U42" s="1845">
        <f t="shared" si="9"/>
        <v>1.0592098294672173E-2</v>
      </c>
    </row>
    <row r="43" spans="1:21" ht="18" customHeight="1">
      <c r="A43" s="299" t="s">
        <v>2415</v>
      </c>
      <c r="B43" s="1848">
        <v>1</v>
      </c>
      <c r="C43" s="1842">
        <f>B43/B$4*100</f>
        <v>9.0073860565663844E-3</v>
      </c>
      <c r="D43" s="1848" t="s">
        <v>1</v>
      </c>
      <c r="E43" s="1842" t="s">
        <v>5</v>
      </c>
      <c r="F43" s="1848">
        <v>1</v>
      </c>
      <c r="G43" s="1842">
        <f>F43/F$4*100</f>
        <v>6.6321793341291941E-3</v>
      </c>
      <c r="H43" s="1848" t="s">
        <v>1</v>
      </c>
      <c r="I43" s="1842" t="s">
        <v>1898</v>
      </c>
      <c r="J43" s="1848" t="s">
        <v>1</v>
      </c>
      <c r="K43" s="1842" t="s">
        <v>5</v>
      </c>
      <c r="L43" s="1848" t="s">
        <v>1</v>
      </c>
      <c r="M43" s="1842" t="s">
        <v>5</v>
      </c>
      <c r="N43" s="1848">
        <v>3</v>
      </c>
      <c r="O43" s="1842">
        <f>N43/N$4*100</f>
        <v>3.0690537084398974E-2</v>
      </c>
      <c r="P43" s="1848" t="s">
        <v>1</v>
      </c>
      <c r="Q43" s="1842" t="s">
        <v>5</v>
      </c>
      <c r="R43" s="1848">
        <v>3</v>
      </c>
      <c r="S43" s="1845">
        <f>R43/R$4*100</f>
        <v>3.3734397840998541E-2</v>
      </c>
      <c r="T43" s="1848" t="s">
        <v>1898</v>
      </c>
      <c r="U43" s="1845" t="s">
        <v>5</v>
      </c>
    </row>
    <row r="44" spans="1:21" ht="18" customHeight="1">
      <c r="A44" s="299" t="s">
        <v>2416</v>
      </c>
      <c r="B44" s="1848">
        <v>1</v>
      </c>
      <c r="C44" s="1842">
        <f>B44/B$4*100</f>
        <v>9.0073860565663844E-3</v>
      </c>
      <c r="D44" s="1848" t="s">
        <v>1</v>
      </c>
      <c r="E44" s="1842" t="s">
        <v>5</v>
      </c>
      <c r="F44" s="1848" t="s">
        <v>1</v>
      </c>
      <c r="G44" s="1842" t="s">
        <v>5</v>
      </c>
      <c r="H44" s="1848" t="s">
        <v>1</v>
      </c>
      <c r="I44" s="1842" t="s">
        <v>1898</v>
      </c>
      <c r="J44" s="1848" t="s">
        <v>1</v>
      </c>
      <c r="K44" s="1842" t="s">
        <v>5</v>
      </c>
      <c r="L44" s="1848">
        <v>1</v>
      </c>
      <c r="M44" s="1842">
        <f>L44/L$4*100</f>
        <v>9.0892564988183967E-3</v>
      </c>
      <c r="N44" s="1848" t="s">
        <v>1</v>
      </c>
      <c r="O44" s="1842" t="s">
        <v>1898</v>
      </c>
      <c r="P44" s="1848" t="s">
        <v>1</v>
      </c>
      <c r="Q44" s="1842" t="s">
        <v>1898</v>
      </c>
      <c r="R44" s="1848">
        <v>3</v>
      </c>
      <c r="S44" s="1845">
        <f>R44/R$4*100</f>
        <v>3.3734397840998541E-2</v>
      </c>
      <c r="T44" s="1848" t="s">
        <v>1898</v>
      </c>
      <c r="U44" s="1845" t="s">
        <v>5</v>
      </c>
    </row>
    <row r="45" spans="1:21" ht="18" customHeight="1">
      <c r="A45" s="299" t="s">
        <v>2417</v>
      </c>
      <c r="B45" s="1848" t="s">
        <v>1</v>
      </c>
      <c r="C45" s="1842" t="s">
        <v>5</v>
      </c>
      <c r="D45" s="1848">
        <v>2</v>
      </c>
      <c r="E45" s="1842">
        <f>D45/D$4*100</f>
        <v>1.5263680073265663E-2</v>
      </c>
      <c r="F45" s="1848">
        <v>2</v>
      </c>
      <c r="G45" s="1842">
        <f>F45/F$4*100</f>
        <v>1.3264358668258388E-2</v>
      </c>
      <c r="H45" s="1848" t="s">
        <v>1</v>
      </c>
      <c r="I45" s="1842" t="s">
        <v>5</v>
      </c>
      <c r="J45" s="1848" t="s">
        <v>1</v>
      </c>
      <c r="K45" s="1842" t="s">
        <v>1898</v>
      </c>
      <c r="L45" s="1848" t="s">
        <v>1</v>
      </c>
      <c r="M45" s="1842" t="s">
        <v>5</v>
      </c>
      <c r="N45" s="1848">
        <v>3</v>
      </c>
      <c r="O45" s="1842">
        <f>N45/N$4*100</f>
        <v>3.0690537084398974E-2</v>
      </c>
      <c r="P45" s="1848" t="s">
        <v>1</v>
      </c>
      <c r="Q45" s="1842" t="s">
        <v>5</v>
      </c>
      <c r="R45" s="1848">
        <v>1</v>
      </c>
      <c r="S45" s="1845">
        <f>R45/R$4*100</f>
        <v>1.1244799280332845E-2</v>
      </c>
      <c r="T45" s="1848" t="s">
        <v>1898</v>
      </c>
      <c r="U45" s="1845" t="s">
        <v>1898</v>
      </c>
    </row>
    <row r="46" spans="1:21" ht="16.5">
      <c r="A46" s="299" t="s">
        <v>2418</v>
      </c>
      <c r="B46" s="1853">
        <v>582</v>
      </c>
      <c r="C46" s="1854">
        <f t="shared" ref="C46" si="11">B46/B$4*100</f>
        <v>5.2422986849216358</v>
      </c>
      <c r="D46" s="1853">
        <v>893</v>
      </c>
      <c r="E46" s="1854">
        <f t="shared" ref="E46" si="12">D46/D$4*100</f>
        <v>6.8152331527131196</v>
      </c>
      <c r="F46" s="1853">
        <v>1268</v>
      </c>
      <c r="G46" s="1854">
        <f t="shared" ref="G46" si="13">F46/F$4*100</f>
        <v>8.409603395675818</v>
      </c>
      <c r="H46" s="1853">
        <v>1131</v>
      </c>
      <c r="I46" s="1854">
        <f t="shared" ref="I46" si="14">H46/H$4*100</f>
        <v>9.3952483801295887</v>
      </c>
      <c r="J46" s="1853">
        <v>924</v>
      </c>
      <c r="K46" s="1855">
        <f t="shared" ref="K46" si="15">J46/J$4*100</f>
        <v>8.4237396298659846</v>
      </c>
      <c r="L46" s="1856">
        <v>1012</v>
      </c>
      <c r="M46" s="1854">
        <f t="shared" ref="M46" si="16">L46/L$4*100</f>
        <v>9.1983275768042176</v>
      </c>
      <c r="N46" s="1853">
        <v>703</v>
      </c>
      <c r="O46" s="1855">
        <f t="shared" ref="O46" si="17">N46/N$4*100</f>
        <v>7.1918158567774935</v>
      </c>
      <c r="P46" s="1856">
        <v>857</v>
      </c>
      <c r="Q46" s="1855">
        <f t="shared" ref="Q46" si="18">P46/P$4*100</f>
        <v>8.1626821602057333</v>
      </c>
      <c r="R46" s="1856">
        <v>559</v>
      </c>
      <c r="S46" s="1855">
        <f t="shared" ref="S46" si="19">R46/R$4*100</f>
        <v>6.2858427977060609</v>
      </c>
      <c r="T46" s="1856">
        <v>687</v>
      </c>
      <c r="U46" s="1855">
        <f t="shared" ref="U46" si="20">T46/T$4*100</f>
        <v>7.2767715284397836</v>
      </c>
    </row>
    <row r="47" spans="1:21" ht="16.5">
      <c r="A47" s="3731" t="s">
        <v>2419</v>
      </c>
      <c r="B47" s="3731"/>
      <c r="C47" s="3731"/>
      <c r="D47" s="3731"/>
    </row>
    <row r="48" spans="1:21" ht="16.5">
      <c r="A48" s="3732" t="s">
        <v>2420</v>
      </c>
      <c r="B48" s="3732"/>
      <c r="C48" s="3732"/>
      <c r="D48" s="3732"/>
    </row>
    <row r="49" spans="2:4">
      <c r="B49" s="1795"/>
      <c r="C49" s="1795"/>
      <c r="D49" s="1795"/>
    </row>
    <row r="50" spans="2:4">
      <c r="B50" s="1795"/>
      <c r="C50" s="1795"/>
      <c r="D50" s="1795"/>
    </row>
  </sheetData>
  <mergeCells count="13">
    <mergeCell ref="T2:U2"/>
    <mergeCell ref="A47:D47"/>
    <mergeCell ref="A48:D48"/>
    <mergeCell ref="A1:U1"/>
    <mergeCell ref="B2:C2"/>
    <mergeCell ref="D2:E2"/>
    <mergeCell ref="F2:G2"/>
    <mergeCell ref="H2:I2"/>
    <mergeCell ref="J2:K2"/>
    <mergeCell ref="L2:M2"/>
    <mergeCell ref="N2:O2"/>
    <mergeCell ref="P2:Q2"/>
    <mergeCell ref="R2:S2"/>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39"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J29"/>
  <sheetViews>
    <sheetView showGridLines="0" showRuler="0" zoomScaleNormal="100" zoomScalePageLayoutView="125" workbookViewId="0">
      <selection activeCell="B18" sqref="B18:D18"/>
    </sheetView>
  </sheetViews>
  <sheetFormatPr defaultColWidth="9" defaultRowHeight="15.75"/>
  <cols>
    <col min="1" max="1" width="5" style="1795" customWidth="1"/>
    <col min="2" max="2" width="6.375" style="1795" customWidth="1"/>
    <col min="3" max="3" width="9" style="1795"/>
    <col min="4" max="4" width="33.875" style="1795" customWidth="1"/>
    <col min="5" max="7" width="11.625" style="1795" customWidth="1"/>
    <col min="8" max="8" width="11.625" style="1849" customWidth="1"/>
    <col min="9" max="16384" width="9" style="1795"/>
  </cols>
  <sheetData>
    <row r="1" spans="1:8" ht="27" customHeight="1">
      <c r="A1" s="3733" t="s">
        <v>2421</v>
      </c>
      <c r="B1" s="3733"/>
      <c r="C1" s="3733"/>
      <c r="D1" s="3733"/>
      <c r="E1" s="3733"/>
      <c r="F1" s="3733"/>
      <c r="G1" s="3733"/>
      <c r="H1" s="3733"/>
    </row>
    <row r="2" spans="1:8" ht="33">
      <c r="A2" s="3722" t="s">
        <v>2422</v>
      </c>
      <c r="B2" s="3735"/>
      <c r="C2" s="3735"/>
      <c r="D2" s="3736"/>
      <c r="E2" s="1859" t="s">
        <v>2423</v>
      </c>
      <c r="F2" s="1860" t="s">
        <v>2424</v>
      </c>
      <c r="G2" s="1860" t="s">
        <v>2425</v>
      </c>
      <c r="H2" s="1861" t="s">
        <v>2426</v>
      </c>
    </row>
    <row r="3" spans="1:8" ht="16.5">
      <c r="A3" s="3737" t="s">
        <v>2427</v>
      </c>
      <c r="B3" s="3738"/>
      <c r="C3" s="3739" t="s">
        <v>2428</v>
      </c>
      <c r="D3" s="3740"/>
      <c r="E3" s="1862">
        <v>19010</v>
      </c>
      <c r="F3" s="1862">
        <v>17509</v>
      </c>
      <c r="G3" s="1862">
        <v>766</v>
      </c>
      <c r="H3" s="1863">
        <v>735</v>
      </c>
    </row>
    <row r="4" spans="1:8" ht="16.5">
      <c r="A4" s="3737"/>
      <c r="B4" s="3738"/>
      <c r="C4" s="3741" t="s">
        <v>2429</v>
      </c>
      <c r="D4" s="3741"/>
      <c r="E4" s="1862">
        <v>3098</v>
      </c>
      <c r="F4" s="1862">
        <v>2844</v>
      </c>
      <c r="G4" s="1864">
        <v>254</v>
      </c>
      <c r="H4" s="1865" t="s">
        <v>2430</v>
      </c>
    </row>
    <row r="5" spans="1:8" ht="16.5">
      <c r="A5" s="3737"/>
      <c r="B5" s="3738"/>
      <c r="C5" s="3741" t="s">
        <v>2431</v>
      </c>
      <c r="D5" s="3741"/>
      <c r="E5" s="1862">
        <v>15912</v>
      </c>
      <c r="F5" s="1862">
        <v>14665</v>
      </c>
      <c r="G5" s="1864">
        <v>512</v>
      </c>
      <c r="H5" s="1865">
        <v>735</v>
      </c>
    </row>
    <row r="6" spans="1:8" ht="16.5">
      <c r="A6" s="3742" t="s">
        <v>2432</v>
      </c>
      <c r="B6" s="3743"/>
      <c r="C6" s="3741" t="s">
        <v>2428</v>
      </c>
      <c r="D6" s="3741"/>
      <c r="E6" s="1862">
        <v>19010</v>
      </c>
      <c r="F6" s="1862">
        <v>17509</v>
      </c>
      <c r="G6" s="1862">
        <v>766</v>
      </c>
      <c r="H6" s="1863">
        <v>735</v>
      </c>
    </row>
    <row r="7" spans="1:8" ht="16.5">
      <c r="A7" s="3744"/>
      <c r="B7" s="3745"/>
      <c r="C7" s="3741" t="s">
        <v>2433</v>
      </c>
      <c r="D7" s="3741"/>
      <c r="E7" s="1862">
        <v>15608</v>
      </c>
      <c r="F7" s="1862">
        <v>14270</v>
      </c>
      <c r="G7" s="1864">
        <v>766</v>
      </c>
      <c r="H7" s="1865">
        <v>572</v>
      </c>
    </row>
    <row r="8" spans="1:8" ht="17.25" thickBot="1">
      <c r="A8" s="3744"/>
      <c r="B8" s="3745"/>
      <c r="C8" s="3746" t="s">
        <v>2434</v>
      </c>
      <c r="D8" s="3746"/>
      <c r="E8" s="1866">
        <v>3402</v>
      </c>
      <c r="F8" s="1866">
        <v>3239</v>
      </c>
      <c r="G8" s="1866" t="s">
        <v>2435</v>
      </c>
      <c r="H8" s="1867">
        <v>163</v>
      </c>
    </row>
    <row r="9" spans="1:8" ht="16.5" customHeight="1" thickTop="1">
      <c r="A9" s="3747" t="s">
        <v>2436</v>
      </c>
      <c r="B9" s="3749" t="s">
        <v>2437</v>
      </c>
      <c r="C9" s="3749"/>
      <c r="D9" s="3749"/>
      <c r="E9" s="1868">
        <v>19837</v>
      </c>
      <c r="F9" s="1868">
        <v>18319</v>
      </c>
      <c r="G9" s="1868">
        <v>852</v>
      </c>
      <c r="H9" s="1869">
        <v>666</v>
      </c>
    </row>
    <row r="10" spans="1:8" ht="16.5">
      <c r="A10" s="3748"/>
      <c r="B10" s="3741" t="s">
        <v>2438</v>
      </c>
      <c r="C10" s="3741"/>
      <c r="D10" s="3741"/>
      <c r="E10" s="1862">
        <v>2556</v>
      </c>
      <c r="F10" s="1862">
        <v>2481</v>
      </c>
      <c r="G10" s="1862">
        <v>39</v>
      </c>
      <c r="H10" s="1863">
        <v>36</v>
      </c>
    </row>
    <row r="11" spans="1:8" ht="21" customHeight="1">
      <c r="A11" s="3748"/>
      <c r="B11" s="3750" t="s">
        <v>2439</v>
      </c>
      <c r="C11" s="3741" t="s">
        <v>2440</v>
      </c>
      <c r="D11" s="3741"/>
      <c r="E11" s="1862">
        <v>274</v>
      </c>
      <c r="F11" s="1862">
        <v>274</v>
      </c>
      <c r="G11" s="1862" t="s">
        <v>1</v>
      </c>
      <c r="H11" s="1863" t="s">
        <v>2435</v>
      </c>
    </row>
    <row r="12" spans="1:8" ht="21" customHeight="1">
      <c r="A12" s="3748"/>
      <c r="B12" s="3750"/>
      <c r="C12" s="3752" t="s">
        <v>2441</v>
      </c>
      <c r="D12" s="3753"/>
      <c r="E12" s="1862">
        <v>196</v>
      </c>
      <c r="F12" s="1862">
        <v>196</v>
      </c>
      <c r="G12" s="1862" t="s">
        <v>1</v>
      </c>
      <c r="H12" s="1863" t="s">
        <v>2442</v>
      </c>
    </row>
    <row r="13" spans="1:8" ht="21" customHeight="1">
      <c r="A13" s="3748"/>
      <c r="B13" s="3750"/>
      <c r="C13" s="3741" t="s">
        <v>2443</v>
      </c>
      <c r="D13" s="3741"/>
      <c r="E13" s="1862">
        <v>67</v>
      </c>
      <c r="F13" s="1862">
        <v>67</v>
      </c>
      <c r="G13" s="1862" t="s">
        <v>1</v>
      </c>
      <c r="H13" s="1863" t="s">
        <v>2442</v>
      </c>
    </row>
    <row r="14" spans="1:8" ht="21" customHeight="1">
      <c r="A14" s="3748"/>
      <c r="B14" s="3751"/>
      <c r="C14" s="3741" t="s">
        <v>2444</v>
      </c>
      <c r="D14" s="3741"/>
      <c r="E14" s="1862">
        <v>11</v>
      </c>
      <c r="F14" s="1862">
        <v>11</v>
      </c>
      <c r="G14" s="1862" t="s">
        <v>1</v>
      </c>
      <c r="H14" s="1863" t="s">
        <v>2435</v>
      </c>
    </row>
    <row r="15" spans="1:8" ht="16.5">
      <c r="A15" s="3748"/>
      <c r="B15" s="3754" t="s">
        <v>2445</v>
      </c>
      <c r="C15" s="3741" t="s">
        <v>2440</v>
      </c>
      <c r="D15" s="3741"/>
      <c r="E15" s="1862">
        <v>5497</v>
      </c>
      <c r="F15" s="1862">
        <v>5100</v>
      </c>
      <c r="G15" s="1862">
        <v>134</v>
      </c>
      <c r="H15" s="1863">
        <v>263</v>
      </c>
    </row>
    <row r="16" spans="1:8" ht="16.5">
      <c r="A16" s="3748"/>
      <c r="B16" s="3750"/>
      <c r="C16" s="3741" t="s">
        <v>2446</v>
      </c>
      <c r="D16" s="3741"/>
      <c r="E16" s="1862">
        <v>3474</v>
      </c>
      <c r="F16" s="1862">
        <v>3142</v>
      </c>
      <c r="G16" s="1862">
        <v>106</v>
      </c>
      <c r="H16" s="1863">
        <v>226</v>
      </c>
    </row>
    <row r="17" spans="1:10" ht="16.5">
      <c r="A17" s="3748"/>
      <c r="B17" s="3750"/>
      <c r="C17" s="3755" t="s">
        <v>2447</v>
      </c>
      <c r="D17" s="1870" t="s">
        <v>2448</v>
      </c>
      <c r="E17" s="1862">
        <v>2023</v>
      </c>
      <c r="F17" s="1862">
        <v>1958</v>
      </c>
      <c r="G17" s="1862">
        <v>28</v>
      </c>
      <c r="H17" s="1863">
        <v>37</v>
      </c>
    </row>
    <row r="18" spans="1:10" ht="16.5">
      <c r="A18" s="3748"/>
      <c r="B18" s="3750"/>
      <c r="C18" s="3756"/>
      <c r="D18" s="1870" t="s">
        <v>2449</v>
      </c>
      <c r="E18" s="1862">
        <v>119</v>
      </c>
      <c r="F18" s="1862">
        <v>106</v>
      </c>
      <c r="G18" s="1862">
        <v>9</v>
      </c>
      <c r="H18" s="1863">
        <v>4</v>
      </c>
    </row>
    <row r="19" spans="1:10" ht="16.5">
      <c r="A19" s="3748"/>
      <c r="B19" s="3750"/>
      <c r="C19" s="3757" t="s">
        <v>2450</v>
      </c>
      <c r="D19" s="1870" t="s">
        <v>2451</v>
      </c>
      <c r="E19" s="1862">
        <v>1276</v>
      </c>
      <c r="F19" s="1862">
        <v>1252</v>
      </c>
      <c r="G19" s="1862">
        <v>11</v>
      </c>
      <c r="H19" s="1863">
        <v>13</v>
      </c>
    </row>
    <row r="20" spans="1:10" ht="16.5">
      <c r="A20" s="3748"/>
      <c r="B20" s="3750"/>
      <c r="C20" s="3757"/>
      <c r="D20" s="1870" t="s">
        <v>2452</v>
      </c>
      <c r="E20" s="1862">
        <v>628</v>
      </c>
      <c r="F20" s="1862">
        <v>600</v>
      </c>
      <c r="G20" s="1862">
        <v>8</v>
      </c>
      <c r="H20" s="1863">
        <v>20</v>
      </c>
    </row>
    <row r="21" spans="1:10" ht="16.5">
      <c r="A21" s="3748"/>
      <c r="B21" s="3751"/>
      <c r="C21" s="3758"/>
      <c r="D21" s="1871" t="s">
        <v>2418</v>
      </c>
      <c r="E21" s="1862" t="s">
        <v>2442</v>
      </c>
      <c r="F21" s="1862" t="s">
        <v>1</v>
      </c>
      <c r="G21" s="1862" t="s">
        <v>2442</v>
      </c>
      <c r="H21" s="1863" t="s">
        <v>2435</v>
      </c>
    </row>
    <row r="22" spans="1:10" ht="16.5">
      <c r="A22" s="3748"/>
      <c r="B22" s="3741" t="s">
        <v>2453</v>
      </c>
      <c r="C22" s="3741"/>
      <c r="D22" s="3741"/>
      <c r="E22" s="1862">
        <v>10828</v>
      </c>
      <c r="F22" s="1862">
        <v>10077</v>
      </c>
      <c r="G22" s="1862">
        <v>395</v>
      </c>
      <c r="H22" s="1863">
        <v>356</v>
      </c>
    </row>
    <row r="23" spans="1:10" ht="16.5">
      <c r="A23" s="3748"/>
      <c r="B23" s="3741" t="s">
        <v>2454</v>
      </c>
      <c r="C23" s="3741"/>
      <c r="D23" s="3741"/>
      <c r="E23" s="1862">
        <v>72</v>
      </c>
      <c r="F23" s="1862">
        <v>64</v>
      </c>
      <c r="G23" s="1862">
        <v>7</v>
      </c>
      <c r="H23" s="1863">
        <v>1</v>
      </c>
    </row>
    <row r="24" spans="1:10" ht="16.5">
      <c r="A24" s="3748"/>
      <c r="B24" s="3741" t="s">
        <v>2455</v>
      </c>
      <c r="C24" s="3741"/>
      <c r="D24" s="3741"/>
      <c r="E24" s="1862">
        <v>311</v>
      </c>
      <c r="F24" s="1862">
        <v>299</v>
      </c>
      <c r="G24" s="1862">
        <v>5</v>
      </c>
      <c r="H24" s="1863">
        <v>7</v>
      </c>
    </row>
    <row r="25" spans="1:10" ht="17.25" thickBot="1">
      <c r="A25" s="3748"/>
      <c r="B25" s="3746" t="s">
        <v>2456</v>
      </c>
      <c r="C25" s="3746"/>
      <c r="D25" s="3746"/>
      <c r="E25" s="1866">
        <v>299</v>
      </c>
      <c r="F25" s="1866">
        <v>24</v>
      </c>
      <c r="G25" s="1866">
        <v>272</v>
      </c>
      <c r="H25" s="1867">
        <v>3</v>
      </c>
    </row>
    <row r="26" spans="1:10" ht="16.5" customHeight="1" thickTop="1">
      <c r="A26" s="3760" t="s">
        <v>2457</v>
      </c>
      <c r="B26" s="3760"/>
      <c r="C26" s="3760"/>
      <c r="D26" s="3761"/>
      <c r="E26" s="1868">
        <v>2</v>
      </c>
      <c r="F26" s="1868">
        <v>2</v>
      </c>
      <c r="G26" s="1868" t="s">
        <v>1</v>
      </c>
      <c r="H26" s="1869" t="s">
        <v>2442</v>
      </c>
      <c r="J26" s="1872"/>
    </row>
    <row r="27" spans="1:10">
      <c r="A27" s="3762" t="s">
        <v>2458</v>
      </c>
      <c r="B27" s="3763"/>
      <c r="C27" s="3763"/>
      <c r="D27" s="3763"/>
      <c r="E27" s="1873"/>
      <c r="F27" s="1873"/>
    </row>
    <row r="28" spans="1:10">
      <c r="A28" s="3759" t="s">
        <v>2459</v>
      </c>
      <c r="B28" s="3759"/>
      <c r="C28" s="3759"/>
      <c r="D28" s="3759"/>
      <c r="E28" s="3759"/>
      <c r="F28" s="1874"/>
    </row>
    <row r="29" spans="1:10">
      <c r="D29" s="1874"/>
      <c r="E29" s="1874"/>
      <c r="F29" s="1874"/>
    </row>
  </sheetData>
  <mergeCells count="30">
    <mergeCell ref="C19:C21"/>
    <mergeCell ref="A28:E28"/>
    <mergeCell ref="B22:D22"/>
    <mergeCell ref="B23:D23"/>
    <mergeCell ref="B24:D24"/>
    <mergeCell ref="B25:D25"/>
    <mergeCell ref="A26:D26"/>
    <mergeCell ref="A27:D27"/>
    <mergeCell ref="A6:B8"/>
    <mergeCell ref="C6:D6"/>
    <mergeCell ref="C7:D7"/>
    <mergeCell ref="C8:D8"/>
    <mergeCell ref="A9:A25"/>
    <mergeCell ref="B9:D9"/>
    <mergeCell ref="B10:D10"/>
    <mergeCell ref="B11:B14"/>
    <mergeCell ref="C11:D11"/>
    <mergeCell ref="C12:D12"/>
    <mergeCell ref="C13:D13"/>
    <mergeCell ref="C14:D14"/>
    <mergeCell ref="B15:B21"/>
    <mergeCell ref="C15:D15"/>
    <mergeCell ref="C16:D16"/>
    <mergeCell ref="C17:C18"/>
    <mergeCell ref="A1:H1"/>
    <mergeCell ref="A2:D2"/>
    <mergeCell ref="A3:B5"/>
    <mergeCell ref="C3:D3"/>
    <mergeCell ref="C4:D4"/>
    <mergeCell ref="C5:D5"/>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64"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N20"/>
  <sheetViews>
    <sheetView showGridLines="0" showRuler="0" zoomScaleNormal="100" zoomScalePageLayoutView="125" workbookViewId="0">
      <selection activeCell="B18" sqref="B18:D18"/>
    </sheetView>
  </sheetViews>
  <sheetFormatPr defaultColWidth="8.875" defaultRowHeight="20.100000000000001" customHeight="1"/>
  <cols>
    <col min="1" max="1" width="6.625" style="1785" customWidth="1"/>
    <col min="2" max="14" width="8.5" style="1785" customWidth="1"/>
    <col min="15" max="16384" width="8.875" style="1785"/>
  </cols>
  <sheetData>
    <row r="1" spans="1:14" ht="15.75" customHeight="1">
      <c r="A1" s="3733" t="s">
        <v>2460</v>
      </c>
      <c r="B1" s="3733"/>
      <c r="C1" s="3733"/>
      <c r="D1" s="3733"/>
      <c r="E1" s="3733"/>
      <c r="F1" s="3733"/>
      <c r="G1" s="3733"/>
      <c r="H1" s="3733"/>
      <c r="I1" s="3733"/>
      <c r="J1" s="3733"/>
      <c r="K1" s="3733"/>
      <c r="L1" s="3733"/>
      <c r="M1" s="3733"/>
      <c r="N1" s="3733"/>
    </row>
    <row r="2" spans="1:14" ht="15.75" customHeight="1">
      <c r="A2" s="3764"/>
      <c r="B2" s="3764"/>
      <c r="C2" s="3764"/>
      <c r="D2" s="3764"/>
      <c r="E2" s="3764"/>
      <c r="F2" s="3764"/>
      <c r="G2" s="3764"/>
      <c r="H2" s="3764"/>
      <c r="I2" s="3764"/>
      <c r="J2" s="3764"/>
      <c r="K2" s="3764"/>
      <c r="L2" s="3764"/>
      <c r="M2" s="3764"/>
      <c r="N2" s="3764"/>
    </row>
    <row r="3" spans="1:14" ht="33" customHeight="1">
      <c r="A3" s="3765" t="s">
        <v>2461</v>
      </c>
      <c r="B3" s="3754" t="s">
        <v>2462</v>
      </c>
      <c r="C3" s="3730" t="s">
        <v>2463</v>
      </c>
      <c r="D3" s="3722"/>
      <c r="E3" s="3722"/>
      <c r="F3" s="3722"/>
      <c r="G3" s="3722"/>
      <c r="H3" s="3722"/>
      <c r="I3" s="3722"/>
      <c r="J3" s="3722"/>
      <c r="K3" s="3722"/>
      <c r="L3" s="3722"/>
      <c r="M3" s="3722"/>
      <c r="N3" s="3722"/>
    </row>
    <row r="4" spans="1:14" ht="16.5" customHeight="1">
      <c r="A4" s="3748"/>
      <c r="B4" s="3750"/>
      <c r="C4" s="3754" t="s">
        <v>2464</v>
      </c>
      <c r="D4" s="3767" t="s">
        <v>2465</v>
      </c>
      <c r="E4" s="3767" t="s">
        <v>2466</v>
      </c>
      <c r="F4" s="3769" t="s">
        <v>2467</v>
      </c>
      <c r="G4" s="3730" t="s">
        <v>2468</v>
      </c>
      <c r="H4" s="3722"/>
      <c r="I4" s="3722"/>
      <c r="J4" s="3722"/>
      <c r="K4" s="3734"/>
      <c r="L4" s="3754" t="s">
        <v>2469</v>
      </c>
      <c r="M4" s="3754" t="s">
        <v>2470</v>
      </c>
      <c r="N4" s="3772" t="s">
        <v>2471</v>
      </c>
    </row>
    <row r="5" spans="1:14" ht="101.25" customHeight="1">
      <c r="A5" s="3766"/>
      <c r="B5" s="3751"/>
      <c r="C5" s="3751"/>
      <c r="D5" s="3768"/>
      <c r="E5" s="3768"/>
      <c r="F5" s="3770"/>
      <c r="G5" s="1875" t="s">
        <v>2472</v>
      </c>
      <c r="H5" s="1875" t="s">
        <v>2473</v>
      </c>
      <c r="I5" s="1875" t="s">
        <v>2474</v>
      </c>
      <c r="J5" s="1875" t="s">
        <v>2475</v>
      </c>
      <c r="K5" s="1875" t="s">
        <v>2476</v>
      </c>
      <c r="L5" s="3751"/>
      <c r="M5" s="3751"/>
      <c r="N5" s="3773"/>
    </row>
    <row r="6" spans="1:14" ht="21" customHeight="1">
      <c r="A6" s="1876" t="s">
        <v>2477</v>
      </c>
      <c r="B6" s="1877">
        <v>9163</v>
      </c>
      <c r="C6" s="1878">
        <f>SUM(D6:G6,L6,M6,N6)</f>
        <v>11533</v>
      </c>
      <c r="D6" s="1879">
        <v>15</v>
      </c>
      <c r="E6" s="1878">
        <v>71</v>
      </c>
      <c r="F6" s="1880">
        <v>131</v>
      </c>
      <c r="G6" s="1877">
        <f t="shared" ref="G6:G15" si="0">SUM(H6:K6)</f>
        <v>10566</v>
      </c>
      <c r="H6" s="1878">
        <v>5024</v>
      </c>
      <c r="I6" s="1880">
        <v>4791</v>
      </c>
      <c r="J6" s="1881">
        <v>173</v>
      </c>
      <c r="K6" s="1880">
        <v>578</v>
      </c>
      <c r="L6" s="1881">
        <v>8</v>
      </c>
      <c r="M6" s="1880">
        <v>740</v>
      </c>
      <c r="N6" s="1880">
        <v>2</v>
      </c>
    </row>
    <row r="7" spans="1:14" ht="21" customHeight="1">
      <c r="A7" s="1876" t="s">
        <v>2478</v>
      </c>
      <c r="B7" s="1877">
        <v>11019</v>
      </c>
      <c r="C7" s="1878">
        <f t="shared" ref="C7:C15" si="1">SUM(D7:G7,L7,M7,N7)</f>
        <v>13977</v>
      </c>
      <c r="D7" s="1879" t="s">
        <v>2435</v>
      </c>
      <c r="E7" s="1878">
        <v>66</v>
      </c>
      <c r="F7" s="1880">
        <v>122</v>
      </c>
      <c r="G7" s="1877">
        <f t="shared" si="0"/>
        <v>12769</v>
      </c>
      <c r="H7" s="1878">
        <f>2134+4059</f>
        <v>6193</v>
      </c>
      <c r="I7" s="1880">
        <f>4915+757</f>
        <v>5672</v>
      </c>
      <c r="J7" s="1881">
        <v>146</v>
      </c>
      <c r="K7" s="1880">
        <v>758</v>
      </c>
      <c r="L7" s="1881">
        <v>17</v>
      </c>
      <c r="M7" s="1880">
        <v>993</v>
      </c>
      <c r="N7" s="1880">
        <v>10</v>
      </c>
    </row>
    <row r="8" spans="1:14" ht="21" customHeight="1">
      <c r="A8" s="1876" t="s">
        <v>2479</v>
      </c>
      <c r="B8" s="1877">
        <v>12278</v>
      </c>
      <c r="C8" s="1878">
        <f t="shared" si="1"/>
        <v>15602</v>
      </c>
      <c r="D8" s="1879">
        <v>16</v>
      </c>
      <c r="E8" s="1878">
        <v>123</v>
      </c>
      <c r="F8" s="1880">
        <v>214</v>
      </c>
      <c r="G8" s="1877">
        <f t="shared" si="0"/>
        <v>13890</v>
      </c>
      <c r="H8" s="1878">
        <f>2333+4328</f>
        <v>6661</v>
      </c>
      <c r="I8" s="1880">
        <f>5364+912</f>
        <v>6276</v>
      </c>
      <c r="J8" s="1881">
        <v>139</v>
      </c>
      <c r="K8" s="1880">
        <v>814</v>
      </c>
      <c r="L8" s="1881">
        <v>11</v>
      </c>
      <c r="M8" s="1880">
        <v>1340</v>
      </c>
      <c r="N8" s="1880">
        <v>8</v>
      </c>
    </row>
    <row r="9" spans="1:14" ht="21" customHeight="1">
      <c r="A9" s="1876" t="s">
        <v>2480</v>
      </c>
      <c r="B9" s="1877">
        <v>12845</v>
      </c>
      <c r="C9" s="1878">
        <f t="shared" si="1"/>
        <v>15386</v>
      </c>
      <c r="D9" s="1879">
        <v>7</v>
      </c>
      <c r="E9" s="1878">
        <v>98</v>
      </c>
      <c r="F9" s="1880">
        <v>197</v>
      </c>
      <c r="G9" s="1877">
        <f t="shared" si="0"/>
        <v>13676</v>
      </c>
      <c r="H9" s="1878">
        <f>2241+4110</f>
        <v>6351</v>
      </c>
      <c r="I9" s="1880">
        <f>5367+1012</f>
        <v>6379</v>
      </c>
      <c r="J9" s="1881">
        <v>138</v>
      </c>
      <c r="K9" s="1880">
        <v>808</v>
      </c>
      <c r="L9" s="1881">
        <v>18</v>
      </c>
      <c r="M9" s="1880">
        <v>1383</v>
      </c>
      <c r="N9" s="1880">
        <v>7</v>
      </c>
    </row>
    <row r="10" spans="1:14" ht="21" customHeight="1">
      <c r="A10" s="1876" t="s">
        <v>2481</v>
      </c>
      <c r="B10" s="1877">
        <v>10597</v>
      </c>
      <c r="C10" s="1878">
        <f t="shared" si="1"/>
        <v>12732</v>
      </c>
      <c r="D10" s="1879">
        <v>2</v>
      </c>
      <c r="E10" s="1878">
        <v>67</v>
      </c>
      <c r="F10" s="1880">
        <v>145</v>
      </c>
      <c r="G10" s="1877">
        <f>SUM(H10:K10)</f>
        <v>11464</v>
      </c>
      <c r="H10" s="1878">
        <f>1943+3354</f>
        <v>5297</v>
      </c>
      <c r="I10" s="1880">
        <f>4399+931</f>
        <v>5330</v>
      </c>
      <c r="J10" s="1881">
        <v>176</v>
      </c>
      <c r="K10" s="1880">
        <v>661</v>
      </c>
      <c r="L10" s="1881">
        <v>26</v>
      </c>
      <c r="M10" s="1880">
        <v>1025</v>
      </c>
      <c r="N10" s="1880">
        <v>3</v>
      </c>
    </row>
    <row r="11" spans="1:14" ht="21" customHeight="1">
      <c r="A11" s="1876" t="s">
        <v>2482</v>
      </c>
      <c r="B11" s="1877">
        <v>10670</v>
      </c>
      <c r="C11" s="1878">
        <f t="shared" si="1"/>
        <v>12306</v>
      </c>
      <c r="D11" s="1879">
        <v>7</v>
      </c>
      <c r="E11" s="1878">
        <v>75</v>
      </c>
      <c r="F11" s="1880">
        <v>135</v>
      </c>
      <c r="G11" s="1877">
        <f t="shared" si="0"/>
        <v>10644</v>
      </c>
      <c r="H11" s="1878">
        <f>1718+2863</f>
        <v>4581</v>
      </c>
      <c r="I11" s="1880">
        <f>4405+827</f>
        <v>5232</v>
      </c>
      <c r="J11" s="1881">
        <v>144</v>
      </c>
      <c r="K11" s="1880">
        <v>687</v>
      </c>
      <c r="L11" s="1881">
        <v>29</v>
      </c>
      <c r="M11" s="1880">
        <v>1413</v>
      </c>
      <c r="N11" s="1880">
        <v>3</v>
      </c>
    </row>
    <row r="12" spans="1:14" s="1882" customFormat="1" ht="21" customHeight="1">
      <c r="A12" s="1876" t="s">
        <v>2483</v>
      </c>
      <c r="B12" s="1877">
        <v>9505</v>
      </c>
      <c r="C12" s="1878">
        <f t="shared" si="1"/>
        <v>10976</v>
      </c>
      <c r="D12" s="1879">
        <v>1</v>
      </c>
      <c r="E12" s="1878">
        <v>52</v>
      </c>
      <c r="F12" s="1880">
        <v>135</v>
      </c>
      <c r="G12" s="1877">
        <f t="shared" si="0"/>
        <v>9518</v>
      </c>
      <c r="H12" s="1878">
        <f>1560+2513</f>
        <v>4073</v>
      </c>
      <c r="I12" s="1880">
        <f>4047+653</f>
        <v>4700</v>
      </c>
      <c r="J12" s="1881">
        <v>132</v>
      </c>
      <c r="K12" s="1880">
        <v>613</v>
      </c>
      <c r="L12" s="1881">
        <v>32</v>
      </c>
      <c r="M12" s="1880">
        <v>1234</v>
      </c>
      <c r="N12" s="1880">
        <v>4</v>
      </c>
    </row>
    <row r="13" spans="1:14" s="1882" customFormat="1" ht="21" customHeight="1">
      <c r="A13" s="1876" t="s">
        <v>2484</v>
      </c>
      <c r="B13" s="1877">
        <v>9071</v>
      </c>
      <c r="C13" s="1878">
        <f t="shared" si="1"/>
        <v>10601</v>
      </c>
      <c r="D13" s="1879">
        <v>2</v>
      </c>
      <c r="E13" s="1878">
        <v>71</v>
      </c>
      <c r="F13" s="1880">
        <v>157</v>
      </c>
      <c r="G13" s="1877">
        <f t="shared" si="0"/>
        <v>9283</v>
      </c>
      <c r="H13" s="1878">
        <f>1678+2481</f>
        <v>4159</v>
      </c>
      <c r="I13" s="1880">
        <f>3716+699</f>
        <v>4415</v>
      </c>
      <c r="J13" s="1881">
        <v>123</v>
      </c>
      <c r="K13" s="1880">
        <v>586</v>
      </c>
      <c r="L13" s="1881">
        <v>15</v>
      </c>
      <c r="M13" s="1880">
        <v>1071</v>
      </c>
      <c r="N13" s="1880">
        <v>2</v>
      </c>
    </row>
    <row r="14" spans="1:14" s="1882" customFormat="1" ht="21" customHeight="1">
      <c r="A14" s="1876" t="s">
        <v>2485</v>
      </c>
      <c r="B14" s="1877">
        <v>8420</v>
      </c>
      <c r="C14" s="1878">
        <f t="shared" si="1"/>
        <v>9893</v>
      </c>
      <c r="D14" s="1879">
        <v>4</v>
      </c>
      <c r="E14" s="1878">
        <v>60</v>
      </c>
      <c r="F14" s="1880">
        <v>191</v>
      </c>
      <c r="G14" s="1877">
        <f t="shared" si="0"/>
        <v>8619</v>
      </c>
      <c r="H14" s="1878">
        <f>1582+2371</f>
        <v>3953</v>
      </c>
      <c r="I14" s="1880">
        <f>3531+629</f>
        <v>4160</v>
      </c>
      <c r="J14" s="1881">
        <v>65</v>
      </c>
      <c r="K14" s="1880">
        <v>441</v>
      </c>
      <c r="L14" s="1881">
        <v>14</v>
      </c>
      <c r="M14" s="1880">
        <v>1004</v>
      </c>
      <c r="N14" s="1880">
        <v>1</v>
      </c>
    </row>
    <row r="15" spans="1:14" s="1889" customFormat="1" ht="21" customHeight="1">
      <c r="A15" s="1883" t="s">
        <v>2486</v>
      </c>
      <c r="B15" s="1884">
        <v>8550</v>
      </c>
      <c r="C15" s="1884">
        <f t="shared" si="1"/>
        <v>9913</v>
      </c>
      <c r="D15" s="1885">
        <v>3</v>
      </c>
      <c r="E15" s="1886">
        <v>84</v>
      </c>
      <c r="F15" s="1887">
        <v>154</v>
      </c>
      <c r="G15" s="1884">
        <f t="shared" si="0"/>
        <v>8467</v>
      </c>
      <c r="H15" s="1886">
        <f>1704+2299</f>
        <v>4003</v>
      </c>
      <c r="I15" s="1887">
        <f>3469+578</f>
        <v>4047</v>
      </c>
      <c r="J15" s="1888">
        <v>66</v>
      </c>
      <c r="K15" s="1887">
        <v>351</v>
      </c>
      <c r="L15" s="1888">
        <v>14</v>
      </c>
      <c r="M15" s="1884">
        <v>1152</v>
      </c>
      <c r="N15" s="1887">
        <v>39</v>
      </c>
    </row>
    <row r="16" spans="1:14" ht="15.75">
      <c r="A16" s="3759" t="s">
        <v>2487</v>
      </c>
      <c r="B16" s="3759"/>
      <c r="C16" s="3759"/>
      <c r="D16" s="3759"/>
      <c r="E16" s="3759"/>
      <c r="F16" s="3759"/>
      <c r="G16" s="3759"/>
      <c r="H16" s="3759"/>
      <c r="I16" s="3759"/>
      <c r="J16" s="3759"/>
      <c r="K16" s="3759"/>
      <c r="L16" s="1874"/>
      <c r="M16" s="1874"/>
      <c r="N16" s="1874"/>
    </row>
    <row r="17" spans="1:14" ht="15.75">
      <c r="A17" s="3759" t="s">
        <v>2488</v>
      </c>
      <c r="B17" s="3759"/>
      <c r="C17" s="3759"/>
      <c r="D17" s="3759"/>
      <c r="E17" s="3759"/>
      <c r="F17" s="3759"/>
      <c r="G17" s="3759"/>
      <c r="H17" s="3759"/>
      <c r="I17" s="3759"/>
      <c r="J17" s="3759"/>
      <c r="K17" s="3759"/>
      <c r="L17" s="3759"/>
      <c r="M17" s="3759"/>
      <c r="N17" s="3759"/>
    </row>
    <row r="18" spans="1:14" ht="15.75">
      <c r="A18" s="3774" t="s">
        <v>2489</v>
      </c>
      <c r="B18" s="3774"/>
      <c r="C18" s="3774"/>
      <c r="D18" s="3774"/>
      <c r="E18" s="3774"/>
      <c r="F18" s="3774"/>
      <c r="G18" s="3774"/>
      <c r="H18" s="3774"/>
      <c r="I18" s="3774"/>
      <c r="J18" s="3774"/>
      <c r="K18" s="3774"/>
      <c r="L18" s="3774"/>
      <c r="M18" s="3774"/>
      <c r="N18" s="3774"/>
    </row>
    <row r="19" spans="1:14" ht="15.75">
      <c r="A19" s="3774" t="s">
        <v>2490</v>
      </c>
      <c r="B19" s="3774"/>
      <c r="C19" s="3774"/>
      <c r="D19" s="3774"/>
      <c r="E19" s="3774"/>
      <c r="F19" s="3774"/>
      <c r="G19" s="3774"/>
      <c r="H19" s="3774"/>
      <c r="I19" s="3774"/>
      <c r="J19" s="3774"/>
      <c r="K19" s="3774"/>
      <c r="L19" s="3774"/>
      <c r="M19" s="3774"/>
      <c r="N19" s="3774"/>
    </row>
    <row r="20" spans="1:14" ht="16.5">
      <c r="A20" s="3759" t="s">
        <v>2491</v>
      </c>
      <c r="B20" s="3759"/>
      <c r="C20" s="3771"/>
      <c r="D20" s="3759"/>
      <c r="E20" s="3759"/>
      <c r="F20" s="3759"/>
      <c r="G20" s="3759"/>
      <c r="H20" s="3759"/>
      <c r="I20" s="3759"/>
      <c r="J20" s="3759"/>
      <c r="K20" s="3759"/>
      <c r="L20" s="3759"/>
      <c r="M20" s="3759"/>
      <c r="N20" s="3759"/>
    </row>
  </sheetData>
  <mergeCells count="17">
    <mergeCell ref="A20:N20"/>
    <mergeCell ref="M4:M5"/>
    <mergeCell ref="N4:N5"/>
    <mergeCell ref="A16:K16"/>
    <mergeCell ref="A17:N17"/>
    <mergeCell ref="A18:N18"/>
    <mergeCell ref="A19:N19"/>
    <mergeCell ref="A1:N2"/>
    <mergeCell ref="A3:A5"/>
    <mergeCell ref="B3:B5"/>
    <mergeCell ref="C3:N3"/>
    <mergeCell ref="C4:C5"/>
    <mergeCell ref="D4:D5"/>
    <mergeCell ref="E4:E5"/>
    <mergeCell ref="F4:F5"/>
    <mergeCell ref="G4:K4"/>
    <mergeCell ref="L4:L5"/>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73"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E36"/>
  <sheetViews>
    <sheetView showGridLines="0" showRuler="0" topLeftCell="A10" zoomScaleNormal="100" zoomScalePageLayoutView="125" workbookViewId="0">
      <selection activeCell="B18" sqref="B18:D18"/>
    </sheetView>
  </sheetViews>
  <sheetFormatPr defaultColWidth="8.875" defaultRowHeight="16.5"/>
  <cols>
    <col min="1" max="1" width="9.875" style="1890" customWidth="1"/>
    <col min="2" max="3" width="10.375" style="1890" customWidth="1"/>
    <col min="4" max="4" width="23.125" style="1890" customWidth="1"/>
    <col min="5" max="5" width="10.5" style="1900" customWidth="1"/>
    <col min="6" max="16384" width="8.875" style="1890"/>
  </cols>
  <sheetData>
    <row r="1" spans="1:5" ht="20.25">
      <c r="A1" s="3733" t="s">
        <v>2492</v>
      </c>
      <c r="B1" s="3733"/>
      <c r="C1" s="3733"/>
      <c r="D1" s="3733"/>
      <c r="E1" s="3733"/>
    </row>
    <row r="2" spans="1:5">
      <c r="A2" s="1891"/>
      <c r="B2" s="1892"/>
      <c r="C2" s="1892"/>
      <c r="D2" s="1892"/>
      <c r="E2" s="1893" t="s">
        <v>2493</v>
      </c>
    </row>
    <row r="3" spans="1:5" ht="26.25" customHeight="1" thickBot="1">
      <c r="A3" s="3775" t="s">
        <v>2494</v>
      </c>
      <c r="B3" s="3776"/>
      <c r="C3" s="3776"/>
      <c r="D3" s="3777"/>
      <c r="E3" s="1894">
        <v>283</v>
      </c>
    </row>
    <row r="4" spans="1:5" ht="18.600000000000001" customHeight="1" thickTop="1">
      <c r="A4" s="3748" t="s">
        <v>2495</v>
      </c>
      <c r="B4" s="3778" t="s">
        <v>2496</v>
      </c>
      <c r="C4" s="3779"/>
      <c r="D4" s="3779"/>
      <c r="E4" s="1895">
        <v>304</v>
      </c>
    </row>
    <row r="5" spans="1:5" ht="18.600000000000001" customHeight="1">
      <c r="A5" s="3504"/>
      <c r="B5" s="3780" t="s">
        <v>2497</v>
      </c>
      <c r="C5" s="3781"/>
      <c r="D5" s="3781"/>
      <c r="E5" s="1896">
        <v>273</v>
      </c>
    </row>
    <row r="6" spans="1:5" ht="18.600000000000001" customHeight="1">
      <c r="A6" s="3504"/>
      <c r="B6" s="3782" t="s">
        <v>2498</v>
      </c>
      <c r="C6" s="3783"/>
      <c r="D6" s="3783"/>
      <c r="E6" s="1896">
        <v>266</v>
      </c>
    </row>
    <row r="7" spans="1:5" ht="18.600000000000001" customHeight="1">
      <c r="A7" s="3504"/>
      <c r="B7" s="3784" t="s">
        <v>2499</v>
      </c>
      <c r="C7" s="3785"/>
      <c r="D7" s="3785"/>
      <c r="E7" s="1896">
        <v>38</v>
      </c>
    </row>
    <row r="8" spans="1:5" ht="18.600000000000001" customHeight="1">
      <c r="A8" s="3504"/>
      <c r="B8" s="3784" t="s">
        <v>2500</v>
      </c>
      <c r="C8" s="3785"/>
      <c r="D8" s="3785"/>
      <c r="E8" s="1896">
        <v>55</v>
      </c>
    </row>
    <row r="9" spans="1:5" ht="18.600000000000001" customHeight="1">
      <c r="A9" s="3504"/>
      <c r="B9" s="3784" t="s">
        <v>2501</v>
      </c>
      <c r="C9" s="3785"/>
      <c r="D9" s="3785"/>
      <c r="E9" s="1896">
        <v>111</v>
      </c>
    </row>
    <row r="10" spans="1:5" ht="18.600000000000001" customHeight="1">
      <c r="A10" s="3504"/>
      <c r="B10" s="3784" t="s">
        <v>2502</v>
      </c>
      <c r="C10" s="3785"/>
      <c r="D10" s="3785"/>
      <c r="E10" s="1896">
        <v>35</v>
      </c>
    </row>
    <row r="11" spans="1:5" ht="18.600000000000001" customHeight="1">
      <c r="A11" s="3504"/>
      <c r="B11" s="3784" t="s">
        <v>2503</v>
      </c>
      <c r="C11" s="3785"/>
      <c r="D11" s="3785"/>
      <c r="E11" s="1896">
        <v>21</v>
      </c>
    </row>
    <row r="12" spans="1:5" ht="18.600000000000001" customHeight="1">
      <c r="A12" s="3504"/>
      <c r="B12" s="3784" t="s">
        <v>2504</v>
      </c>
      <c r="C12" s="3785"/>
      <c r="D12" s="3785"/>
      <c r="E12" s="1896">
        <v>4</v>
      </c>
    </row>
    <row r="13" spans="1:5" ht="18.600000000000001" customHeight="1">
      <c r="A13" s="3504"/>
      <c r="B13" s="3784" t="s">
        <v>2505</v>
      </c>
      <c r="C13" s="3785"/>
      <c r="D13" s="3785"/>
      <c r="E13" s="1896">
        <v>2</v>
      </c>
    </row>
    <row r="14" spans="1:5" ht="18.600000000000001" customHeight="1">
      <c r="A14" s="3504"/>
      <c r="B14" s="3784" t="s">
        <v>2506</v>
      </c>
      <c r="C14" s="3785"/>
      <c r="D14" s="3785"/>
      <c r="E14" s="1896" t="s">
        <v>2430</v>
      </c>
    </row>
    <row r="15" spans="1:5" ht="18.600000000000001" customHeight="1">
      <c r="A15" s="3504"/>
      <c r="B15" s="3784" t="s">
        <v>2507</v>
      </c>
      <c r="C15" s="3785"/>
      <c r="D15" s="3785"/>
      <c r="E15" s="1896" t="s">
        <v>1</v>
      </c>
    </row>
    <row r="16" spans="1:5" ht="18.600000000000001" customHeight="1">
      <c r="A16" s="3504"/>
      <c r="B16" s="3782" t="s">
        <v>2508</v>
      </c>
      <c r="C16" s="3783"/>
      <c r="D16" s="3783"/>
      <c r="E16" s="1896">
        <v>6</v>
      </c>
    </row>
    <row r="17" spans="1:5" ht="18.600000000000001" customHeight="1">
      <c r="A17" s="3504"/>
      <c r="B17" s="3782" t="s">
        <v>2509</v>
      </c>
      <c r="C17" s="3783"/>
      <c r="D17" s="3783"/>
      <c r="E17" s="1896">
        <v>1</v>
      </c>
    </row>
    <row r="18" spans="1:5" ht="18.600000000000001" customHeight="1">
      <c r="A18" s="3504"/>
      <c r="B18" s="3786" t="s">
        <v>2510</v>
      </c>
      <c r="C18" s="3787"/>
      <c r="D18" s="3787"/>
      <c r="E18" s="1896" t="s">
        <v>2430</v>
      </c>
    </row>
    <row r="19" spans="1:5" ht="18.600000000000001" customHeight="1">
      <c r="A19" s="3504"/>
      <c r="B19" s="3786" t="s">
        <v>2511</v>
      </c>
      <c r="C19" s="3787"/>
      <c r="D19" s="3787"/>
      <c r="E19" s="1896">
        <v>2</v>
      </c>
    </row>
    <row r="20" spans="1:5" ht="18.600000000000001" customHeight="1">
      <c r="A20" s="3504"/>
      <c r="B20" s="3786" t="s">
        <v>2512</v>
      </c>
      <c r="C20" s="3787"/>
      <c r="D20" s="3787"/>
      <c r="E20" s="1896">
        <v>13</v>
      </c>
    </row>
    <row r="21" spans="1:5" ht="18.600000000000001" customHeight="1">
      <c r="A21" s="3504"/>
      <c r="B21" s="3786" t="s">
        <v>2513</v>
      </c>
      <c r="C21" s="3787"/>
      <c r="D21" s="3787"/>
      <c r="E21" s="1896">
        <v>3</v>
      </c>
    </row>
    <row r="22" spans="1:5" ht="18.600000000000001" customHeight="1">
      <c r="A22" s="3504"/>
      <c r="B22" s="3786" t="s">
        <v>2514</v>
      </c>
      <c r="C22" s="3787"/>
      <c r="D22" s="3787"/>
      <c r="E22" s="1896">
        <v>7</v>
      </c>
    </row>
    <row r="23" spans="1:5" ht="18.600000000000001" customHeight="1">
      <c r="A23" s="3504"/>
      <c r="B23" s="3786" t="s">
        <v>2515</v>
      </c>
      <c r="C23" s="3787"/>
      <c r="D23" s="3787"/>
      <c r="E23" s="1896">
        <v>1</v>
      </c>
    </row>
    <row r="24" spans="1:5" ht="18.600000000000001" customHeight="1">
      <c r="A24" s="3504"/>
      <c r="B24" s="3786" t="s">
        <v>2516</v>
      </c>
      <c r="C24" s="3787"/>
      <c r="D24" s="3787"/>
      <c r="E24" s="1896">
        <v>4</v>
      </c>
    </row>
    <row r="25" spans="1:5" ht="18.600000000000001" customHeight="1" thickBot="1">
      <c r="A25" s="3504"/>
      <c r="B25" s="3788" t="s">
        <v>2517</v>
      </c>
      <c r="C25" s="3787"/>
      <c r="D25" s="3787"/>
      <c r="E25" s="1897">
        <v>1</v>
      </c>
    </row>
    <row r="26" spans="1:5" ht="18.600000000000001" customHeight="1" thickTop="1">
      <c r="A26" s="3747" t="s">
        <v>2518</v>
      </c>
      <c r="B26" s="3790" t="s">
        <v>2496</v>
      </c>
      <c r="C26" s="3791"/>
      <c r="D26" s="3792"/>
      <c r="E26" s="1895">
        <v>168</v>
      </c>
    </row>
    <row r="27" spans="1:5" ht="18.600000000000001" customHeight="1">
      <c r="A27" s="3789"/>
      <c r="B27" s="3793" t="s">
        <v>2519</v>
      </c>
      <c r="C27" s="3787"/>
      <c r="D27" s="3794"/>
      <c r="E27" s="1896">
        <v>168</v>
      </c>
    </row>
    <row r="28" spans="1:5" ht="18.600000000000001" customHeight="1">
      <c r="A28" s="3789"/>
      <c r="B28" s="3786" t="s">
        <v>2520</v>
      </c>
      <c r="C28" s="3787"/>
      <c r="D28" s="3794"/>
      <c r="E28" s="1896" t="s">
        <v>1</v>
      </c>
    </row>
    <row r="29" spans="1:5" ht="18.600000000000001" customHeight="1">
      <c r="A29" s="3789"/>
      <c r="B29" s="3786" t="s">
        <v>2521</v>
      </c>
      <c r="C29" s="3787"/>
      <c r="D29" s="3794"/>
      <c r="E29" s="1896" t="s">
        <v>1</v>
      </c>
    </row>
    <row r="30" spans="1:5" ht="18.600000000000001" customHeight="1">
      <c r="A30" s="3789"/>
      <c r="B30" s="3786" t="s">
        <v>2522</v>
      </c>
      <c r="C30" s="3787"/>
      <c r="D30" s="3794"/>
      <c r="E30" s="1896" t="s">
        <v>1</v>
      </c>
    </row>
    <row r="31" spans="1:5" ht="18.600000000000001" customHeight="1">
      <c r="A31" s="3789"/>
      <c r="B31" s="3795" t="s">
        <v>2523</v>
      </c>
      <c r="C31" s="3795"/>
      <c r="D31" s="3795"/>
      <c r="E31" s="1896" t="s">
        <v>1</v>
      </c>
    </row>
    <row r="32" spans="1:5" ht="18.600000000000001" customHeight="1">
      <c r="A32" s="3789"/>
      <c r="B32" s="3795" t="s">
        <v>2524</v>
      </c>
      <c r="C32" s="3795"/>
      <c r="D32" s="3795"/>
      <c r="E32" s="1896" t="s">
        <v>2430</v>
      </c>
    </row>
    <row r="33" spans="1:5" ht="18.600000000000001" customHeight="1">
      <c r="A33" s="3789"/>
      <c r="B33" s="3795" t="s">
        <v>2525</v>
      </c>
      <c r="C33" s="3795"/>
      <c r="D33" s="3795"/>
      <c r="E33" s="1896" t="s">
        <v>1</v>
      </c>
    </row>
    <row r="34" spans="1:5" ht="18.600000000000001" customHeight="1" thickBot="1">
      <c r="A34" s="3789"/>
      <c r="B34" s="3795" t="s">
        <v>2526</v>
      </c>
      <c r="C34" s="3795"/>
      <c r="D34" s="3795"/>
      <c r="E34" s="1896" t="s">
        <v>1</v>
      </c>
    </row>
    <row r="35" spans="1:5" ht="18.600000000000001" customHeight="1" thickTop="1">
      <c r="A35" s="3760" t="s">
        <v>2527</v>
      </c>
      <c r="B35" s="3760"/>
      <c r="C35" s="3760"/>
      <c r="D35" s="3761"/>
      <c r="E35" s="1898">
        <v>169</v>
      </c>
    </row>
    <row r="36" spans="1:5">
      <c r="A36" s="3762" t="s">
        <v>2528</v>
      </c>
      <c r="B36" s="3762"/>
      <c r="C36" s="3762"/>
      <c r="D36" s="1795"/>
      <c r="E36" s="1899"/>
    </row>
  </sheetData>
  <mergeCells count="37">
    <mergeCell ref="A35:D35"/>
    <mergeCell ref="A36:C36"/>
    <mergeCell ref="B21:D21"/>
    <mergeCell ref="B23:D23"/>
    <mergeCell ref="B24:D24"/>
    <mergeCell ref="B25:D25"/>
    <mergeCell ref="A26:A34"/>
    <mergeCell ref="B26:D26"/>
    <mergeCell ref="B27:D27"/>
    <mergeCell ref="B28:D28"/>
    <mergeCell ref="B29:D29"/>
    <mergeCell ref="B30:D30"/>
    <mergeCell ref="B31:D31"/>
    <mergeCell ref="B32:D32"/>
    <mergeCell ref="B33:D33"/>
    <mergeCell ref="B34:D34"/>
    <mergeCell ref="B16:D16"/>
    <mergeCell ref="B17:D17"/>
    <mergeCell ref="B18:D18"/>
    <mergeCell ref="B19:D19"/>
    <mergeCell ref="B20:D20"/>
    <mergeCell ref="A1:E1"/>
    <mergeCell ref="A3:D3"/>
    <mergeCell ref="A4:A25"/>
    <mergeCell ref="B4:D4"/>
    <mergeCell ref="B5:D5"/>
    <mergeCell ref="B6:D6"/>
    <mergeCell ref="B7:D7"/>
    <mergeCell ref="B8:D8"/>
    <mergeCell ref="B9:D9"/>
    <mergeCell ref="B10:D10"/>
    <mergeCell ref="B22:D22"/>
    <mergeCell ref="B11:D11"/>
    <mergeCell ref="B12:D12"/>
    <mergeCell ref="B13:D13"/>
    <mergeCell ref="B14:D14"/>
    <mergeCell ref="B15:D15"/>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72" orientation="portrait"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P19"/>
  <sheetViews>
    <sheetView showGridLines="0" showRuler="0" zoomScaleNormal="100" zoomScalePageLayoutView="125" workbookViewId="0">
      <selection activeCell="B18" sqref="B18:D18"/>
    </sheetView>
  </sheetViews>
  <sheetFormatPr defaultColWidth="9" defaultRowHeight="20.100000000000001" customHeight="1"/>
  <cols>
    <col min="1" max="1" width="6.875" style="1901" customWidth="1"/>
    <col min="2" max="16" width="10.625" style="1901" customWidth="1"/>
    <col min="17" max="16384" width="9" style="1901"/>
  </cols>
  <sheetData>
    <row r="1" spans="1:16" ht="27" customHeight="1">
      <c r="A1" s="3796" t="s">
        <v>2529</v>
      </c>
      <c r="B1" s="3796"/>
      <c r="C1" s="3796"/>
      <c r="D1" s="3796"/>
      <c r="E1" s="3796"/>
      <c r="F1" s="3796"/>
      <c r="G1" s="3796"/>
      <c r="H1" s="3796"/>
      <c r="I1" s="3796"/>
      <c r="J1" s="3796"/>
      <c r="K1" s="3796"/>
      <c r="L1" s="3796"/>
      <c r="M1" s="3796"/>
      <c r="N1" s="3796"/>
      <c r="O1" s="3796"/>
      <c r="P1" s="3796"/>
    </row>
    <row r="2" spans="1:16" ht="20.100000000000001" customHeight="1">
      <c r="A2" s="3797"/>
      <c r="B2" s="3799" t="s">
        <v>2530</v>
      </c>
      <c r="C2" s="3799"/>
      <c r="D2" s="3799"/>
      <c r="E2" s="3799"/>
      <c r="F2" s="3799"/>
      <c r="G2" s="3799"/>
      <c r="H2" s="3799"/>
      <c r="I2" s="3799"/>
      <c r="J2" s="3799"/>
      <c r="K2" s="3799"/>
      <c r="L2" s="3799"/>
      <c r="M2" s="3800" t="s">
        <v>2531</v>
      </c>
      <c r="N2" s="3797"/>
      <c r="O2" s="3797"/>
      <c r="P2" s="3797"/>
    </row>
    <row r="3" spans="1:16" ht="20.100000000000001" customHeight="1">
      <c r="A3" s="3798"/>
      <c r="B3" s="3799" t="s">
        <v>2532</v>
      </c>
      <c r="C3" s="3799"/>
      <c r="D3" s="3799"/>
      <c r="E3" s="3799"/>
      <c r="F3" s="3799"/>
      <c r="G3" s="3803" t="s">
        <v>2533</v>
      </c>
      <c r="H3" s="3799"/>
      <c r="I3" s="3804"/>
      <c r="J3" s="3803" t="s">
        <v>2534</v>
      </c>
      <c r="K3" s="3799"/>
      <c r="L3" s="3799"/>
      <c r="M3" s="3801"/>
      <c r="N3" s="3802"/>
      <c r="O3" s="3802"/>
      <c r="P3" s="3802"/>
    </row>
    <row r="4" spans="1:16" ht="20.100000000000001" customHeight="1">
      <c r="A4" s="3798"/>
      <c r="B4" s="3799" t="s">
        <v>2535</v>
      </c>
      <c r="C4" s="3799"/>
      <c r="D4" s="3804"/>
      <c r="E4" s="3805" t="s">
        <v>2536</v>
      </c>
      <c r="F4" s="3807" t="s">
        <v>2537</v>
      </c>
      <c r="G4" s="3807" t="s">
        <v>2535</v>
      </c>
      <c r="H4" s="3807" t="s">
        <v>2538</v>
      </c>
      <c r="I4" s="3805" t="s">
        <v>2539</v>
      </c>
      <c r="J4" s="3807" t="s">
        <v>2535</v>
      </c>
      <c r="K4" s="3807" t="s">
        <v>2540</v>
      </c>
      <c r="L4" s="3805" t="s">
        <v>2539</v>
      </c>
      <c r="M4" s="3810" t="s">
        <v>2535</v>
      </c>
      <c r="N4" s="3799"/>
      <c r="O4" s="3804"/>
      <c r="P4" s="3805" t="s">
        <v>2540</v>
      </c>
    </row>
    <row r="5" spans="1:16" ht="22.5" customHeight="1">
      <c r="A5" s="3798"/>
      <c r="B5" s="1902" t="s">
        <v>2541</v>
      </c>
      <c r="C5" s="1903" t="s">
        <v>2542</v>
      </c>
      <c r="D5" s="1903" t="s">
        <v>2543</v>
      </c>
      <c r="E5" s="3806"/>
      <c r="F5" s="3808"/>
      <c r="G5" s="3808"/>
      <c r="H5" s="3808"/>
      <c r="I5" s="3806"/>
      <c r="J5" s="3808"/>
      <c r="K5" s="3808"/>
      <c r="L5" s="3806"/>
      <c r="M5" s="1904" t="s">
        <v>2541</v>
      </c>
      <c r="N5" s="1905" t="s">
        <v>2542</v>
      </c>
      <c r="O5" s="1905" t="s">
        <v>2543</v>
      </c>
      <c r="P5" s="3806"/>
    </row>
    <row r="6" spans="1:16" s="1913" customFormat="1" ht="30" customHeight="1">
      <c r="A6" s="1906" t="s">
        <v>2544</v>
      </c>
      <c r="B6" s="1896">
        <f>C6+D6</f>
        <v>9716</v>
      </c>
      <c r="C6" s="1907">
        <f>277+8058</f>
        <v>8335</v>
      </c>
      <c r="D6" s="1907">
        <f>25+1356</f>
        <v>1381</v>
      </c>
      <c r="E6" s="1908">
        <f>100-((B6-B6)/B6*100)</f>
        <v>100</v>
      </c>
      <c r="F6" s="1909">
        <v>100</v>
      </c>
      <c r="G6" s="1896">
        <v>302</v>
      </c>
      <c r="H6" s="1908">
        <f>100-((G$6-G6)/G$6*100)</f>
        <v>100</v>
      </c>
      <c r="I6" s="1909">
        <f>G6/B6*100</f>
        <v>3.1082750102923011</v>
      </c>
      <c r="J6" s="1896">
        <v>9414</v>
      </c>
      <c r="K6" s="1908">
        <f>100-((J$6-J6)/J$6*100)</f>
        <v>100</v>
      </c>
      <c r="L6" s="1909">
        <f t="shared" ref="L6:L15" si="0">J6/B6*100</f>
        <v>96.891724989707697</v>
      </c>
      <c r="M6" s="1910">
        <f>SUM(N6,O6)</f>
        <v>1152</v>
      </c>
      <c r="N6" s="1911">
        <v>780</v>
      </c>
      <c r="O6" s="1912">
        <v>372</v>
      </c>
      <c r="P6" s="1908">
        <v>100</v>
      </c>
    </row>
    <row r="7" spans="1:16" s="1913" customFormat="1" ht="30" customHeight="1">
      <c r="A7" s="1914" t="s">
        <v>2545</v>
      </c>
      <c r="B7" s="1896">
        <f t="shared" ref="B7:B15" si="1">C7+D7</f>
        <v>11155</v>
      </c>
      <c r="C7" s="1907">
        <f>330+9316</f>
        <v>9646</v>
      </c>
      <c r="D7" s="1907">
        <f>32+1477</f>
        <v>1509</v>
      </c>
      <c r="E7" s="1908">
        <f>100-((B6-B7)/B6*100)</f>
        <v>114.81062165500205</v>
      </c>
      <c r="F7" s="1909">
        <v>100</v>
      </c>
      <c r="G7" s="1915">
        <v>362</v>
      </c>
      <c r="H7" s="1908">
        <f t="shared" ref="H7:H15" si="2">100-((G$6-G7)/G$6*100)</f>
        <v>119.86754966887418</v>
      </c>
      <c r="I7" s="1909">
        <f t="shared" ref="I7:I15" si="3">G7/B7*100</f>
        <v>3.2451815329448679</v>
      </c>
      <c r="J7" s="1896">
        <v>10793</v>
      </c>
      <c r="K7" s="1908">
        <f t="shared" ref="K7:K15" si="4">100-((J$6-J7)/J$6*100)</f>
        <v>114.64839600594858</v>
      </c>
      <c r="L7" s="1909">
        <f t="shared" si="0"/>
        <v>96.754818467055131</v>
      </c>
      <c r="M7" s="1910">
        <f t="shared" ref="M7:M15" si="5">SUM(N7,O7)</f>
        <v>1976</v>
      </c>
      <c r="N7" s="1911">
        <v>1481</v>
      </c>
      <c r="O7" s="1912">
        <v>495</v>
      </c>
      <c r="P7" s="1908">
        <f>100-((M$6-M7)/M$6*100)</f>
        <v>171.52777777777777</v>
      </c>
    </row>
    <row r="8" spans="1:16" s="1913" customFormat="1" ht="30" customHeight="1">
      <c r="A8" s="1914" t="s">
        <v>2479</v>
      </c>
      <c r="B8" s="1896">
        <f t="shared" si="1"/>
        <v>11761</v>
      </c>
      <c r="C8" s="1907">
        <f>347+9859</f>
        <v>10206</v>
      </c>
      <c r="D8" s="1907">
        <f>31+1524</f>
        <v>1555</v>
      </c>
      <c r="E8" s="1908">
        <f>100-((B6-B8)/B6*100)</f>
        <v>121.04775627830384</v>
      </c>
      <c r="F8" s="1909">
        <v>100</v>
      </c>
      <c r="G8" s="1896">
        <v>378</v>
      </c>
      <c r="H8" s="1908">
        <f t="shared" si="2"/>
        <v>125.16556291390728</v>
      </c>
      <c r="I8" s="1916">
        <f t="shared" si="3"/>
        <v>3.2140124139103818</v>
      </c>
      <c r="J8" s="1907">
        <v>11383</v>
      </c>
      <c r="K8" s="1908">
        <f t="shared" si="4"/>
        <v>120.91565753133631</v>
      </c>
      <c r="L8" s="1909">
        <f t="shared" si="0"/>
        <v>96.785987586089618</v>
      </c>
      <c r="M8" s="1910">
        <f t="shared" si="5"/>
        <v>2507</v>
      </c>
      <c r="N8" s="1911">
        <v>1914</v>
      </c>
      <c r="O8" s="1912">
        <v>593</v>
      </c>
      <c r="P8" s="1908">
        <f>100-((M$6-M8)/M$6*100)</f>
        <v>217.62152777777777</v>
      </c>
    </row>
    <row r="9" spans="1:16" s="1913" customFormat="1" ht="30" customHeight="1">
      <c r="A9" s="1914" t="s">
        <v>2480</v>
      </c>
      <c r="B9" s="1896">
        <f t="shared" si="1"/>
        <v>10762</v>
      </c>
      <c r="C9" s="1907">
        <f>348+8961</f>
        <v>9309</v>
      </c>
      <c r="D9" s="1907">
        <f>40+1413</f>
        <v>1453</v>
      </c>
      <c r="E9" s="1908">
        <f>100-((B6-B9)/B6*100)</f>
        <v>110.76574722107864</v>
      </c>
      <c r="F9" s="1909">
        <v>100</v>
      </c>
      <c r="G9" s="1896">
        <v>388</v>
      </c>
      <c r="H9" s="1908">
        <f t="shared" si="2"/>
        <v>128.47682119205297</v>
      </c>
      <c r="I9" s="1916">
        <f t="shared" si="3"/>
        <v>3.6052778293997396</v>
      </c>
      <c r="J9" s="1907">
        <v>10374</v>
      </c>
      <c r="K9" s="1908">
        <f t="shared" si="4"/>
        <v>110.19757807520713</v>
      </c>
      <c r="L9" s="1909">
        <f t="shared" si="0"/>
        <v>96.394722170600261</v>
      </c>
      <c r="M9" s="1910">
        <f t="shared" si="5"/>
        <v>3302</v>
      </c>
      <c r="N9" s="1911">
        <v>2550</v>
      </c>
      <c r="O9" s="1912">
        <v>752</v>
      </c>
      <c r="P9" s="1908">
        <f>100-((M$6-M9)/M$6*100)</f>
        <v>286.63194444444446</v>
      </c>
    </row>
    <row r="10" spans="1:16" s="1913" customFormat="1" ht="30" customHeight="1">
      <c r="A10" s="1914" t="s">
        <v>2481</v>
      </c>
      <c r="B10" s="1896">
        <f t="shared" si="1"/>
        <v>9768</v>
      </c>
      <c r="C10" s="1907">
        <f>376+8144</f>
        <v>8520</v>
      </c>
      <c r="D10" s="1907">
        <f>33+1215</f>
        <v>1248</v>
      </c>
      <c r="E10" s="1908">
        <f>100-((B6-B10)/B6*100)</f>
        <v>100.53519967064635</v>
      </c>
      <c r="F10" s="1916">
        <v>100</v>
      </c>
      <c r="G10" s="1907">
        <v>409</v>
      </c>
      <c r="H10" s="1908">
        <f t="shared" si="2"/>
        <v>135.43046357615893</v>
      </c>
      <c r="I10" s="1916">
        <f t="shared" si="3"/>
        <v>4.1871416871416871</v>
      </c>
      <c r="J10" s="1907">
        <v>9359</v>
      </c>
      <c r="K10" s="1908">
        <f t="shared" si="4"/>
        <v>99.415763756107921</v>
      </c>
      <c r="L10" s="1909">
        <f t="shared" si="0"/>
        <v>95.812858312858324</v>
      </c>
      <c r="M10" s="1910">
        <f t="shared" si="5"/>
        <v>2105</v>
      </c>
      <c r="N10" s="1911">
        <v>1547</v>
      </c>
      <c r="O10" s="1912">
        <v>558</v>
      </c>
      <c r="P10" s="1908">
        <f t="shared" ref="P10:P15" si="6">100-((M$6-M10)/M$6*100)</f>
        <v>182.72569444444446</v>
      </c>
    </row>
    <row r="11" spans="1:16" s="1917" customFormat="1" ht="30" customHeight="1">
      <c r="A11" s="1914" t="s">
        <v>2482</v>
      </c>
      <c r="B11" s="1896">
        <f t="shared" si="1"/>
        <v>8847</v>
      </c>
      <c r="C11" s="1907">
        <f>261+7410</f>
        <v>7671</v>
      </c>
      <c r="D11" s="1907">
        <f>18+1158</f>
        <v>1176</v>
      </c>
      <c r="E11" s="1908">
        <f>100-((B6-B11)/B6*100)</f>
        <v>91.0559901193907</v>
      </c>
      <c r="F11" s="1916">
        <v>100</v>
      </c>
      <c r="G11" s="1907">
        <v>279</v>
      </c>
      <c r="H11" s="1908">
        <f t="shared" si="2"/>
        <v>92.384105960264904</v>
      </c>
      <c r="I11" s="1916">
        <f t="shared" si="3"/>
        <v>3.1536113936927768</v>
      </c>
      <c r="J11" s="1907">
        <v>8568</v>
      </c>
      <c r="K11" s="1908">
        <f t="shared" si="4"/>
        <v>91.013384321223711</v>
      </c>
      <c r="L11" s="1909">
        <f t="shared" si="0"/>
        <v>96.846388606307215</v>
      </c>
      <c r="M11" s="1910">
        <f t="shared" si="5"/>
        <v>2076</v>
      </c>
      <c r="N11" s="1911">
        <v>1528</v>
      </c>
      <c r="O11" s="1912">
        <v>548</v>
      </c>
      <c r="P11" s="1908">
        <f t="shared" si="6"/>
        <v>180.20833333333334</v>
      </c>
    </row>
    <row r="12" spans="1:16" s="1917" customFormat="1" ht="30" customHeight="1">
      <c r="A12" s="1914" t="s">
        <v>2483</v>
      </c>
      <c r="B12" s="1896">
        <f t="shared" si="1"/>
        <v>8393</v>
      </c>
      <c r="C12" s="1907">
        <f>244+7042</f>
        <v>7286</v>
      </c>
      <c r="D12" s="1907">
        <f>17+1090</f>
        <v>1107</v>
      </c>
      <c r="E12" s="1908">
        <f>100-((B6-B12)/B6*100)</f>
        <v>86.383285302593663</v>
      </c>
      <c r="F12" s="1916">
        <f>I12+L12</f>
        <v>100</v>
      </c>
      <c r="G12" s="1907">
        <v>261</v>
      </c>
      <c r="H12" s="1908">
        <f t="shared" si="2"/>
        <v>86.423841059602651</v>
      </c>
      <c r="I12" s="1916">
        <f t="shared" si="3"/>
        <v>3.1097343023948532</v>
      </c>
      <c r="J12" s="1907">
        <v>8132</v>
      </c>
      <c r="K12" s="1908">
        <f t="shared" si="4"/>
        <v>86.381984278733796</v>
      </c>
      <c r="L12" s="1909">
        <f t="shared" si="0"/>
        <v>96.890265697605145</v>
      </c>
      <c r="M12" s="1910">
        <f t="shared" si="5"/>
        <v>1386</v>
      </c>
      <c r="N12" s="1911">
        <v>1000</v>
      </c>
      <c r="O12" s="1912">
        <v>386</v>
      </c>
      <c r="P12" s="1908">
        <f t="shared" si="6"/>
        <v>120.3125</v>
      </c>
    </row>
    <row r="13" spans="1:16" s="1917" customFormat="1" ht="30" customHeight="1">
      <c r="A13" s="1914" t="s">
        <v>2484</v>
      </c>
      <c r="B13" s="1896">
        <f t="shared" si="1"/>
        <v>8741</v>
      </c>
      <c r="C13" s="1907">
        <f>270+7351</f>
        <v>7621</v>
      </c>
      <c r="D13" s="1907">
        <f>23+1097</f>
        <v>1120</v>
      </c>
      <c r="E13" s="1908">
        <f>100-((B6-B13)/B6*100)</f>
        <v>89.965006175380822</v>
      </c>
      <c r="F13" s="1916">
        <v>100</v>
      </c>
      <c r="G13" s="1907">
        <v>293</v>
      </c>
      <c r="H13" s="1908">
        <f t="shared" si="2"/>
        <v>97.019867549668874</v>
      </c>
      <c r="I13" s="1916">
        <f t="shared" si="3"/>
        <v>3.3520192197689052</v>
      </c>
      <c r="J13" s="1907">
        <v>8448</v>
      </c>
      <c r="K13" s="1908">
        <f t="shared" si="4"/>
        <v>89.738687061822816</v>
      </c>
      <c r="L13" s="1909">
        <f t="shared" si="0"/>
        <v>96.647980780231094</v>
      </c>
      <c r="M13" s="1910">
        <f t="shared" si="5"/>
        <v>835</v>
      </c>
      <c r="N13" s="1911">
        <v>596</v>
      </c>
      <c r="O13" s="1912">
        <v>239</v>
      </c>
      <c r="P13" s="1908">
        <f t="shared" si="6"/>
        <v>72.482638888888886</v>
      </c>
    </row>
    <row r="14" spans="1:16" s="1917" customFormat="1" ht="30" customHeight="1">
      <c r="A14" s="1914" t="s">
        <v>2485</v>
      </c>
      <c r="B14" s="1896">
        <f t="shared" si="1"/>
        <v>8269</v>
      </c>
      <c r="C14" s="1907">
        <f>300+6907</f>
        <v>7207</v>
      </c>
      <c r="D14" s="1907">
        <f>25+1037</f>
        <v>1062</v>
      </c>
      <c r="E14" s="1908">
        <f>100-((B6-B14)/B6*100)</f>
        <v>85.107039934129276</v>
      </c>
      <c r="F14" s="1909">
        <v>100</v>
      </c>
      <c r="G14" s="1896">
        <v>325</v>
      </c>
      <c r="H14" s="1908">
        <f t="shared" si="2"/>
        <v>107.6158940397351</v>
      </c>
      <c r="I14" s="1916">
        <f t="shared" si="3"/>
        <v>3.9303422421090821</v>
      </c>
      <c r="J14" s="1907">
        <v>7944</v>
      </c>
      <c r="K14" s="1908">
        <f t="shared" si="4"/>
        <v>84.384958572339073</v>
      </c>
      <c r="L14" s="1909">
        <f t="shared" si="0"/>
        <v>96.069657757890909</v>
      </c>
      <c r="M14" s="1910">
        <f t="shared" si="5"/>
        <v>675</v>
      </c>
      <c r="N14" s="1911">
        <v>468</v>
      </c>
      <c r="O14" s="1912">
        <v>207</v>
      </c>
      <c r="P14" s="1908">
        <f t="shared" si="6"/>
        <v>58.59375</v>
      </c>
    </row>
    <row r="15" spans="1:16" s="1917" customFormat="1" ht="30" customHeight="1">
      <c r="A15" s="1914" t="s">
        <v>2486</v>
      </c>
      <c r="B15" s="1896">
        <f t="shared" si="1"/>
        <v>8065</v>
      </c>
      <c r="C15" s="1918">
        <f>210+6803</f>
        <v>7013</v>
      </c>
      <c r="D15" s="1918">
        <f>26+1026</f>
        <v>1052</v>
      </c>
      <c r="E15" s="1908">
        <f>100-((B6-B15)/B6*100)</f>
        <v>83.007410456978178</v>
      </c>
      <c r="F15" s="1916">
        <v>100</v>
      </c>
      <c r="G15" s="1919">
        <v>236</v>
      </c>
      <c r="H15" s="1908">
        <f t="shared" si="2"/>
        <v>78.145695364238406</v>
      </c>
      <c r="I15" s="1920">
        <f t="shared" si="3"/>
        <v>2.9262244265344082</v>
      </c>
      <c r="J15" s="1921">
        <v>7829</v>
      </c>
      <c r="K15" s="1908">
        <f t="shared" si="4"/>
        <v>83.16337369874654</v>
      </c>
      <c r="L15" s="1922">
        <f t="shared" si="0"/>
        <v>97.073775573465596</v>
      </c>
      <c r="M15" s="1910">
        <f t="shared" si="5"/>
        <v>638</v>
      </c>
      <c r="N15" s="1923">
        <v>502</v>
      </c>
      <c r="O15" s="1924">
        <v>136</v>
      </c>
      <c r="P15" s="1908">
        <f t="shared" si="6"/>
        <v>55.381944444444443</v>
      </c>
    </row>
    <row r="16" spans="1:16" s="1913" customFormat="1" ht="20.100000000000001" customHeight="1">
      <c r="A16" s="3811" t="s">
        <v>2546</v>
      </c>
      <c r="B16" s="3811"/>
      <c r="C16" s="3811"/>
      <c r="D16" s="3811"/>
      <c r="E16" s="3811"/>
      <c r="F16" s="3811"/>
      <c r="G16" s="3811"/>
      <c r="H16" s="3811"/>
      <c r="I16" s="3811"/>
      <c r="J16" s="3811"/>
      <c r="K16" s="3811"/>
      <c r="L16" s="3811"/>
      <c r="M16" s="3811"/>
      <c r="N16" s="3811"/>
      <c r="O16" s="3811"/>
      <c r="P16" s="3811"/>
    </row>
    <row r="17" spans="1:16" s="1882" customFormat="1" ht="15.75">
      <c r="A17" s="3812" t="s">
        <v>2547</v>
      </c>
      <c r="B17" s="3812"/>
      <c r="C17" s="3812"/>
      <c r="D17" s="3812"/>
      <c r="E17" s="3812"/>
      <c r="F17" s="1925"/>
      <c r="G17" s="1925"/>
      <c r="H17" s="1925"/>
      <c r="I17" s="1925"/>
      <c r="J17" s="1925"/>
      <c r="K17" s="1925"/>
      <c r="L17" s="1925"/>
      <c r="M17" s="1925"/>
      <c r="N17" s="1925"/>
      <c r="O17" s="1925"/>
      <c r="P17" s="1925"/>
    </row>
    <row r="18" spans="1:16" s="1882" customFormat="1" ht="15.75">
      <c r="A18" s="3809" t="s">
        <v>2548</v>
      </c>
      <c r="B18" s="3809"/>
      <c r="C18" s="3809"/>
      <c r="D18" s="3809"/>
      <c r="E18" s="1926"/>
      <c r="F18" s="1926"/>
      <c r="G18" s="1926"/>
      <c r="H18" s="1926"/>
      <c r="I18" s="1926"/>
      <c r="J18" s="1926"/>
      <c r="K18" s="1926"/>
      <c r="L18" s="1926"/>
      <c r="M18" s="1926"/>
      <c r="N18" s="1926"/>
      <c r="O18" s="1926"/>
      <c r="P18" s="1926"/>
    </row>
    <row r="19" spans="1:16" ht="16.5" customHeight="1">
      <c r="A19" s="3809" t="s">
        <v>2549</v>
      </c>
      <c r="B19" s="3809"/>
      <c r="C19" s="3809"/>
      <c r="D19" s="3809"/>
      <c r="E19" s="3809"/>
      <c r="F19" s="3809"/>
      <c r="G19" s="3809"/>
      <c r="H19" s="3809"/>
      <c r="I19" s="3809"/>
    </row>
  </sheetData>
  <mergeCells count="22">
    <mergeCell ref="A19:I19"/>
    <mergeCell ref="G4:G5"/>
    <mergeCell ref="H4:H5"/>
    <mergeCell ref="I4:I5"/>
    <mergeCell ref="J4:J5"/>
    <mergeCell ref="A16:P16"/>
    <mergeCell ref="A17:E17"/>
    <mergeCell ref="A18:D18"/>
    <mergeCell ref="K4:K5"/>
    <mergeCell ref="L4:L5"/>
    <mergeCell ref="A1:P1"/>
    <mergeCell ref="A2:A5"/>
    <mergeCell ref="B2:L2"/>
    <mergeCell ref="M2:P3"/>
    <mergeCell ref="B3:F3"/>
    <mergeCell ref="G3:I3"/>
    <mergeCell ref="J3:L3"/>
    <mergeCell ref="B4:D4"/>
    <mergeCell ref="E4:E5"/>
    <mergeCell ref="F4:F5"/>
    <mergeCell ref="M4:O4"/>
    <mergeCell ref="P4:P5"/>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52"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U72"/>
  <sheetViews>
    <sheetView showGridLines="0" showRuler="0" topLeftCell="A52" zoomScale="90" zoomScaleNormal="90" zoomScalePageLayoutView="125" workbookViewId="0">
      <selection activeCell="B18" sqref="B18:D18"/>
    </sheetView>
  </sheetViews>
  <sheetFormatPr defaultColWidth="9" defaultRowHeight="20.100000000000001" customHeight="1"/>
  <cols>
    <col min="1" max="1" width="22.875" style="1959" customWidth="1"/>
    <col min="2" max="15" width="8.625" style="1785" customWidth="1"/>
    <col min="16" max="17" width="8.625" style="1882" customWidth="1"/>
    <col min="18" max="21" width="8.625" style="1785" customWidth="1"/>
    <col min="22" max="16384" width="9" style="1795"/>
  </cols>
  <sheetData>
    <row r="1" spans="1:21" ht="24" customHeight="1">
      <c r="A1" s="3733" t="s">
        <v>2550</v>
      </c>
      <c r="B1" s="3733"/>
      <c r="C1" s="3733"/>
      <c r="D1" s="3733"/>
      <c r="E1" s="3733"/>
      <c r="F1" s="3733"/>
      <c r="G1" s="3733"/>
      <c r="H1" s="3733"/>
      <c r="I1" s="3733"/>
      <c r="J1" s="3733"/>
      <c r="K1" s="3733"/>
      <c r="L1" s="3733"/>
      <c r="M1" s="3733"/>
      <c r="N1" s="3733"/>
      <c r="O1" s="3733"/>
      <c r="P1" s="3733"/>
      <c r="Q1" s="3733"/>
      <c r="R1" s="3733"/>
      <c r="S1" s="3733"/>
      <c r="T1" s="3733"/>
      <c r="U1" s="3733"/>
    </row>
    <row r="2" spans="1:21" ht="16.5" customHeight="1">
      <c r="A2" s="1832"/>
      <c r="B2" s="3722" t="s">
        <v>2477</v>
      </c>
      <c r="C2" s="3734"/>
      <c r="D2" s="3730" t="s">
        <v>2551</v>
      </c>
      <c r="E2" s="3734"/>
      <c r="F2" s="3730" t="s">
        <v>2552</v>
      </c>
      <c r="G2" s="3734"/>
      <c r="H2" s="3730" t="s">
        <v>2553</v>
      </c>
      <c r="I2" s="3734"/>
      <c r="J2" s="3730" t="s">
        <v>2554</v>
      </c>
      <c r="K2" s="3734"/>
      <c r="L2" s="3730" t="s">
        <v>2555</v>
      </c>
      <c r="M2" s="3734"/>
      <c r="N2" s="3730" t="s">
        <v>2556</v>
      </c>
      <c r="O2" s="3734"/>
      <c r="P2" s="3803" t="s">
        <v>2557</v>
      </c>
      <c r="Q2" s="3804"/>
      <c r="R2" s="3730" t="s">
        <v>2558</v>
      </c>
      <c r="S2" s="3734"/>
      <c r="T2" s="3730" t="s">
        <v>2559</v>
      </c>
      <c r="U2" s="3722"/>
    </row>
    <row r="3" spans="1:21" ht="21.75" customHeight="1">
      <c r="A3" s="1833"/>
      <c r="B3" s="1927" t="s">
        <v>2560</v>
      </c>
      <c r="C3" s="1859" t="s">
        <v>2561</v>
      </c>
      <c r="D3" s="1859" t="s">
        <v>2562</v>
      </c>
      <c r="E3" s="1859" t="s">
        <v>2561</v>
      </c>
      <c r="F3" s="1859" t="s">
        <v>2563</v>
      </c>
      <c r="G3" s="1859" t="s">
        <v>2561</v>
      </c>
      <c r="H3" s="1859" t="s">
        <v>2563</v>
      </c>
      <c r="I3" s="1859" t="s">
        <v>2561</v>
      </c>
      <c r="J3" s="1859" t="s">
        <v>2563</v>
      </c>
      <c r="K3" s="1859" t="s">
        <v>2561</v>
      </c>
      <c r="L3" s="1859" t="s">
        <v>2563</v>
      </c>
      <c r="M3" s="1859" t="s">
        <v>2561</v>
      </c>
      <c r="N3" s="1859" t="s">
        <v>2563</v>
      </c>
      <c r="O3" s="1859" t="s">
        <v>2561</v>
      </c>
      <c r="P3" s="1859" t="s">
        <v>2563</v>
      </c>
      <c r="Q3" s="1859" t="s">
        <v>2561</v>
      </c>
      <c r="R3" s="1859" t="s">
        <v>2563</v>
      </c>
      <c r="S3" s="1859" t="s">
        <v>2561</v>
      </c>
      <c r="T3" s="1859" t="s">
        <v>2563</v>
      </c>
      <c r="U3" s="1788" t="s">
        <v>2561</v>
      </c>
    </row>
    <row r="4" spans="1:21" ht="20.100000000000001" customHeight="1">
      <c r="A4" s="299" t="s">
        <v>2375</v>
      </c>
      <c r="B4" s="1928">
        <f t="shared" ref="B4:U4" si="0">SUM(B5:B70)</f>
        <v>9414</v>
      </c>
      <c r="C4" s="1929">
        <f t="shared" si="0"/>
        <v>100.00000000000001</v>
      </c>
      <c r="D4" s="1928">
        <f t="shared" si="0"/>
        <v>10793</v>
      </c>
      <c r="E4" s="1929">
        <f t="shared" si="0"/>
        <v>100.00000000000004</v>
      </c>
      <c r="F4" s="1930">
        <f t="shared" si="0"/>
        <v>11383</v>
      </c>
      <c r="G4" s="1929">
        <f t="shared" si="0"/>
        <v>100.00000000000004</v>
      </c>
      <c r="H4" s="1930">
        <f t="shared" si="0"/>
        <v>10374</v>
      </c>
      <c r="I4" s="1929">
        <f t="shared" si="0"/>
        <v>100.00000000000001</v>
      </c>
      <c r="J4" s="1931">
        <f t="shared" si="0"/>
        <v>9359</v>
      </c>
      <c r="K4" s="1932">
        <f t="shared" si="0"/>
        <v>100.00000000000017</v>
      </c>
      <c r="L4" s="1931">
        <f t="shared" si="0"/>
        <v>8568</v>
      </c>
      <c r="M4" s="1933">
        <f t="shared" si="0"/>
        <v>99.999999999999943</v>
      </c>
      <c r="N4" s="1934">
        <f t="shared" si="0"/>
        <v>8132</v>
      </c>
      <c r="O4" s="1933">
        <f t="shared" si="0"/>
        <v>100.00000000000003</v>
      </c>
      <c r="P4" s="1934">
        <f t="shared" si="0"/>
        <v>8448</v>
      </c>
      <c r="Q4" s="1933">
        <f t="shared" si="0"/>
        <v>100.00000000000006</v>
      </c>
      <c r="R4" s="1934">
        <f t="shared" si="0"/>
        <v>7944</v>
      </c>
      <c r="S4" s="1933">
        <f t="shared" si="0"/>
        <v>100.00000000000003</v>
      </c>
      <c r="T4" s="1934">
        <f t="shared" si="0"/>
        <v>7829</v>
      </c>
      <c r="U4" s="1933">
        <f t="shared" si="0"/>
        <v>99.999999999999986</v>
      </c>
    </row>
    <row r="5" spans="1:21" s="1849" customFormat="1" ht="20.100000000000001" customHeight="1">
      <c r="A5" s="299" t="s">
        <v>2564</v>
      </c>
      <c r="B5" s="1935">
        <f>1767+228</f>
        <v>1995</v>
      </c>
      <c r="C5" s="1936">
        <f t="shared" ref="C5:C28" si="1">B5/B$4*100</f>
        <v>21.191841937539834</v>
      </c>
      <c r="D5" s="1935">
        <f>2571+332</f>
        <v>2903</v>
      </c>
      <c r="E5" s="1937">
        <f t="shared" ref="E5:E28" si="2">D5/D$4*100</f>
        <v>26.897062911146115</v>
      </c>
      <c r="F5" s="1938">
        <f>2976+348</f>
        <v>3324</v>
      </c>
      <c r="G5" s="1937">
        <f t="shared" ref="G5:G28" si="3">F5/F$4*100</f>
        <v>29.201440744970569</v>
      </c>
      <c r="H5" s="1938">
        <f>2344+290</f>
        <v>2634</v>
      </c>
      <c r="I5" s="1937">
        <f t="shared" ref="I5:I28" si="4">H5/H$4*100</f>
        <v>25.390399074609597</v>
      </c>
      <c r="J5" s="1939">
        <f>2110+239</f>
        <v>2349</v>
      </c>
      <c r="K5" s="1940">
        <f t="shared" ref="K5:K28" si="5">J5/J$4*100</f>
        <v>25.098835345656589</v>
      </c>
      <c r="L5" s="1939">
        <f>1829+205</f>
        <v>2034</v>
      </c>
      <c r="M5" s="1941">
        <f t="shared" ref="M5:M28" si="6">L5/L$4*100</f>
        <v>23.739495798319325</v>
      </c>
      <c r="N5" s="1942">
        <f>1801+203</f>
        <v>2004</v>
      </c>
      <c r="O5" s="1941">
        <f t="shared" ref="O5:O28" si="7">N5/N$4*100</f>
        <v>24.643384161337924</v>
      </c>
      <c r="P5" s="1942">
        <f>1893+218</f>
        <v>2111</v>
      </c>
      <c r="Q5" s="1941">
        <f t="shared" ref="Q5:Q28" si="8">P5/P$4*100</f>
        <v>24.988162878787879</v>
      </c>
      <c r="R5" s="1942">
        <f>1893+193</f>
        <v>2086</v>
      </c>
      <c r="S5" s="1941">
        <f>R5/R4*100</f>
        <v>26.258811681772411</v>
      </c>
      <c r="T5" s="1942">
        <f>2020+205</f>
        <v>2225</v>
      </c>
      <c r="U5" s="1941">
        <f t="shared" ref="U5:U47" si="9">T5/T$4*100</f>
        <v>28.419977008557929</v>
      </c>
    </row>
    <row r="6" spans="1:21" ht="20.100000000000001" customHeight="1">
      <c r="A6" s="299" t="s">
        <v>2565</v>
      </c>
      <c r="B6" s="1935">
        <f>2682+380</f>
        <v>3062</v>
      </c>
      <c r="C6" s="1936">
        <f t="shared" si="1"/>
        <v>32.526025069046099</v>
      </c>
      <c r="D6" s="1935">
        <f>2563+306</f>
        <v>2869</v>
      </c>
      <c r="E6" s="1937">
        <f t="shared" si="2"/>
        <v>26.582043917353843</v>
      </c>
      <c r="F6" s="1938">
        <f>2640+370</f>
        <v>3010</v>
      </c>
      <c r="G6" s="1937">
        <f t="shared" si="3"/>
        <v>26.442941228147237</v>
      </c>
      <c r="H6" s="1938">
        <f>2264+322</f>
        <v>2586</v>
      </c>
      <c r="I6" s="1937">
        <f t="shared" si="4"/>
        <v>24.927703875072297</v>
      </c>
      <c r="J6" s="1939">
        <f>1956+318</f>
        <v>2274</v>
      </c>
      <c r="K6" s="1940">
        <f t="shared" si="5"/>
        <v>24.297467678170744</v>
      </c>
      <c r="L6" s="1939">
        <f>1648+260</f>
        <v>1908</v>
      </c>
      <c r="M6" s="1941">
        <f t="shared" si="6"/>
        <v>22.268907563025213</v>
      </c>
      <c r="N6" s="1942">
        <f>1369+176</f>
        <v>1545</v>
      </c>
      <c r="O6" s="1941">
        <f t="shared" si="7"/>
        <v>18.999016232169208</v>
      </c>
      <c r="P6" s="1942">
        <f>1224+147</f>
        <v>1371</v>
      </c>
      <c r="Q6" s="1941">
        <f t="shared" si="8"/>
        <v>16.228693181818183</v>
      </c>
      <c r="R6" s="1942">
        <f>1073+161</f>
        <v>1234</v>
      </c>
      <c r="S6" s="1941">
        <f t="shared" ref="S6:S41" si="10">R6/R$4*100</f>
        <v>15.533736153071501</v>
      </c>
      <c r="T6" s="1942">
        <f>1048+176</f>
        <v>1224</v>
      </c>
      <c r="U6" s="1941">
        <f t="shared" si="9"/>
        <v>15.634180610550516</v>
      </c>
    </row>
    <row r="7" spans="1:21" ht="18" customHeight="1">
      <c r="A7" s="299" t="s">
        <v>2566</v>
      </c>
      <c r="B7" s="1935">
        <f>292+83</f>
        <v>375</v>
      </c>
      <c r="C7" s="1936">
        <f t="shared" si="1"/>
        <v>3.9834289356277885</v>
      </c>
      <c r="D7" s="1935">
        <f>338+64</f>
        <v>402</v>
      </c>
      <c r="E7" s="1937">
        <f t="shared" si="2"/>
        <v>3.7246363383674606</v>
      </c>
      <c r="F7" s="1938">
        <f>312+68</f>
        <v>380</v>
      </c>
      <c r="G7" s="1937">
        <f t="shared" si="3"/>
        <v>3.3383115171747342</v>
      </c>
      <c r="H7" s="1938">
        <f>318+74</f>
        <v>392</v>
      </c>
      <c r="I7" s="1937">
        <f t="shared" si="4"/>
        <v>3.7786774628879893</v>
      </c>
      <c r="J7" s="1939">
        <f>228+55</f>
        <v>283</v>
      </c>
      <c r="K7" s="1940">
        <f t="shared" si="5"/>
        <v>3.0238273319799123</v>
      </c>
      <c r="L7" s="1939">
        <f>339+85</f>
        <v>424</v>
      </c>
      <c r="M7" s="1941">
        <f t="shared" si="6"/>
        <v>4.9486461251167135</v>
      </c>
      <c r="N7" s="1942">
        <f>515+99</f>
        <v>614</v>
      </c>
      <c r="O7" s="1941">
        <f t="shared" si="7"/>
        <v>7.5504181013280869</v>
      </c>
      <c r="P7" s="1942">
        <f>879+137</f>
        <v>1016</v>
      </c>
      <c r="Q7" s="1941">
        <f t="shared" si="8"/>
        <v>12.026515151515152</v>
      </c>
      <c r="R7" s="1942">
        <f>929+185</f>
        <v>1114</v>
      </c>
      <c r="S7" s="1941">
        <f t="shared" si="10"/>
        <v>14.023162134944611</v>
      </c>
      <c r="T7" s="1942">
        <f>884+194</f>
        <v>1078</v>
      </c>
      <c r="U7" s="1941">
        <f t="shared" si="9"/>
        <v>13.769319197854132</v>
      </c>
    </row>
    <row r="8" spans="1:21" ht="18" customHeight="1">
      <c r="A8" s="299" t="s">
        <v>2567</v>
      </c>
      <c r="B8" s="1942">
        <f>585+34</f>
        <v>619</v>
      </c>
      <c r="C8" s="1936">
        <f t="shared" si="1"/>
        <v>6.5753133630762699</v>
      </c>
      <c r="D8" s="1942">
        <f>722+48</f>
        <v>770</v>
      </c>
      <c r="E8" s="1937">
        <f t="shared" si="2"/>
        <v>7.1342536829426484</v>
      </c>
      <c r="F8" s="1939">
        <f>815+56</f>
        <v>871</v>
      </c>
      <c r="G8" s="1937">
        <f t="shared" si="3"/>
        <v>7.6517613985768254</v>
      </c>
      <c r="H8" s="1939">
        <f>874+67</f>
        <v>941</v>
      </c>
      <c r="I8" s="1937">
        <f t="shared" si="4"/>
        <v>9.0707538075959135</v>
      </c>
      <c r="J8" s="1939">
        <f>787+54</f>
        <v>841</v>
      </c>
      <c r="K8" s="1940">
        <f t="shared" si="5"/>
        <v>8.9860027780745817</v>
      </c>
      <c r="L8" s="1939">
        <f>781+50</f>
        <v>831</v>
      </c>
      <c r="M8" s="1941">
        <f t="shared" si="6"/>
        <v>9.6988795518207294</v>
      </c>
      <c r="N8" s="1942">
        <f>729+64</f>
        <v>793</v>
      </c>
      <c r="O8" s="1941">
        <f t="shared" si="7"/>
        <v>9.7515986227250373</v>
      </c>
      <c r="P8" s="1942">
        <f>627+53</f>
        <v>680</v>
      </c>
      <c r="Q8" s="1941">
        <f t="shared" si="8"/>
        <v>8.0492424242424239</v>
      </c>
      <c r="R8" s="1942">
        <f>590+42</f>
        <v>632</v>
      </c>
      <c r="S8" s="1941">
        <f t="shared" si="10"/>
        <v>7.9556898288016109</v>
      </c>
      <c r="T8" s="1942">
        <f>632+52</f>
        <v>684</v>
      </c>
      <c r="U8" s="1941">
        <f t="shared" si="9"/>
        <v>8.736747988248819</v>
      </c>
    </row>
    <row r="9" spans="1:21" ht="17.25" customHeight="1">
      <c r="A9" s="299" t="s">
        <v>2568</v>
      </c>
      <c r="B9" s="1935">
        <f>677+70</f>
        <v>747</v>
      </c>
      <c r="C9" s="1936">
        <f t="shared" si="1"/>
        <v>7.9349904397705551</v>
      </c>
      <c r="D9" s="1935">
        <f>861+110</f>
        <v>971</v>
      </c>
      <c r="E9" s="1937">
        <f t="shared" si="2"/>
        <v>8.9965718521263778</v>
      </c>
      <c r="F9" s="1938">
        <f>767+84</f>
        <v>851</v>
      </c>
      <c r="G9" s="1937">
        <f t="shared" si="3"/>
        <v>7.4760607924097329</v>
      </c>
      <c r="H9" s="1938">
        <f>750+106</f>
        <v>856</v>
      </c>
      <c r="I9" s="1937">
        <f t="shared" si="4"/>
        <v>8.2513977250819348</v>
      </c>
      <c r="J9" s="1939">
        <f>904+98</f>
        <v>1002</v>
      </c>
      <c r="K9" s="1940">
        <f t="shared" si="5"/>
        <v>10.706272037610857</v>
      </c>
      <c r="L9" s="1939">
        <f>670+99</f>
        <v>769</v>
      </c>
      <c r="M9" s="1941">
        <f t="shared" si="6"/>
        <v>8.9752567693744165</v>
      </c>
      <c r="N9" s="1942">
        <f>650+95</f>
        <v>745</v>
      </c>
      <c r="O9" s="1941">
        <f t="shared" si="7"/>
        <v>9.1613379242498763</v>
      </c>
      <c r="P9" s="1942">
        <f>650+109</f>
        <v>759</v>
      </c>
      <c r="Q9" s="1941">
        <f t="shared" si="8"/>
        <v>8.984375</v>
      </c>
      <c r="R9" s="1942">
        <f>608+109</f>
        <v>717</v>
      </c>
      <c r="S9" s="1941">
        <f t="shared" si="10"/>
        <v>9.0256797583081561</v>
      </c>
      <c r="T9" s="1942">
        <f>524+94</f>
        <v>618</v>
      </c>
      <c r="U9" s="1941">
        <f t="shared" si="9"/>
        <v>7.8937284455230561</v>
      </c>
    </row>
    <row r="10" spans="1:21" s="1901" customFormat="1" ht="18.75" customHeight="1">
      <c r="A10" s="299" t="s">
        <v>2569</v>
      </c>
      <c r="B10" s="1935">
        <f>209+50</f>
        <v>259</v>
      </c>
      <c r="C10" s="1936">
        <f t="shared" si="1"/>
        <v>2.7512215848735924</v>
      </c>
      <c r="D10" s="1935">
        <f>285+58</f>
        <v>343</v>
      </c>
      <c r="E10" s="1937">
        <f t="shared" si="2"/>
        <v>3.1779857314926345</v>
      </c>
      <c r="F10" s="1938">
        <f>336+83</f>
        <v>419</v>
      </c>
      <c r="G10" s="1937">
        <f t="shared" si="3"/>
        <v>3.6809276992005624</v>
      </c>
      <c r="H10" s="1938">
        <f>305+76</f>
        <v>381</v>
      </c>
      <c r="I10" s="1937">
        <f t="shared" si="4"/>
        <v>3.6726431463273568</v>
      </c>
      <c r="J10" s="1939">
        <f>294+67</f>
        <v>361</v>
      </c>
      <c r="K10" s="1940">
        <f t="shared" si="5"/>
        <v>3.8572497061651889</v>
      </c>
      <c r="L10" s="1939">
        <f>273+45</f>
        <v>318</v>
      </c>
      <c r="M10" s="1941">
        <f t="shared" si="6"/>
        <v>3.7114845938375352</v>
      </c>
      <c r="N10" s="1942">
        <f>293+44</f>
        <v>337</v>
      </c>
      <c r="O10" s="1941">
        <f t="shared" si="7"/>
        <v>4.144121987211018</v>
      </c>
      <c r="P10" s="1942">
        <f>285+44</f>
        <v>329</v>
      </c>
      <c r="Q10" s="1941">
        <f t="shared" si="8"/>
        <v>3.8944128787878785</v>
      </c>
      <c r="R10" s="1942">
        <f>338+49</f>
        <v>387</v>
      </c>
      <c r="S10" s="1941">
        <f t="shared" si="10"/>
        <v>4.8716012084592144</v>
      </c>
      <c r="T10" s="1942">
        <f>367+43</f>
        <v>410</v>
      </c>
      <c r="U10" s="1941">
        <f t="shared" si="9"/>
        <v>5.2369395835994377</v>
      </c>
    </row>
    <row r="11" spans="1:21" ht="20.100000000000001" customHeight="1">
      <c r="A11" s="299" t="s">
        <v>2570</v>
      </c>
      <c r="B11" s="1935">
        <f>563+233</f>
        <v>796</v>
      </c>
      <c r="C11" s="1936">
        <f t="shared" si="1"/>
        <v>8.4554918206925862</v>
      </c>
      <c r="D11" s="1942">
        <f>644+240</f>
        <v>884</v>
      </c>
      <c r="E11" s="1937">
        <f t="shared" si="2"/>
        <v>8.1904938385990924</v>
      </c>
      <c r="F11" s="1938">
        <f>646+220</f>
        <v>866</v>
      </c>
      <c r="G11" s="1937">
        <f t="shared" si="3"/>
        <v>7.6078362470350518</v>
      </c>
      <c r="H11" s="1938">
        <f>823+212</f>
        <v>1035</v>
      </c>
      <c r="I11" s="1937">
        <f t="shared" si="4"/>
        <v>9.9768652400231339</v>
      </c>
      <c r="J11" s="1939">
        <f>637+142</f>
        <v>779</v>
      </c>
      <c r="K11" s="1940">
        <f t="shared" si="5"/>
        <v>8.3235388396196175</v>
      </c>
      <c r="L11" s="1939">
        <f>736+235</f>
        <v>971</v>
      </c>
      <c r="M11" s="1941">
        <f t="shared" si="6"/>
        <v>11.332866479925304</v>
      </c>
      <c r="N11" s="1942">
        <f>660+199</f>
        <v>859</v>
      </c>
      <c r="O11" s="1941">
        <f t="shared" si="7"/>
        <v>10.563207083128381</v>
      </c>
      <c r="P11" s="1942">
        <f>587+168</f>
        <v>755</v>
      </c>
      <c r="Q11" s="1941">
        <f t="shared" si="8"/>
        <v>8.9370265151515156</v>
      </c>
      <c r="R11" s="1942">
        <f>294+97</f>
        <v>391</v>
      </c>
      <c r="S11" s="1941">
        <f t="shared" si="10"/>
        <v>4.9219536757301103</v>
      </c>
      <c r="T11" s="1942">
        <f>236+66</f>
        <v>302</v>
      </c>
      <c r="U11" s="1941">
        <f t="shared" si="9"/>
        <v>3.8574530591390981</v>
      </c>
    </row>
    <row r="12" spans="1:21" ht="18" customHeight="1">
      <c r="A12" s="299" t="s">
        <v>2571</v>
      </c>
      <c r="B12" s="1935">
        <f>129+4</f>
        <v>133</v>
      </c>
      <c r="C12" s="1936">
        <f t="shared" si="1"/>
        <v>1.4127894625026556</v>
      </c>
      <c r="D12" s="1935">
        <f>184+14</f>
        <v>198</v>
      </c>
      <c r="E12" s="1937">
        <f t="shared" si="2"/>
        <v>1.8345223756138236</v>
      </c>
      <c r="F12" s="1938">
        <f>173+13</f>
        <v>186</v>
      </c>
      <c r="G12" s="1937">
        <f t="shared" si="3"/>
        <v>1.6340156373539489</v>
      </c>
      <c r="H12" s="1938">
        <f>164+12</f>
        <v>176</v>
      </c>
      <c r="I12" s="1937">
        <f t="shared" si="4"/>
        <v>1.6965490649701174</v>
      </c>
      <c r="J12" s="1939">
        <f>150+5</f>
        <v>155</v>
      </c>
      <c r="K12" s="1940">
        <f t="shared" si="5"/>
        <v>1.6561598461374079</v>
      </c>
      <c r="L12" s="1939">
        <f>126+4</f>
        <v>130</v>
      </c>
      <c r="M12" s="1941">
        <f t="shared" si="6"/>
        <v>1.5172735760971054</v>
      </c>
      <c r="N12" s="1942">
        <f>152+13</f>
        <v>165</v>
      </c>
      <c r="O12" s="1941">
        <f t="shared" si="7"/>
        <v>2.029021151008362</v>
      </c>
      <c r="P12" s="1942">
        <f>206+6</f>
        <v>212</v>
      </c>
      <c r="Q12" s="1941">
        <f t="shared" si="8"/>
        <v>2.5094696969696968</v>
      </c>
      <c r="R12" s="1942">
        <f>286+9</f>
        <v>295</v>
      </c>
      <c r="S12" s="1941">
        <f t="shared" si="10"/>
        <v>3.7134944612286001</v>
      </c>
      <c r="T12" s="1942">
        <f>250+11</f>
        <v>261</v>
      </c>
      <c r="U12" s="1941">
        <f t="shared" si="9"/>
        <v>3.3337591007791545</v>
      </c>
    </row>
    <row r="13" spans="1:21" ht="18" customHeight="1">
      <c r="A13" s="299" t="s">
        <v>2572</v>
      </c>
      <c r="B13" s="1935">
        <f>17+39</f>
        <v>56</v>
      </c>
      <c r="C13" s="1936">
        <f t="shared" si="1"/>
        <v>0.59485872105374971</v>
      </c>
      <c r="D13" s="1935">
        <f>32+42</f>
        <v>74</v>
      </c>
      <c r="E13" s="1937">
        <f t="shared" si="2"/>
        <v>0.68562957472435837</v>
      </c>
      <c r="F13" s="1938">
        <f>25+41</f>
        <v>66</v>
      </c>
      <c r="G13" s="1937">
        <f t="shared" si="3"/>
        <v>0.57981200035140124</v>
      </c>
      <c r="H13" s="1938">
        <f>27+36</f>
        <v>63</v>
      </c>
      <c r="I13" s="1937">
        <f t="shared" si="4"/>
        <v>0.60728744939271251</v>
      </c>
      <c r="J13" s="1939">
        <f>44+36</f>
        <v>80</v>
      </c>
      <c r="K13" s="1940">
        <f t="shared" si="5"/>
        <v>0.85479217865156532</v>
      </c>
      <c r="L13" s="1939">
        <f>34+24</f>
        <v>58</v>
      </c>
      <c r="M13" s="1941">
        <f t="shared" si="6"/>
        <v>0.67693744164332403</v>
      </c>
      <c r="N13" s="1942">
        <f>55+41</f>
        <v>96</v>
      </c>
      <c r="O13" s="1941">
        <f t="shared" si="7"/>
        <v>1.1805213969503197</v>
      </c>
      <c r="P13" s="1942">
        <f>150+64</f>
        <v>214</v>
      </c>
      <c r="Q13" s="1941">
        <f t="shared" si="8"/>
        <v>2.5331439393939394</v>
      </c>
      <c r="R13" s="1942">
        <f>120+47</f>
        <v>167</v>
      </c>
      <c r="S13" s="1941">
        <f t="shared" si="10"/>
        <v>2.1022155085599197</v>
      </c>
      <c r="T13" s="1942">
        <f>156+58</f>
        <v>214</v>
      </c>
      <c r="U13" s="1941">
        <f t="shared" si="9"/>
        <v>2.733427002171414</v>
      </c>
    </row>
    <row r="14" spans="1:21" ht="18" customHeight="1">
      <c r="A14" s="299" t="s">
        <v>2573</v>
      </c>
      <c r="B14" s="1935">
        <f>240+31</f>
        <v>271</v>
      </c>
      <c r="C14" s="1936">
        <f t="shared" si="1"/>
        <v>2.8786913108136818</v>
      </c>
      <c r="D14" s="1935">
        <f>284+49</f>
        <v>333</v>
      </c>
      <c r="E14" s="1937">
        <f t="shared" si="2"/>
        <v>3.0853330862596127</v>
      </c>
      <c r="F14" s="1938">
        <f>271+41</f>
        <v>312</v>
      </c>
      <c r="G14" s="1937">
        <f t="shared" si="3"/>
        <v>2.740929456206624</v>
      </c>
      <c r="H14" s="1938">
        <f>195+19</f>
        <v>214</v>
      </c>
      <c r="I14" s="1937">
        <f t="shared" si="4"/>
        <v>2.0628494312704837</v>
      </c>
      <c r="J14" s="1939">
        <f>167+23</f>
        <v>190</v>
      </c>
      <c r="K14" s="1940">
        <f t="shared" si="5"/>
        <v>2.0301314242974677</v>
      </c>
      <c r="L14" s="1939">
        <f>171+15</f>
        <v>186</v>
      </c>
      <c r="M14" s="1941">
        <f t="shared" si="6"/>
        <v>2.1708683473389354</v>
      </c>
      <c r="N14" s="1942">
        <f>120+13</f>
        <v>133</v>
      </c>
      <c r="O14" s="1941">
        <f t="shared" si="7"/>
        <v>1.6355140186915886</v>
      </c>
      <c r="P14" s="1942">
        <f>103+11</f>
        <v>114</v>
      </c>
      <c r="Q14" s="1941">
        <f t="shared" si="8"/>
        <v>1.3494318181818181</v>
      </c>
      <c r="R14" s="1942">
        <f>95+6</f>
        <v>101</v>
      </c>
      <c r="S14" s="1941">
        <f t="shared" si="10"/>
        <v>1.2713997985901311</v>
      </c>
      <c r="T14" s="1942">
        <f>119+15</f>
        <v>134</v>
      </c>
      <c r="U14" s="1941">
        <f t="shared" si="9"/>
        <v>1.7115851322007918</v>
      </c>
    </row>
    <row r="15" spans="1:21" ht="18" customHeight="1">
      <c r="A15" s="299" t="s">
        <v>2574</v>
      </c>
      <c r="B15" s="1935">
        <f>25+17</f>
        <v>42</v>
      </c>
      <c r="C15" s="1936">
        <f t="shared" si="1"/>
        <v>0.44614404079031234</v>
      </c>
      <c r="D15" s="1935">
        <f>39+43</f>
        <v>82</v>
      </c>
      <c r="E15" s="1937">
        <f t="shared" si="2"/>
        <v>0.75975169091077543</v>
      </c>
      <c r="F15" s="1938">
        <f>61+27</f>
        <v>88</v>
      </c>
      <c r="G15" s="1937">
        <f t="shared" si="3"/>
        <v>0.77308266713520157</v>
      </c>
      <c r="H15" s="1938">
        <f>43+19</f>
        <v>62</v>
      </c>
      <c r="I15" s="1937">
        <f t="shared" si="4"/>
        <v>0.59764796606901871</v>
      </c>
      <c r="J15" s="1939">
        <f>69+27</f>
        <v>96</v>
      </c>
      <c r="K15" s="1940">
        <f t="shared" si="5"/>
        <v>1.0257506143818784</v>
      </c>
      <c r="L15" s="1939">
        <f>53+11</f>
        <v>64</v>
      </c>
      <c r="M15" s="1941">
        <f t="shared" si="6"/>
        <v>0.7469654528478058</v>
      </c>
      <c r="N15" s="1942">
        <f>68+22</f>
        <v>90</v>
      </c>
      <c r="O15" s="1941">
        <f t="shared" si="7"/>
        <v>1.1067388096409247</v>
      </c>
      <c r="P15" s="1942">
        <f>99+31</f>
        <v>130</v>
      </c>
      <c r="Q15" s="1941">
        <f t="shared" si="8"/>
        <v>1.5388257575757576</v>
      </c>
      <c r="R15" s="1942">
        <f>83+38</f>
        <v>121</v>
      </c>
      <c r="S15" s="1941">
        <f t="shared" si="10"/>
        <v>1.5231621349446123</v>
      </c>
      <c r="T15" s="1942">
        <f>85+27</f>
        <v>112</v>
      </c>
      <c r="U15" s="1941">
        <f t="shared" si="9"/>
        <v>1.4305786179588709</v>
      </c>
    </row>
    <row r="16" spans="1:21" ht="20.100000000000001" customHeight="1">
      <c r="A16" s="299" t="s">
        <v>2575</v>
      </c>
      <c r="B16" s="1935">
        <f>122+50</f>
        <v>172</v>
      </c>
      <c r="C16" s="1936">
        <f t="shared" si="1"/>
        <v>1.8270660718079454</v>
      </c>
      <c r="D16" s="1935">
        <f>100+33</f>
        <v>133</v>
      </c>
      <c r="E16" s="1937">
        <f t="shared" si="2"/>
        <v>1.2322801815991846</v>
      </c>
      <c r="F16" s="1938">
        <f>110+35</f>
        <v>145</v>
      </c>
      <c r="G16" s="1937">
        <f t="shared" si="3"/>
        <v>1.2738293947114117</v>
      </c>
      <c r="H16" s="1938">
        <f>176+41</f>
        <v>217</v>
      </c>
      <c r="I16" s="1937">
        <f t="shared" si="4"/>
        <v>2.0917678812415654</v>
      </c>
      <c r="J16" s="1939">
        <f>159+36</f>
        <v>195</v>
      </c>
      <c r="K16" s="1940">
        <f t="shared" si="5"/>
        <v>2.0835559354631905</v>
      </c>
      <c r="L16" s="1939">
        <f>131+23</f>
        <v>154</v>
      </c>
      <c r="M16" s="1941">
        <f t="shared" si="6"/>
        <v>1.7973856209150325</v>
      </c>
      <c r="N16" s="1942">
        <f>73+31</f>
        <v>104</v>
      </c>
      <c r="O16" s="1941">
        <f t="shared" si="7"/>
        <v>1.2788981800295129</v>
      </c>
      <c r="P16" s="1942">
        <f>52+28</f>
        <v>80</v>
      </c>
      <c r="Q16" s="1941">
        <f t="shared" si="8"/>
        <v>0.94696969696969702</v>
      </c>
      <c r="R16" s="1942">
        <f>33+28</f>
        <v>61</v>
      </c>
      <c r="S16" s="1941">
        <f t="shared" si="10"/>
        <v>0.76787512588116813</v>
      </c>
      <c r="T16" s="1942">
        <f>44+23</f>
        <v>67</v>
      </c>
      <c r="U16" s="1941">
        <f t="shared" si="9"/>
        <v>0.85579256610039589</v>
      </c>
    </row>
    <row r="17" spans="1:21" ht="18" customHeight="1">
      <c r="A17" s="299" t="s">
        <v>2576</v>
      </c>
      <c r="B17" s="1935">
        <f>70+21</f>
        <v>91</v>
      </c>
      <c r="C17" s="1936">
        <f t="shared" si="1"/>
        <v>0.96664542171234336</v>
      </c>
      <c r="D17" s="1935">
        <f>74+32</f>
        <v>106</v>
      </c>
      <c r="E17" s="1937">
        <f t="shared" si="2"/>
        <v>0.98211803947002696</v>
      </c>
      <c r="F17" s="1938">
        <f>70+23</f>
        <v>93</v>
      </c>
      <c r="G17" s="1937">
        <f t="shared" si="3"/>
        <v>0.81700781867697447</v>
      </c>
      <c r="H17" s="1938">
        <f>71+31</f>
        <v>102</v>
      </c>
      <c r="I17" s="1937">
        <f t="shared" si="4"/>
        <v>0.98322729901677264</v>
      </c>
      <c r="J17" s="1939">
        <f>54+19</f>
        <v>73</v>
      </c>
      <c r="K17" s="1940">
        <f t="shared" si="5"/>
        <v>0.77999786301955343</v>
      </c>
      <c r="L17" s="1939">
        <f>55+11</f>
        <v>66</v>
      </c>
      <c r="M17" s="1941">
        <f t="shared" si="6"/>
        <v>0.77030812324929976</v>
      </c>
      <c r="N17" s="1942">
        <f>52+9</f>
        <v>61</v>
      </c>
      <c r="O17" s="1941">
        <f t="shared" si="7"/>
        <v>0.75012297097884906</v>
      </c>
      <c r="P17" s="1942">
        <f>35+9</f>
        <v>44</v>
      </c>
      <c r="Q17" s="1941">
        <f t="shared" si="8"/>
        <v>0.52083333333333326</v>
      </c>
      <c r="R17" s="1942">
        <f>56+6</f>
        <v>62</v>
      </c>
      <c r="S17" s="1941">
        <f t="shared" si="10"/>
        <v>0.78046324269889222</v>
      </c>
      <c r="T17" s="1942">
        <f>51+14</f>
        <v>65</v>
      </c>
      <c r="U17" s="1941">
        <f t="shared" si="9"/>
        <v>0.83024651935113047</v>
      </c>
    </row>
    <row r="18" spans="1:21" ht="20.100000000000001" customHeight="1">
      <c r="A18" s="299" t="s">
        <v>2577</v>
      </c>
      <c r="B18" s="1935">
        <f>81+6</f>
        <v>87</v>
      </c>
      <c r="C18" s="1936">
        <f t="shared" si="1"/>
        <v>0.92415551306564681</v>
      </c>
      <c r="D18" s="1935">
        <f>63+8</f>
        <v>71</v>
      </c>
      <c r="E18" s="1937">
        <f t="shared" si="2"/>
        <v>0.65783378115445201</v>
      </c>
      <c r="F18" s="1938">
        <f>100+15</f>
        <v>115</v>
      </c>
      <c r="G18" s="1937">
        <f t="shared" si="3"/>
        <v>1.0102784854607749</v>
      </c>
      <c r="H18" s="1938">
        <f>73+11</f>
        <v>84</v>
      </c>
      <c r="I18" s="1937">
        <f t="shared" si="4"/>
        <v>0.80971659919028338</v>
      </c>
      <c r="J18" s="1939">
        <f>70+8</f>
        <v>78</v>
      </c>
      <c r="K18" s="1940">
        <f t="shared" si="5"/>
        <v>0.8334223741852762</v>
      </c>
      <c r="L18" s="1939">
        <f>70+15</f>
        <v>85</v>
      </c>
      <c r="M18" s="1941">
        <f t="shared" si="6"/>
        <v>0.99206349206349198</v>
      </c>
      <c r="N18" s="1942">
        <f>68+7</f>
        <v>75</v>
      </c>
      <c r="O18" s="1941">
        <f t="shared" si="7"/>
        <v>0.92228234136743725</v>
      </c>
      <c r="P18" s="1942">
        <f>44+7</f>
        <v>51</v>
      </c>
      <c r="Q18" s="1941">
        <f t="shared" si="8"/>
        <v>0.60369318181818177</v>
      </c>
      <c r="R18" s="1942">
        <f>55+4</f>
        <v>59</v>
      </c>
      <c r="S18" s="1941">
        <f t="shared" si="10"/>
        <v>0.74269889224572005</v>
      </c>
      <c r="T18" s="1942">
        <f>47+6</f>
        <v>53</v>
      </c>
      <c r="U18" s="1941">
        <f t="shared" si="9"/>
        <v>0.67697023885553709</v>
      </c>
    </row>
    <row r="19" spans="1:21" ht="20.100000000000001" customHeight="1">
      <c r="A19" s="299" t="s">
        <v>2578</v>
      </c>
      <c r="B19" s="1935">
        <f>26+0</f>
        <v>26</v>
      </c>
      <c r="C19" s="1936">
        <f t="shared" si="1"/>
        <v>0.27618440620352663</v>
      </c>
      <c r="D19" s="1935">
        <v>29</v>
      </c>
      <c r="E19" s="1937">
        <f t="shared" si="2"/>
        <v>0.26869267117576207</v>
      </c>
      <c r="F19" s="1938">
        <v>16</v>
      </c>
      <c r="G19" s="1937">
        <f t="shared" si="3"/>
        <v>0.14056048493367301</v>
      </c>
      <c r="H19" s="1938">
        <v>28</v>
      </c>
      <c r="I19" s="1937">
        <f t="shared" si="4"/>
        <v>0.26990553306342779</v>
      </c>
      <c r="J19" s="1939">
        <v>29</v>
      </c>
      <c r="K19" s="1940">
        <f t="shared" si="5"/>
        <v>0.30986216476119244</v>
      </c>
      <c r="L19" s="1939">
        <f>31+1</f>
        <v>32</v>
      </c>
      <c r="M19" s="1941">
        <f t="shared" si="6"/>
        <v>0.3734827264239029</v>
      </c>
      <c r="N19" s="1942">
        <v>28</v>
      </c>
      <c r="O19" s="1941">
        <f t="shared" si="7"/>
        <v>0.34431874077717661</v>
      </c>
      <c r="P19" s="1942">
        <v>32</v>
      </c>
      <c r="Q19" s="1941">
        <f t="shared" si="8"/>
        <v>0.37878787878787878</v>
      </c>
      <c r="R19" s="1942">
        <f>34+0</f>
        <v>34</v>
      </c>
      <c r="S19" s="1941">
        <f t="shared" si="10"/>
        <v>0.42799597180261834</v>
      </c>
      <c r="T19" s="1942">
        <f>37+1</f>
        <v>38</v>
      </c>
      <c r="U19" s="1941">
        <f t="shared" si="9"/>
        <v>0.48537488823604547</v>
      </c>
    </row>
    <row r="20" spans="1:21" ht="18" customHeight="1">
      <c r="A20" s="299" t="s">
        <v>2579</v>
      </c>
      <c r="B20" s="1935">
        <f>31+2</f>
        <v>33</v>
      </c>
      <c r="C20" s="1936">
        <f t="shared" si="1"/>
        <v>0.35054174633524537</v>
      </c>
      <c r="D20" s="1935">
        <f>48+6</f>
        <v>54</v>
      </c>
      <c r="E20" s="1937">
        <f t="shared" si="2"/>
        <v>0.50032428425831554</v>
      </c>
      <c r="F20" s="1938">
        <f>80+6</f>
        <v>86</v>
      </c>
      <c r="G20" s="1937">
        <f t="shared" si="3"/>
        <v>0.7555126065184925</v>
      </c>
      <c r="H20" s="1938">
        <f>79+3</f>
        <v>82</v>
      </c>
      <c r="I20" s="1937">
        <f t="shared" si="4"/>
        <v>0.79043763254289579</v>
      </c>
      <c r="J20" s="1939">
        <f>72+0</f>
        <v>72</v>
      </c>
      <c r="K20" s="1940">
        <f t="shared" si="5"/>
        <v>0.76931296078640876</v>
      </c>
      <c r="L20" s="1939">
        <v>92</v>
      </c>
      <c r="M20" s="1941">
        <f t="shared" si="6"/>
        <v>1.0737628384687208</v>
      </c>
      <c r="N20" s="1942">
        <f>87+1</f>
        <v>88</v>
      </c>
      <c r="O20" s="1941">
        <f t="shared" si="7"/>
        <v>1.0821446138711266</v>
      </c>
      <c r="P20" s="1942">
        <f>134+7</f>
        <v>141</v>
      </c>
      <c r="Q20" s="1941">
        <f t="shared" si="8"/>
        <v>1.6690340909090908</v>
      </c>
      <c r="R20" s="1942">
        <f>94+3</f>
        <v>97</v>
      </c>
      <c r="S20" s="1941">
        <f t="shared" si="10"/>
        <v>1.2210473313192347</v>
      </c>
      <c r="T20" s="1942">
        <f>33+5</f>
        <v>38</v>
      </c>
      <c r="U20" s="1941">
        <f t="shared" si="9"/>
        <v>0.48537488823604547</v>
      </c>
    </row>
    <row r="21" spans="1:21" ht="20.100000000000001" customHeight="1">
      <c r="A21" s="299" t="s">
        <v>2580</v>
      </c>
      <c r="B21" s="1935">
        <f>182+27</f>
        <v>209</v>
      </c>
      <c r="C21" s="1936">
        <f t="shared" si="1"/>
        <v>2.2200977267898874</v>
      </c>
      <c r="D21" s="1935">
        <f>151+16</f>
        <v>167</v>
      </c>
      <c r="E21" s="1937">
        <f t="shared" si="2"/>
        <v>1.5472991753914576</v>
      </c>
      <c r="F21" s="1938">
        <f>125+16</f>
        <v>141</v>
      </c>
      <c r="G21" s="1937">
        <f t="shared" si="3"/>
        <v>1.2386892734779935</v>
      </c>
      <c r="H21" s="1938">
        <f>112+25</f>
        <v>137</v>
      </c>
      <c r="I21" s="1937">
        <f t="shared" si="4"/>
        <v>1.3206092153460576</v>
      </c>
      <c r="J21" s="1939">
        <f>107+18</f>
        <v>125</v>
      </c>
      <c r="K21" s="1940">
        <f t="shared" si="5"/>
        <v>1.3356127791430707</v>
      </c>
      <c r="L21" s="1939">
        <f>79+8</f>
        <v>87</v>
      </c>
      <c r="M21" s="1941">
        <f t="shared" si="6"/>
        <v>1.0154061624649859</v>
      </c>
      <c r="N21" s="1942">
        <f>57+8</f>
        <v>65</v>
      </c>
      <c r="O21" s="1941">
        <f t="shared" si="7"/>
        <v>0.79931136251844559</v>
      </c>
      <c r="P21" s="1942">
        <f>48+7</f>
        <v>55</v>
      </c>
      <c r="Q21" s="1941">
        <f t="shared" si="8"/>
        <v>0.65104166666666674</v>
      </c>
      <c r="R21" s="1942">
        <f>46+5</f>
        <v>51</v>
      </c>
      <c r="S21" s="1941">
        <f t="shared" si="10"/>
        <v>0.64199395770392753</v>
      </c>
      <c r="T21" s="1942">
        <f>38+0</f>
        <v>38</v>
      </c>
      <c r="U21" s="1941">
        <f t="shared" si="9"/>
        <v>0.48537488823604547</v>
      </c>
    </row>
    <row r="22" spans="1:21" ht="20.100000000000001" customHeight="1">
      <c r="A22" s="299" t="s">
        <v>2581</v>
      </c>
      <c r="B22" s="1935">
        <f>2+0</f>
        <v>2</v>
      </c>
      <c r="C22" s="1936">
        <f t="shared" si="1"/>
        <v>2.1244954323348206E-2</v>
      </c>
      <c r="D22" s="1935">
        <f>7+1</f>
        <v>8</v>
      </c>
      <c r="E22" s="1937">
        <f t="shared" si="2"/>
        <v>7.412211618641712E-2</v>
      </c>
      <c r="F22" s="1938">
        <f>9+2</f>
        <v>11</v>
      </c>
      <c r="G22" s="1937">
        <f t="shared" si="3"/>
        <v>9.6635333391900197E-2</v>
      </c>
      <c r="H22" s="1938">
        <f>4+0</f>
        <v>4</v>
      </c>
      <c r="I22" s="1937">
        <f t="shared" si="4"/>
        <v>3.8557933294775401E-2</v>
      </c>
      <c r="J22" s="1939">
        <f>7+2</f>
        <v>9</v>
      </c>
      <c r="K22" s="1940">
        <f t="shared" si="5"/>
        <v>9.6164120098301095E-2</v>
      </c>
      <c r="L22" s="1939">
        <f>12+1</f>
        <v>13</v>
      </c>
      <c r="M22" s="1941">
        <f t="shared" si="6"/>
        <v>0.15172735760971057</v>
      </c>
      <c r="N22" s="1942">
        <f>20+3</f>
        <v>23</v>
      </c>
      <c r="O22" s="1941">
        <f t="shared" si="7"/>
        <v>0.28283325135268078</v>
      </c>
      <c r="P22" s="1942">
        <f>20+1</f>
        <v>21</v>
      </c>
      <c r="Q22" s="1941">
        <f t="shared" si="8"/>
        <v>0.24857954545454544</v>
      </c>
      <c r="R22" s="1942">
        <f>28+1</f>
        <v>29</v>
      </c>
      <c r="S22" s="1941">
        <f t="shared" si="10"/>
        <v>0.36505538771399798</v>
      </c>
      <c r="T22" s="1942">
        <f>26+2</f>
        <v>28</v>
      </c>
      <c r="U22" s="1941">
        <f t="shared" si="9"/>
        <v>0.35764465448971772</v>
      </c>
    </row>
    <row r="23" spans="1:21" ht="18.75" customHeight="1">
      <c r="A23" s="299" t="s">
        <v>2582</v>
      </c>
      <c r="B23" s="1935">
        <v>28</v>
      </c>
      <c r="C23" s="1936">
        <f t="shared" si="1"/>
        <v>0.29742936052687485</v>
      </c>
      <c r="D23" s="1935">
        <f>43+1</f>
        <v>44</v>
      </c>
      <c r="E23" s="1937">
        <f t="shared" si="2"/>
        <v>0.40767163902529424</v>
      </c>
      <c r="F23" s="1938">
        <f>28+7</f>
        <v>35</v>
      </c>
      <c r="G23" s="1937">
        <f t="shared" si="3"/>
        <v>0.30747606079240974</v>
      </c>
      <c r="H23" s="1938">
        <f>35+4</f>
        <v>39</v>
      </c>
      <c r="I23" s="1937">
        <f t="shared" si="4"/>
        <v>0.37593984962406013</v>
      </c>
      <c r="J23" s="1939">
        <f>54+3</f>
        <v>57</v>
      </c>
      <c r="K23" s="1940">
        <f t="shared" si="5"/>
        <v>0.60903942728924032</v>
      </c>
      <c r="L23" s="1939">
        <f>36+4</f>
        <v>40</v>
      </c>
      <c r="M23" s="1941">
        <f t="shared" si="6"/>
        <v>0.46685340802987862</v>
      </c>
      <c r="N23" s="1942">
        <f>31+5</f>
        <v>36</v>
      </c>
      <c r="O23" s="1941">
        <f t="shared" si="7"/>
        <v>0.4426955238563699</v>
      </c>
      <c r="P23" s="1942">
        <f>30+3</f>
        <v>33</v>
      </c>
      <c r="Q23" s="1941">
        <f t="shared" si="8"/>
        <v>0.390625</v>
      </c>
      <c r="R23" s="1942">
        <f>31+3</f>
        <v>34</v>
      </c>
      <c r="S23" s="1941">
        <f t="shared" si="10"/>
        <v>0.42799597180261834</v>
      </c>
      <c r="T23" s="1942">
        <f>25+1</f>
        <v>26</v>
      </c>
      <c r="U23" s="1941">
        <f t="shared" si="9"/>
        <v>0.33209860774045219</v>
      </c>
    </row>
    <row r="24" spans="1:21" ht="18.75" customHeight="1">
      <c r="A24" s="299" t="s">
        <v>2583</v>
      </c>
      <c r="B24" s="1935">
        <v>3</v>
      </c>
      <c r="C24" s="1936">
        <f t="shared" si="1"/>
        <v>3.1867431485022309E-2</v>
      </c>
      <c r="D24" s="1935">
        <v>1</v>
      </c>
      <c r="E24" s="1937">
        <f t="shared" si="2"/>
        <v>9.26526452330214E-3</v>
      </c>
      <c r="F24" s="1938">
        <f>22+1</f>
        <v>23</v>
      </c>
      <c r="G24" s="1937">
        <f t="shared" si="3"/>
        <v>0.20205569709215496</v>
      </c>
      <c r="H24" s="1938">
        <f>2+0</f>
        <v>2</v>
      </c>
      <c r="I24" s="1937">
        <f t="shared" si="4"/>
        <v>1.9278966647387701E-2</v>
      </c>
      <c r="J24" s="1939">
        <f>11+0</f>
        <v>11</v>
      </c>
      <c r="K24" s="1940">
        <f t="shared" si="5"/>
        <v>0.11753392456459023</v>
      </c>
      <c r="L24" s="1939">
        <f>5+1</f>
        <v>6</v>
      </c>
      <c r="M24" s="1941">
        <f t="shared" si="6"/>
        <v>7.0028011204481794E-2</v>
      </c>
      <c r="N24" s="1942">
        <f>3+1</f>
        <v>4</v>
      </c>
      <c r="O24" s="1941">
        <f t="shared" si="7"/>
        <v>4.918839153959665E-2</v>
      </c>
      <c r="P24" s="1942">
        <f>13+4</f>
        <v>17</v>
      </c>
      <c r="Q24" s="1941">
        <f t="shared" si="8"/>
        <v>0.20123106060606061</v>
      </c>
      <c r="R24" s="1942">
        <f>29+0</f>
        <v>29</v>
      </c>
      <c r="S24" s="1941">
        <f t="shared" si="10"/>
        <v>0.36505538771399798</v>
      </c>
      <c r="T24" s="1942">
        <f>26+0</f>
        <v>26</v>
      </c>
      <c r="U24" s="1941">
        <f t="shared" si="9"/>
        <v>0.33209860774045219</v>
      </c>
    </row>
    <row r="25" spans="1:21" ht="18.75" customHeight="1">
      <c r="A25" s="299" t="s">
        <v>2584</v>
      </c>
      <c r="B25" s="1935">
        <f>4+0</f>
        <v>4</v>
      </c>
      <c r="C25" s="1936">
        <f t="shared" si="1"/>
        <v>4.2489908646696412E-2</v>
      </c>
      <c r="D25" s="1935">
        <f>7+4</f>
        <v>11</v>
      </c>
      <c r="E25" s="1937">
        <f t="shared" si="2"/>
        <v>0.10191790975632356</v>
      </c>
      <c r="F25" s="1938">
        <f>24+4</f>
        <v>28</v>
      </c>
      <c r="G25" s="1937">
        <f t="shared" si="3"/>
        <v>0.24598084863392777</v>
      </c>
      <c r="H25" s="1938">
        <f>48+10</f>
        <v>58</v>
      </c>
      <c r="I25" s="1937">
        <f t="shared" si="4"/>
        <v>0.5590900327742433</v>
      </c>
      <c r="J25" s="1939">
        <f>33+6</f>
        <v>39</v>
      </c>
      <c r="K25" s="1940">
        <f t="shared" si="5"/>
        <v>0.4167111870926381</v>
      </c>
      <c r="L25" s="1939">
        <f>57+15</f>
        <v>72</v>
      </c>
      <c r="M25" s="1941">
        <f t="shared" si="6"/>
        <v>0.84033613445378152</v>
      </c>
      <c r="N25" s="1942">
        <f>56+15</f>
        <v>71</v>
      </c>
      <c r="O25" s="1941">
        <f t="shared" si="7"/>
        <v>0.87309394982784061</v>
      </c>
      <c r="P25" s="1942">
        <f>56+7</f>
        <v>63</v>
      </c>
      <c r="Q25" s="1941">
        <f t="shared" si="8"/>
        <v>0.74573863636363635</v>
      </c>
      <c r="R25" s="1942">
        <f>31+12</f>
        <v>43</v>
      </c>
      <c r="S25" s="1941">
        <f t="shared" si="10"/>
        <v>0.54128902316213501</v>
      </c>
      <c r="T25" s="1942">
        <f>23+3</f>
        <v>26</v>
      </c>
      <c r="U25" s="1941">
        <f t="shared" si="9"/>
        <v>0.33209860774045219</v>
      </c>
    </row>
    <row r="26" spans="1:21" ht="18.75" customHeight="1">
      <c r="A26" s="299" t="s">
        <v>2585</v>
      </c>
      <c r="B26" s="1935">
        <f>37+2</f>
        <v>39</v>
      </c>
      <c r="C26" s="1936">
        <f t="shared" si="1"/>
        <v>0.41427660930528998</v>
      </c>
      <c r="D26" s="1935">
        <f>34+1</f>
        <v>35</v>
      </c>
      <c r="E26" s="1937">
        <f t="shared" si="2"/>
        <v>0.32428425831557489</v>
      </c>
      <c r="F26" s="1938">
        <f>31+6</f>
        <v>37</v>
      </c>
      <c r="G26" s="1937">
        <f t="shared" si="3"/>
        <v>0.32504612140911882</v>
      </c>
      <c r="H26" s="1938">
        <f>27+0</f>
        <v>27</v>
      </c>
      <c r="I26" s="1937">
        <f t="shared" si="4"/>
        <v>0.26026604973973394</v>
      </c>
      <c r="J26" s="1939">
        <f>21+4</f>
        <v>25</v>
      </c>
      <c r="K26" s="1940">
        <f t="shared" si="5"/>
        <v>0.26712255582861416</v>
      </c>
      <c r="L26" s="1939">
        <f>27+0</f>
        <v>27</v>
      </c>
      <c r="M26" s="1941">
        <f t="shared" si="6"/>
        <v>0.31512605042016806</v>
      </c>
      <c r="N26" s="1942">
        <v>23</v>
      </c>
      <c r="O26" s="1941">
        <f t="shared" si="7"/>
        <v>0.28283325135268078</v>
      </c>
      <c r="P26" s="1942">
        <f>37</f>
        <v>37</v>
      </c>
      <c r="Q26" s="1941">
        <f t="shared" si="8"/>
        <v>0.43797348484848481</v>
      </c>
      <c r="R26" s="1942">
        <f>30+1</f>
        <v>31</v>
      </c>
      <c r="S26" s="1941">
        <f t="shared" si="10"/>
        <v>0.39023162134944611</v>
      </c>
      <c r="T26" s="1942">
        <f>25+0</f>
        <v>25</v>
      </c>
      <c r="U26" s="1941">
        <f t="shared" si="9"/>
        <v>0.31932558436581937</v>
      </c>
    </row>
    <row r="27" spans="1:21" ht="18.75" customHeight="1">
      <c r="A27" s="299" t="s">
        <v>2586</v>
      </c>
      <c r="B27" s="1935">
        <f>56+11</f>
        <v>67</v>
      </c>
      <c r="C27" s="1936">
        <f t="shared" si="1"/>
        <v>0.71170596983216494</v>
      </c>
      <c r="D27" s="1935">
        <f>58+1</f>
        <v>59</v>
      </c>
      <c r="E27" s="1937">
        <f t="shared" si="2"/>
        <v>0.54665060687482625</v>
      </c>
      <c r="F27" s="1938">
        <v>41</v>
      </c>
      <c r="G27" s="1937">
        <f t="shared" si="3"/>
        <v>0.36018624264253712</v>
      </c>
      <c r="H27" s="1938">
        <f>41+3</f>
        <v>44</v>
      </c>
      <c r="I27" s="1937">
        <f t="shared" si="4"/>
        <v>0.42413726624252934</v>
      </c>
      <c r="J27" s="1939">
        <f>26+3</f>
        <v>29</v>
      </c>
      <c r="K27" s="1940">
        <f t="shared" si="5"/>
        <v>0.30986216476119244</v>
      </c>
      <c r="L27" s="1939">
        <f>18+1</f>
        <v>19</v>
      </c>
      <c r="M27" s="1941">
        <f t="shared" si="6"/>
        <v>0.22175536881419233</v>
      </c>
      <c r="N27" s="1942">
        <v>24</v>
      </c>
      <c r="O27" s="1941">
        <f t="shared" si="7"/>
        <v>0.29513034923757991</v>
      </c>
      <c r="P27" s="1942">
        <v>12</v>
      </c>
      <c r="Q27" s="1941">
        <f t="shared" si="8"/>
        <v>0.14204545454545456</v>
      </c>
      <c r="R27" s="1942">
        <f>28+2</f>
        <v>30</v>
      </c>
      <c r="S27" s="1941">
        <f t="shared" si="10"/>
        <v>0.37764350453172207</v>
      </c>
      <c r="T27" s="1942">
        <f>15+1</f>
        <v>16</v>
      </c>
      <c r="U27" s="1941">
        <f t="shared" si="9"/>
        <v>0.20436837399412441</v>
      </c>
    </row>
    <row r="28" spans="1:21" ht="18.75" customHeight="1">
      <c r="A28" s="299" t="s">
        <v>2587</v>
      </c>
      <c r="B28" s="1935">
        <f>19+2</f>
        <v>21</v>
      </c>
      <c r="C28" s="1936">
        <f t="shared" si="1"/>
        <v>0.22307202039515617</v>
      </c>
      <c r="D28" s="1935">
        <f>17+4</f>
        <v>21</v>
      </c>
      <c r="E28" s="1937">
        <f t="shared" si="2"/>
        <v>0.19457055498934495</v>
      </c>
      <c r="F28" s="1938">
        <f>19+0</f>
        <v>19</v>
      </c>
      <c r="G28" s="1937">
        <f t="shared" si="3"/>
        <v>0.1669155758587367</v>
      </c>
      <c r="H28" s="1938">
        <f>18+1</f>
        <v>19</v>
      </c>
      <c r="I28" s="1937">
        <f t="shared" si="4"/>
        <v>0.18315018315018314</v>
      </c>
      <c r="J28" s="1939">
        <f>21+0</f>
        <v>21</v>
      </c>
      <c r="K28" s="1940">
        <f t="shared" si="5"/>
        <v>0.22438294689603588</v>
      </c>
      <c r="L28" s="1939">
        <v>11</v>
      </c>
      <c r="M28" s="1941">
        <f t="shared" si="6"/>
        <v>0.12838468720821661</v>
      </c>
      <c r="N28" s="1942">
        <f>14+1</f>
        <v>15</v>
      </c>
      <c r="O28" s="1941">
        <f t="shared" si="7"/>
        <v>0.18445646827348747</v>
      </c>
      <c r="P28" s="1942">
        <f>10+1</f>
        <v>11</v>
      </c>
      <c r="Q28" s="1941">
        <f t="shared" si="8"/>
        <v>0.13020833333333331</v>
      </c>
      <c r="R28" s="1942">
        <f>15+7</f>
        <v>22</v>
      </c>
      <c r="S28" s="1941">
        <f t="shared" si="10"/>
        <v>0.27693856998992955</v>
      </c>
      <c r="T28" s="1942">
        <f>13+2</f>
        <v>15</v>
      </c>
      <c r="U28" s="1941">
        <f t="shared" si="9"/>
        <v>0.19159535061949162</v>
      </c>
    </row>
    <row r="29" spans="1:21" s="1901" customFormat="1" ht="18.75" customHeight="1">
      <c r="A29" s="299" t="s">
        <v>2588</v>
      </c>
      <c r="B29" s="1935" t="s">
        <v>2430</v>
      </c>
      <c r="C29" s="1936" t="s">
        <v>2430</v>
      </c>
      <c r="D29" s="1935" t="s">
        <v>2430</v>
      </c>
      <c r="E29" s="1937" t="s">
        <v>2442</v>
      </c>
      <c r="F29" s="1938" t="s">
        <v>2442</v>
      </c>
      <c r="G29" s="1937" t="s">
        <v>2430</v>
      </c>
      <c r="H29" s="1938" t="s">
        <v>2430</v>
      </c>
      <c r="I29" s="1937" t="s">
        <v>2442</v>
      </c>
      <c r="J29" s="1939" t="s">
        <v>2442</v>
      </c>
      <c r="K29" s="1940" t="s">
        <v>2442</v>
      </c>
      <c r="L29" s="1939" t="s">
        <v>2430</v>
      </c>
      <c r="M29" s="1941" t="s">
        <v>2442</v>
      </c>
      <c r="N29" s="1942" t="s">
        <v>2589</v>
      </c>
      <c r="O29" s="1941" t="s">
        <v>2442</v>
      </c>
      <c r="P29" s="1942" t="s">
        <v>2442</v>
      </c>
      <c r="Q29" s="1941" t="s">
        <v>2442</v>
      </c>
      <c r="R29" s="1942">
        <f>6+2</f>
        <v>8</v>
      </c>
      <c r="S29" s="1941">
        <f t="shared" si="10"/>
        <v>0.10070493454179255</v>
      </c>
      <c r="T29" s="1942">
        <f>11+3</f>
        <v>14</v>
      </c>
      <c r="U29" s="1941">
        <f t="shared" si="9"/>
        <v>0.17882232724485886</v>
      </c>
    </row>
    <row r="30" spans="1:21" ht="18.75" customHeight="1">
      <c r="A30" s="299" t="s">
        <v>2590</v>
      </c>
      <c r="B30" s="1935">
        <f>34+4</f>
        <v>38</v>
      </c>
      <c r="C30" s="1936">
        <f t="shared" ref="C30:C40" si="11">B30/B$4*100</f>
        <v>0.4036541321436159</v>
      </c>
      <c r="D30" s="1935">
        <f>30+10</f>
        <v>40</v>
      </c>
      <c r="E30" s="1937">
        <f t="shared" ref="E30:E40" si="12">D30/D$4*100</f>
        <v>0.3706105809320856</v>
      </c>
      <c r="F30" s="1938">
        <f>39+4</f>
        <v>43</v>
      </c>
      <c r="G30" s="1937">
        <f t="shared" ref="G30:G40" si="13">F30/F$4*100</f>
        <v>0.37775630325924625</v>
      </c>
      <c r="H30" s="1938">
        <f>31+2</f>
        <v>33</v>
      </c>
      <c r="I30" s="1937">
        <f t="shared" ref="I30:I40" si="14">H30/H$4*100</f>
        <v>0.31810294968189706</v>
      </c>
      <c r="J30" s="1939">
        <f>13+6</f>
        <v>19</v>
      </c>
      <c r="K30" s="1940">
        <f t="shared" ref="K30:K40" si="15">J30/J$4*100</f>
        <v>0.20301314242974675</v>
      </c>
      <c r="L30" s="1939">
        <f>23+3</f>
        <v>26</v>
      </c>
      <c r="M30" s="1941">
        <f t="shared" ref="M30:M46" si="16">L30/L$4*100</f>
        <v>0.30345471521942113</v>
      </c>
      <c r="N30" s="1942">
        <f>10+2</f>
        <v>12</v>
      </c>
      <c r="O30" s="1941">
        <f t="shared" ref="O30:O40" si="17">N30/N$4*100</f>
        <v>0.14756517461878996</v>
      </c>
      <c r="P30" s="1942">
        <f>22+0</f>
        <v>22</v>
      </c>
      <c r="Q30" s="1941">
        <f t="shared" ref="Q30:Q44" si="18">P30/P$4*100</f>
        <v>0.26041666666666663</v>
      </c>
      <c r="R30" s="1942">
        <f>15+1</f>
        <v>16</v>
      </c>
      <c r="S30" s="1941">
        <f t="shared" si="10"/>
        <v>0.2014098690835851</v>
      </c>
      <c r="T30" s="1942">
        <f>11+1</f>
        <v>12</v>
      </c>
      <c r="U30" s="1941">
        <f t="shared" si="9"/>
        <v>0.1532762804955933</v>
      </c>
    </row>
    <row r="31" spans="1:21" ht="18.75" customHeight="1">
      <c r="A31" s="300" t="s">
        <v>2591</v>
      </c>
      <c r="B31" s="1942">
        <f>25+13</f>
        <v>38</v>
      </c>
      <c r="C31" s="1943">
        <f t="shared" si="11"/>
        <v>0.4036541321436159</v>
      </c>
      <c r="D31" s="1942">
        <f>22+16</f>
        <v>38</v>
      </c>
      <c r="E31" s="1940">
        <f t="shared" si="12"/>
        <v>0.35208005188548136</v>
      </c>
      <c r="F31" s="1939">
        <f>16+4</f>
        <v>20</v>
      </c>
      <c r="G31" s="1940">
        <f t="shared" si="13"/>
        <v>0.17570060616709127</v>
      </c>
      <c r="H31" s="1939">
        <f>13+3</f>
        <v>16</v>
      </c>
      <c r="I31" s="1940">
        <f t="shared" si="14"/>
        <v>0.1542317331791016</v>
      </c>
      <c r="J31" s="1939">
        <f>26+2</f>
        <v>28</v>
      </c>
      <c r="K31" s="1940">
        <f t="shared" si="15"/>
        <v>0.29917726252804788</v>
      </c>
      <c r="L31" s="1939">
        <f>20+9</f>
        <v>29</v>
      </c>
      <c r="M31" s="1941">
        <f t="shared" si="16"/>
        <v>0.33846872082166202</v>
      </c>
      <c r="N31" s="1942">
        <f>14+4</f>
        <v>18</v>
      </c>
      <c r="O31" s="1941">
        <f t="shared" si="17"/>
        <v>0.22134776192818495</v>
      </c>
      <c r="P31" s="1942">
        <f>10+6</f>
        <v>16</v>
      </c>
      <c r="Q31" s="1941">
        <f t="shared" si="18"/>
        <v>0.18939393939393939</v>
      </c>
      <c r="R31" s="1942">
        <f>11+4</f>
        <v>15</v>
      </c>
      <c r="S31" s="1941">
        <f t="shared" si="10"/>
        <v>0.18882175226586104</v>
      </c>
      <c r="T31" s="1942">
        <f>10+1</f>
        <v>11</v>
      </c>
      <c r="U31" s="1941">
        <f t="shared" si="9"/>
        <v>0.14050325712096054</v>
      </c>
    </row>
    <row r="32" spans="1:21" ht="18.75" customHeight="1">
      <c r="A32" s="299" t="s">
        <v>2592</v>
      </c>
      <c r="B32" s="1935">
        <f>10+10</f>
        <v>20</v>
      </c>
      <c r="C32" s="1936">
        <f t="shared" si="11"/>
        <v>0.21244954323348203</v>
      </c>
      <c r="D32" s="1935">
        <f>2+10</f>
        <v>12</v>
      </c>
      <c r="E32" s="1937">
        <f t="shared" si="12"/>
        <v>0.11118317427962568</v>
      </c>
      <c r="F32" s="1938">
        <f>9+9</f>
        <v>18</v>
      </c>
      <c r="G32" s="1937">
        <f t="shared" si="13"/>
        <v>0.15813054555038217</v>
      </c>
      <c r="H32" s="1938">
        <v>12</v>
      </c>
      <c r="I32" s="1937">
        <f t="shared" si="14"/>
        <v>0.11567379988432619</v>
      </c>
      <c r="J32" s="1939">
        <f>11+15</f>
        <v>26</v>
      </c>
      <c r="K32" s="1940">
        <f t="shared" si="15"/>
        <v>0.27780745806175872</v>
      </c>
      <c r="L32" s="1939">
        <f>9+7</f>
        <v>16</v>
      </c>
      <c r="M32" s="1941">
        <f t="shared" si="16"/>
        <v>0.18674136321195145</v>
      </c>
      <c r="N32" s="1942">
        <f>4+6</f>
        <v>10</v>
      </c>
      <c r="O32" s="1941">
        <f t="shared" si="17"/>
        <v>0.12297097884899164</v>
      </c>
      <c r="P32" s="1942">
        <f>9+4</f>
        <v>13</v>
      </c>
      <c r="Q32" s="1941">
        <f t="shared" si="18"/>
        <v>0.15388257575757575</v>
      </c>
      <c r="R32" s="1942">
        <f>3+6</f>
        <v>9</v>
      </c>
      <c r="S32" s="1941">
        <f t="shared" si="10"/>
        <v>0.11329305135951663</v>
      </c>
      <c r="T32" s="1942">
        <f>6+5</f>
        <v>11</v>
      </c>
      <c r="U32" s="1941">
        <f t="shared" si="9"/>
        <v>0.14050325712096054</v>
      </c>
    </row>
    <row r="33" spans="1:21" ht="18.75" customHeight="1">
      <c r="A33" s="299" t="s">
        <v>2593</v>
      </c>
      <c r="B33" s="1935">
        <f>8+5</f>
        <v>13</v>
      </c>
      <c r="C33" s="1936">
        <f t="shared" si="11"/>
        <v>0.13809220310176332</v>
      </c>
      <c r="D33" s="1935">
        <f>17+5</f>
        <v>22</v>
      </c>
      <c r="E33" s="1937">
        <f t="shared" si="12"/>
        <v>0.20383581951264712</v>
      </c>
      <c r="F33" s="1938">
        <f>10+9</f>
        <v>19</v>
      </c>
      <c r="G33" s="1937">
        <f t="shared" si="13"/>
        <v>0.1669155758587367</v>
      </c>
      <c r="H33" s="1938">
        <f>13+3</f>
        <v>16</v>
      </c>
      <c r="I33" s="1937">
        <f t="shared" si="14"/>
        <v>0.1542317331791016</v>
      </c>
      <c r="J33" s="1939">
        <f>16+3</f>
        <v>19</v>
      </c>
      <c r="K33" s="1940">
        <f t="shared" si="15"/>
        <v>0.20301314242974675</v>
      </c>
      <c r="L33" s="1939">
        <f>14+3</f>
        <v>17</v>
      </c>
      <c r="M33" s="1941">
        <f t="shared" si="16"/>
        <v>0.1984126984126984</v>
      </c>
      <c r="N33" s="1942">
        <f>8+4</f>
        <v>12</v>
      </c>
      <c r="O33" s="1941">
        <f t="shared" si="17"/>
        <v>0.14756517461878996</v>
      </c>
      <c r="P33" s="1942">
        <f>22+1</f>
        <v>23</v>
      </c>
      <c r="Q33" s="1941">
        <f t="shared" si="18"/>
        <v>0.2722537878787879</v>
      </c>
      <c r="R33" s="1942">
        <f>7+2</f>
        <v>9</v>
      </c>
      <c r="S33" s="1941">
        <f t="shared" si="10"/>
        <v>0.11329305135951663</v>
      </c>
      <c r="T33" s="1942">
        <f>5+3</f>
        <v>8</v>
      </c>
      <c r="U33" s="1941">
        <f t="shared" si="9"/>
        <v>0.10218418699706221</v>
      </c>
    </row>
    <row r="34" spans="1:21" ht="18.75" customHeight="1">
      <c r="A34" s="299" t="s">
        <v>2594</v>
      </c>
      <c r="B34" s="1935">
        <f>6+2</f>
        <v>8</v>
      </c>
      <c r="C34" s="1936">
        <f t="shared" si="11"/>
        <v>8.4979817293392823E-2</v>
      </c>
      <c r="D34" s="1935">
        <f>8+1</f>
        <v>9</v>
      </c>
      <c r="E34" s="1937">
        <f t="shared" si="12"/>
        <v>8.3387380709719267E-2</v>
      </c>
      <c r="F34" s="1938">
        <f>9+2</f>
        <v>11</v>
      </c>
      <c r="G34" s="1937">
        <f t="shared" si="13"/>
        <v>9.6635333391900197E-2</v>
      </c>
      <c r="H34" s="1938">
        <v>2</v>
      </c>
      <c r="I34" s="1937">
        <f t="shared" si="14"/>
        <v>1.9278966647387701E-2</v>
      </c>
      <c r="J34" s="1939">
        <f>8+1</f>
        <v>9</v>
      </c>
      <c r="K34" s="1940">
        <f t="shared" si="15"/>
        <v>9.6164120098301095E-2</v>
      </c>
      <c r="L34" s="1939">
        <f>6+1</f>
        <v>7</v>
      </c>
      <c r="M34" s="1941">
        <f t="shared" si="16"/>
        <v>8.1699346405228759E-2</v>
      </c>
      <c r="N34" s="1942">
        <f>15+2</f>
        <v>17</v>
      </c>
      <c r="O34" s="1941">
        <f t="shared" si="17"/>
        <v>0.20905066404328579</v>
      </c>
      <c r="P34" s="1942">
        <f>5+1</f>
        <v>6</v>
      </c>
      <c r="Q34" s="1941">
        <f t="shared" si="18"/>
        <v>7.1022727272727279E-2</v>
      </c>
      <c r="R34" s="1942">
        <f>6+3</f>
        <v>9</v>
      </c>
      <c r="S34" s="1941">
        <f t="shared" si="10"/>
        <v>0.11329305135951663</v>
      </c>
      <c r="T34" s="1942">
        <f>7+0</f>
        <v>7</v>
      </c>
      <c r="U34" s="1941">
        <f t="shared" si="9"/>
        <v>8.9411163622429429E-2</v>
      </c>
    </row>
    <row r="35" spans="1:21" ht="18.75" customHeight="1">
      <c r="A35" s="299" t="s">
        <v>2595</v>
      </c>
      <c r="B35" s="1935">
        <f>8+4</f>
        <v>12</v>
      </c>
      <c r="C35" s="1936">
        <f t="shared" si="11"/>
        <v>0.12746972594008923</v>
      </c>
      <c r="D35" s="1935">
        <v>7</v>
      </c>
      <c r="E35" s="1937">
        <f t="shared" si="12"/>
        <v>6.4856851663114987E-2</v>
      </c>
      <c r="F35" s="1938">
        <f>1+8</f>
        <v>9</v>
      </c>
      <c r="G35" s="1937">
        <f t="shared" si="13"/>
        <v>7.9065272775191084E-2</v>
      </c>
      <c r="H35" s="1938">
        <f>4+12</f>
        <v>16</v>
      </c>
      <c r="I35" s="1937">
        <f t="shared" si="14"/>
        <v>0.1542317331791016</v>
      </c>
      <c r="J35" s="1939">
        <f>3+10</f>
        <v>13</v>
      </c>
      <c r="K35" s="1940">
        <f t="shared" si="15"/>
        <v>0.13890372903087936</v>
      </c>
      <c r="L35" s="1939">
        <f>5+5</f>
        <v>10</v>
      </c>
      <c r="M35" s="1941">
        <f t="shared" si="16"/>
        <v>0.11671335200746966</v>
      </c>
      <c r="N35" s="1942">
        <f>1+8</f>
        <v>9</v>
      </c>
      <c r="O35" s="1941">
        <f t="shared" si="17"/>
        <v>0.11067388096409247</v>
      </c>
      <c r="P35" s="1942">
        <f>1+11</f>
        <v>12</v>
      </c>
      <c r="Q35" s="1941">
        <f t="shared" si="18"/>
        <v>0.14204545454545456</v>
      </c>
      <c r="R35" s="1942">
        <f>3+1</f>
        <v>4</v>
      </c>
      <c r="S35" s="1941">
        <f t="shared" si="10"/>
        <v>5.0352467270896276E-2</v>
      </c>
      <c r="T35" s="1942">
        <f>3+4</f>
        <v>7</v>
      </c>
      <c r="U35" s="1941">
        <f t="shared" si="9"/>
        <v>8.9411163622429429E-2</v>
      </c>
    </row>
    <row r="36" spans="1:21" ht="18.75" customHeight="1">
      <c r="A36" s="299" t="s">
        <v>2596</v>
      </c>
      <c r="B36" s="1935">
        <f>2+0</f>
        <v>2</v>
      </c>
      <c r="C36" s="1936">
        <f t="shared" si="11"/>
        <v>2.1244954323348206E-2</v>
      </c>
      <c r="D36" s="1935">
        <f>3+1</f>
        <v>4</v>
      </c>
      <c r="E36" s="1937">
        <f t="shared" si="12"/>
        <v>3.706105809320856E-2</v>
      </c>
      <c r="F36" s="1938">
        <v>6</v>
      </c>
      <c r="G36" s="1937">
        <f t="shared" si="13"/>
        <v>5.271018185012738E-2</v>
      </c>
      <c r="H36" s="1938">
        <f>5+1</f>
        <v>6</v>
      </c>
      <c r="I36" s="1937">
        <f t="shared" si="14"/>
        <v>5.7836899942163095E-2</v>
      </c>
      <c r="J36" s="1939">
        <f>3+2</f>
        <v>5</v>
      </c>
      <c r="K36" s="1940">
        <f t="shared" si="15"/>
        <v>5.3424511165722832E-2</v>
      </c>
      <c r="L36" s="1939">
        <f>8+1</f>
        <v>9</v>
      </c>
      <c r="M36" s="1941">
        <f t="shared" si="16"/>
        <v>0.10504201680672269</v>
      </c>
      <c r="N36" s="1942">
        <f>5+1</f>
        <v>6</v>
      </c>
      <c r="O36" s="1941">
        <f t="shared" si="17"/>
        <v>7.3782587309394979E-2</v>
      </c>
      <c r="P36" s="1942">
        <f>16+1</f>
        <v>17</v>
      </c>
      <c r="Q36" s="1941">
        <f t="shared" si="18"/>
        <v>0.20123106060606061</v>
      </c>
      <c r="R36" s="1942">
        <f>12+4</f>
        <v>16</v>
      </c>
      <c r="S36" s="1941">
        <f t="shared" si="10"/>
        <v>0.2014098690835851</v>
      </c>
      <c r="T36" s="1942">
        <f>6+0</f>
        <v>6</v>
      </c>
      <c r="U36" s="1941">
        <f t="shared" si="9"/>
        <v>7.6638140247796652E-2</v>
      </c>
    </row>
    <row r="37" spans="1:21" ht="18.75" customHeight="1">
      <c r="A37" s="299" t="s">
        <v>2597</v>
      </c>
      <c r="B37" s="1935">
        <f>9+0</f>
        <v>9</v>
      </c>
      <c r="C37" s="1936">
        <f t="shared" si="11"/>
        <v>9.5602294455066919E-2</v>
      </c>
      <c r="D37" s="1935">
        <v>10</v>
      </c>
      <c r="E37" s="1937">
        <f t="shared" si="12"/>
        <v>9.26526452330214E-2</v>
      </c>
      <c r="F37" s="1938">
        <v>2</v>
      </c>
      <c r="G37" s="1937">
        <f t="shared" si="13"/>
        <v>1.7570060616709127E-2</v>
      </c>
      <c r="H37" s="1938">
        <v>7</v>
      </c>
      <c r="I37" s="1937">
        <f t="shared" si="14"/>
        <v>6.7476383265856948E-2</v>
      </c>
      <c r="J37" s="1939">
        <v>11</v>
      </c>
      <c r="K37" s="1940">
        <f t="shared" si="15"/>
        <v>0.11753392456459023</v>
      </c>
      <c r="L37" s="1939">
        <v>1</v>
      </c>
      <c r="M37" s="1941">
        <f t="shared" si="16"/>
        <v>1.1671335200746966E-2</v>
      </c>
      <c r="N37" s="1942">
        <f>4+1</f>
        <v>5</v>
      </c>
      <c r="O37" s="1941">
        <f t="shared" si="17"/>
        <v>6.1485489424495818E-2</v>
      </c>
      <c r="P37" s="1942">
        <v>7</v>
      </c>
      <c r="Q37" s="1941">
        <f t="shared" si="18"/>
        <v>8.2859848484848481E-2</v>
      </c>
      <c r="R37" s="1942">
        <f>2+1</f>
        <v>3</v>
      </c>
      <c r="S37" s="1941">
        <f t="shared" si="10"/>
        <v>3.7764350453172203E-2</v>
      </c>
      <c r="T37" s="1942">
        <f>5+0</f>
        <v>5</v>
      </c>
      <c r="U37" s="1941">
        <f t="shared" si="9"/>
        <v>6.3865116873163874E-2</v>
      </c>
    </row>
    <row r="38" spans="1:21" ht="18.75" customHeight="1">
      <c r="A38" s="299" t="s">
        <v>2598</v>
      </c>
      <c r="B38" s="1935">
        <f>8+3</f>
        <v>11</v>
      </c>
      <c r="C38" s="1936">
        <f t="shared" si="11"/>
        <v>0.11684724877841512</v>
      </c>
      <c r="D38" s="1935">
        <f>4+2</f>
        <v>6</v>
      </c>
      <c r="E38" s="1937">
        <f t="shared" si="12"/>
        <v>5.559158713981284E-2</v>
      </c>
      <c r="F38" s="1938">
        <f>2+2</f>
        <v>4</v>
      </c>
      <c r="G38" s="1937">
        <f t="shared" si="13"/>
        <v>3.5140121233418253E-2</v>
      </c>
      <c r="H38" s="1938">
        <v>16</v>
      </c>
      <c r="I38" s="1937">
        <f t="shared" si="14"/>
        <v>0.1542317331791016</v>
      </c>
      <c r="J38" s="1939">
        <f>7+4</f>
        <v>11</v>
      </c>
      <c r="K38" s="1940">
        <f t="shared" si="15"/>
        <v>0.11753392456459023</v>
      </c>
      <c r="L38" s="1939">
        <f>4+1</f>
        <v>5</v>
      </c>
      <c r="M38" s="1941">
        <f t="shared" si="16"/>
        <v>5.8356676003734828E-2</v>
      </c>
      <c r="N38" s="1942">
        <v>5</v>
      </c>
      <c r="O38" s="1941">
        <f t="shared" si="17"/>
        <v>6.1485489424495818E-2</v>
      </c>
      <c r="P38" s="1942">
        <f>2+3</f>
        <v>5</v>
      </c>
      <c r="Q38" s="1941">
        <f t="shared" si="18"/>
        <v>5.9185606060606064E-2</v>
      </c>
      <c r="R38" s="1942">
        <f>5+0</f>
        <v>5</v>
      </c>
      <c r="S38" s="1941">
        <f t="shared" si="10"/>
        <v>6.2940584088620341E-2</v>
      </c>
      <c r="T38" s="1942">
        <f>4+1</f>
        <v>5</v>
      </c>
      <c r="U38" s="1941">
        <f t="shared" si="9"/>
        <v>6.3865116873163874E-2</v>
      </c>
    </row>
    <row r="39" spans="1:21" ht="18.75" customHeight="1">
      <c r="A39" s="299" t="s">
        <v>2599</v>
      </c>
      <c r="B39" s="1935">
        <f>29+7</f>
        <v>36</v>
      </c>
      <c r="C39" s="1936">
        <f t="shared" si="11"/>
        <v>0.38240917782026768</v>
      </c>
      <c r="D39" s="1935">
        <f>24+7</f>
        <v>31</v>
      </c>
      <c r="E39" s="1937">
        <f t="shared" si="12"/>
        <v>0.28722320022236636</v>
      </c>
      <c r="F39" s="1938">
        <f>13+2</f>
        <v>15</v>
      </c>
      <c r="G39" s="1937">
        <f t="shared" si="13"/>
        <v>0.13177545462531845</v>
      </c>
      <c r="H39" s="1938">
        <f>10+7</f>
        <v>17</v>
      </c>
      <c r="I39" s="1937">
        <f t="shared" si="14"/>
        <v>0.16387121650279546</v>
      </c>
      <c r="J39" s="1939">
        <f>8+1</f>
        <v>9</v>
      </c>
      <c r="K39" s="1940">
        <f t="shared" si="15"/>
        <v>9.6164120098301095E-2</v>
      </c>
      <c r="L39" s="1939">
        <f>2+1</f>
        <v>3</v>
      </c>
      <c r="M39" s="1941">
        <f t="shared" si="16"/>
        <v>3.5014005602240897E-2</v>
      </c>
      <c r="N39" s="1942">
        <f>7+1</f>
        <v>8</v>
      </c>
      <c r="O39" s="1941">
        <f t="shared" si="17"/>
        <v>9.83767830791933E-2</v>
      </c>
      <c r="P39" s="1942">
        <f>6+0</f>
        <v>6</v>
      </c>
      <c r="Q39" s="1941">
        <f t="shared" si="18"/>
        <v>7.1022727272727279E-2</v>
      </c>
      <c r="R39" s="1942">
        <v>2</v>
      </c>
      <c r="S39" s="1941">
        <f t="shared" si="10"/>
        <v>2.5176233635448138E-2</v>
      </c>
      <c r="T39" s="1942">
        <f>3+2</f>
        <v>5</v>
      </c>
      <c r="U39" s="1941">
        <f t="shared" si="9"/>
        <v>6.3865116873163874E-2</v>
      </c>
    </row>
    <row r="40" spans="1:21" ht="18.75" customHeight="1">
      <c r="A40" s="299" t="s">
        <v>2600</v>
      </c>
      <c r="B40" s="1935">
        <f>46+7</f>
        <v>53</v>
      </c>
      <c r="C40" s="1936">
        <f t="shared" si="11"/>
        <v>0.56299128956872746</v>
      </c>
      <c r="D40" s="1935">
        <f>16+4</f>
        <v>20</v>
      </c>
      <c r="E40" s="1937">
        <f t="shared" si="12"/>
        <v>0.1853052904660428</v>
      </c>
      <c r="F40" s="1938">
        <f>23+11</f>
        <v>34</v>
      </c>
      <c r="G40" s="1937">
        <f t="shared" si="13"/>
        <v>0.29869103048405521</v>
      </c>
      <c r="H40" s="1938">
        <f>17+3</f>
        <v>20</v>
      </c>
      <c r="I40" s="1937">
        <f t="shared" si="14"/>
        <v>0.19278966647387699</v>
      </c>
      <c r="J40" s="1939">
        <f>3+4</f>
        <v>7</v>
      </c>
      <c r="K40" s="1940">
        <f t="shared" si="15"/>
        <v>7.4794315632011971E-2</v>
      </c>
      <c r="L40" s="1939">
        <f>8+3</f>
        <v>11</v>
      </c>
      <c r="M40" s="1941">
        <f t="shared" si="16"/>
        <v>0.12838468720821661</v>
      </c>
      <c r="N40" s="1942">
        <f>3+2</f>
        <v>5</v>
      </c>
      <c r="O40" s="1941">
        <f t="shared" si="17"/>
        <v>6.1485489424495818E-2</v>
      </c>
      <c r="P40" s="1942">
        <f>5+1</f>
        <v>6</v>
      </c>
      <c r="Q40" s="1941">
        <f t="shared" si="18"/>
        <v>7.1022727272727279E-2</v>
      </c>
      <c r="R40" s="1942">
        <v>4</v>
      </c>
      <c r="S40" s="1941">
        <f t="shared" si="10"/>
        <v>5.0352467270896276E-2</v>
      </c>
      <c r="T40" s="1942">
        <f>2+3</f>
        <v>5</v>
      </c>
      <c r="U40" s="1941">
        <f t="shared" si="9"/>
        <v>6.3865116873163874E-2</v>
      </c>
    </row>
    <row r="41" spans="1:21" ht="18.75" customHeight="1">
      <c r="A41" s="299" t="s">
        <v>2601</v>
      </c>
      <c r="B41" s="1935" t="s">
        <v>2602</v>
      </c>
      <c r="C41" s="1936" t="s">
        <v>2602</v>
      </c>
      <c r="D41" s="1935" t="s">
        <v>2430</v>
      </c>
      <c r="E41" s="1937" t="s">
        <v>2602</v>
      </c>
      <c r="F41" s="1938" t="s">
        <v>2602</v>
      </c>
      <c r="G41" s="1937" t="s">
        <v>2602</v>
      </c>
      <c r="H41" s="1938" t="s">
        <v>2430</v>
      </c>
      <c r="I41" s="1937" t="s">
        <v>2442</v>
      </c>
      <c r="J41" s="1939" t="s">
        <v>2603</v>
      </c>
      <c r="K41" s="1940" t="s">
        <v>2430</v>
      </c>
      <c r="L41" s="1939">
        <v>3</v>
      </c>
      <c r="M41" s="1941">
        <f t="shared" si="16"/>
        <v>3.5014005602240897E-2</v>
      </c>
      <c r="N41" s="1942" t="s">
        <v>2442</v>
      </c>
      <c r="O41" s="1941" t="s">
        <v>2430</v>
      </c>
      <c r="P41" s="1942">
        <f>1+2</f>
        <v>3</v>
      </c>
      <c r="Q41" s="1941">
        <f t="shared" si="18"/>
        <v>3.551136363636364E-2</v>
      </c>
      <c r="R41" s="1942">
        <v>1</v>
      </c>
      <c r="S41" s="1941">
        <f t="shared" si="10"/>
        <v>1.2588116817724069E-2</v>
      </c>
      <c r="T41" s="1942">
        <f>1+2</f>
        <v>3</v>
      </c>
      <c r="U41" s="1941">
        <f t="shared" si="9"/>
        <v>3.8319070123898326E-2</v>
      </c>
    </row>
    <row r="42" spans="1:21" ht="18.75" customHeight="1">
      <c r="A42" s="299" t="s">
        <v>2604</v>
      </c>
      <c r="B42" s="1935">
        <f>1+1</f>
        <v>2</v>
      </c>
      <c r="C42" s="1936">
        <f>B42/B$4*100</f>
        <v>2.1244954323348206E-2</v>
      </c>
      <c r="D42" s="1935">
        <f>1+0</f>
        <v>1</v>
      </c>
      <c r="E42" s="1937">
        <f>D42/D$4*100</f>
        <v>9.26526452330214E-3</v>
      </c>
      <c r="F42" s="1938">
        <f>1+1</f>
        <v>2</v>
      </c>
      <c r="G42" s="1937">
        <f>F42/F$4*100</f>
        <v>1.7570060616709127E-2</v>
      </c>
      <c r="H42" s="1938">
        <v>2</v>
      </c>
      <c r="I42" s="1937">
        <f>H42/H$4*100</f>
        <v>1.9278966647387701E-2</v>
      </c>
      <c r="J42" s="1939">
        <f>5+1</f>
        <v>6</v>
      </c>
      <c r="K42" s="1940">
        <f>J42/J$4*100</f>
        <v>6.4109413398867401E-2</v>
      </c>
      <c r="L42" s="1939">
        <v>4</v>
      </c>
      <c r="M42" s="1941">
        <f t="shared" si="16"/>
        <v>4.6685340802987862E-2</v>
      </c>
      <c r="N42" s="1942">
        <f>4+1</f>
        <v>5</v>
      </c>
      <c r="O42" s="1941">
        <f>N42/N$4*100</f>
        <v>6.1485489424495818E-2</v>
      </c>
      <c r="P42" s="1942">
        <v>5</v>
      </c>
      <c r="Q42" s="1941">
        <f t="shared" si="18"/>
        <v>5.9185606060606064E-2</v>
      </c>
      <c r="R42" s="1942" t="s">
        <v>2605</v>
      </c>
      <c r="S42" s="1941" t="s">
        <v>2430</v>
      </c>
      <c r="T42" s="1942">
        <f>1+1</f>
        <v>2</v>
      </c>
      <c r="U42" s="1941">
        <f t="shared" si="9"/>
        <v>2.5546046749265552E-2</v>
      </c>
    </row>
    <row r="43" spans="1:21" ht="18.75" customHeight="1">
      <c r="A43" s="299" t="s">
        <v>2606</v>
      </c>
      <c r="B43" s="1935">
        <f>1+0</f>
        <v>1</v>
      </c>
      <c r="C43" s="1936">
        <f>B43/B$4*100</f>
        <v>1.0622477161674103E-2</v>
      </c>
      <c r="D43" s="1935">
        <f>3+1</f>
        <v>4</v>
      </c>
      <c r="E43" s="1937">
        <f>D43/D$4*100</f>
        <v>3.706105809320856E-2</v>
      </c>
      <c r="F43" s="1938">
        <v>3</v>
      </c>
      <c r="G43" s="1937">
        <f>F43/F$4*100</f>
        <v>2.635509092506369E-2</v>
      </c>
      <c r="H43" s="1938">
        <v>1</v>
      </c>
      <c r="I43" s="1937">
        <f>H43/H$4*100</f>
        <v>9.6394833236938503E-3</v>
      </c>
      <c r="J43" s="1939" t="s">
        <v>2442</v>
      </c>
      <c r="K43" s="1940" t="s">
        <v>2430</v>
      </c>
      <c r="L43" s="1939">
        <v>1</v>
      </c>
      <c r="M43" s="1941">
        <f t="shared" si="16"/>
        <v>1.1671335200746966E-2</v>
      </c>
      <c r="N43" s="1942">
        <v>2</v>
      </c>
      <c r="O43" s="1941">
        <f>N43/N$4*100</f>
        <v>2.4594195769798325E-2</v>
      </c>
      <c r="P43" s="1942">
        <v>1</v>
      </c>
      <c r="Q43" s="1941">
        <f t="shared" si="18"/>
        <v>1.1837121212121212E-2</v>
      </c>
      <c r="R43" s="1942">
        <f>2+1</f>
        <v>3</v>
      </c>
      <c r="S43" s="1941">
        <f>R43/R$4*100</f>
        <v>3.7764350453172203E-2</v>
      </c>
      <c r="T43" s="1942">
        <f>1+0</f>
        <v>1</v>
      </c>
      <c r="U43" s="1941">
        <f t="shared" si="9"/>
        <v>1.2773023374632776E-2</v>
      </c>
    </row>
    <row r="44" spans="1:21" ht="18.75" customHeight="1">
      <c r="A44" s="299" t="s">
        <v>2410</v>
      </c>
      <c r="B44" s="1935">
        <f>5+0</f>
        <v>5</v>
      </c>
      <c r="C44" s="1936">
        <f>B44/B$4*100</f>
        <v>5.3112385808370507E-2</v>
      </c>
      <c r="D44" s="1935">
        <v>3</v>
      </c>
      <c r="E44" s="1937">
        <f>D44/D$4*100</f>
        <v>2.779579356990642E-2</v>
      </c>
      <c r="F44" s="1938">
        <v>12</v>
      </c>
      <c r="G44" s="1937">
        <f>F44/F$4*100</f>
        <v>0.10542036370025476</v>
      </c>
      <c r="H44" s="1938">
        <f>14+2</f>
        <v>16</v>
      </c>
      <c r="I44" s="1937">
        <f>H44/H$4*100</f>
        <v>0.1542317331791016</v>
      </c>
      <c r="J44" s="1939">
        <f>6+1</f>
        <v>7</v>
      </c>
      <c r="K44" s="1940">
        <f>J44/J$4*100</f>
        <v>7.4794315632011971E-2</v>
      </c>
      <c r="L44" s="1939">
        <v>3</v>
      </c>
      <c r="M44" s="1941">
        <f t="shared" si="16"/>
        <v>3.5014005602240897E-2</v>
      </c>
      <c r="N44" s="1942">
        <v>4</v>
      </c>
      <c r="O44" s="1941">
        <f>N44/N$4*100</f>
        <v>4.918839153959665E-2</v>
      </c>
      <c r="P44" s="1942">
        <v>2</v>
      </c>
      <c r="Q44" s="1941">
        <f t="shared" si="18"/>
        <v>2.3674242424242424E-2</v>
      </c>
      <c r="R44" s="1942" t="s">
        <v>2602</v>
      </c>
      <c r="S44" s="1941" t="s">
        <v>2602</v>
      </c>
      <c r="T44" s="1942">
        <f>1+0</f>
        <v>1</v>
      </c>
      <c r="U44" s="1941">
        <f t="shared" si="9"/>
        <v>1.2773023374632776E-2</v>
      </c>
    </row>
    <row r="45" spans="1:21" ht="18.75" customHeight="1">
      <c r="A45" s="299" t="s">
        <v>2607</v>
      </c>
      <c r="B45" s="1935">
        <f>7+1</f>
        <v>8</v>
      </c>
      <c r="C45" s="1936">
        <f>B45/B$4*100</f>
        <v>8.4979817293392823E-2</v>
      </c>
      <c r="D45" s="1935">
        <f>4+1</f>
        <v>5</v>
      </c>
      <c r="E45" s="1937">
        <f>D45/D$4*100</f>
        <v>4.63263226165107E-2</v>
      </c>
      <c r="F45" s="1938">
        <f>6+3</f>
        <v>9</v>
      </c>
      <c r="G45" s="1937">
        <f>F45/F$4*100</f>
        <v>7.9065272775191084E-2</v>
      </c>
      <c r="H45" s="1938">
        <f>1+1</f>
        <v>2</v>
      </c>
      <c r="I45" s="1937">
        <f>H45/H$4*100</f>
        <v>1.9278966647387701E-2</v>
      </c>
      <c r="J45" s="1939">
        <f>1+2</f>
        <v>3</v>
      </c>
      <c r="K45" s="1940">
        <f>J45/J$4*100</f>
        <v>3.2054706699433701E-2</v>
      </c>
      <c r="L45" s="1939">
        <v>1</v>
      </c>
      <c r="M45" s="1941">
        <f t="shared" si="16"/>
        <v>1.1671335200746966E-2</v>
      </c>
      <c r="N45" s="1942">
        <v>1</v>
      </c>
      <c r="O45" s="1941">
        <f>N45/N$4*100</f>
        <v>1.2297097884899163E-2</v>
      </c>
      <c r="P45" s="1942" t="s">
        <v>2602</v>
      </c>
      <c r="Q45" s="1941" t="s">
        <v>2602</v>
      </c>
      <c r="R45" s="1942">
        <f>1+1</f>
        <v>2</v>
      </c>
      <c r="S45" s="1941">
        <f>R45/R$4*100</f>
        <v>2.5176233635448138E-2</v>
      </c>
      <c r="T45" s="1942">
        <f>0+1</f>
        <v>1</v>
      </c>
      <c r="U45" s="1941">
        <f t="shared" si="9"/>
        <v>1.2773023374632776E-2</v>
      </c>
    </row>
    <row r="46" spans="1:21" ht="18.75" customHeight="1">
      <c r="A46" s="299" t="s">
        <v>2608</v>
      </c>
      <c r="B46" s="1935">
        <v>1</v>
      </c>
      <c r="C46" s="1936">
        <f>B46/B$4*100</f>
        <v>1.0622477161674103E-2</v>
      </c>
      <c r="D46" s="1935" t="s">
        <v>2609</v>
      </c>
      <c r="E46" s="1937" t="s">
        <v>2602</v>
      </c>
      <c r="F46" s="1938">
        <v>1</v>
      </c>
      <c r="G46" s="1937">
        <f>F46/F$4*100</f>
        <v>8.7850303083545633E-3</v>
      </c>
      <c r="H46" s="1938" t="s">
        <v>2602</v>
      </c>
      <c r="I46" s="1937" t="s">
        <v>2430</v>
      </c>
      <c r="J46" s="1939">
        <v>7</v>
      </c>
      <c r="K46" s="1940">
        <f>J46/J$4*100</f>
        <v>7.4794315632011971E-2</v>
      </c>
      <c r="L46" s="1939">
        <f>1+1</f>
        <v>2</v>
      </c>
      <c r="M46" s="1941">
        <f t="shared" si="16"/>
        <v>2.3342670401493931E-2</v>
      </c>
      <c r="N46" s="1942" t="s">
        <v>2610</v>
      </c>
      <c r="O46" s="1941" t="s">
        <v>2602</v>
      </c>
      <c r="P46" s="1942" t="s">
        <v>2430</v>
      </c>
      <c r="Q46" s="1941" t="s">
        <v>2430</v>
      </c>
      <c r="R46" s="1942" t="s">
        <v>2602</v>
      </c>
      <c r="S46" s="1941" t="s">
        <v>2602</v>
      </c>
      <c r="T46" s="1942">
        <f>1+0</f>
        <v>1</v>
      </c>
      <c r="U46" s="1941">
        <f t="shared" si="9"/>
        <v>1.2773023374632776E-2</v>
      </c>
    </row>
    <row r="47" spans="1:21" ht="18.75" customHeight="1">
      <c r="A47" s="299" t="s">
        <v>2611</v>
      </c>
      <c r="B47" s="1935" t="s">
        <v>2430</v>
      </c>
      <c r="C47" s="1936" t="s">
        <v>2612</v>
      </c>
      <c r="D47" s="1935" t="s">
        <v>2442</v>
      </c>
      <c r="E47" s="1937" t="s">
        <v>2442</v>
      </c>
      <c r="F47" s="1938" t="s">
        <v>2430</v>
      </c>
      <c r="G47" s="1937" t="s">
        <v>2430</v>
      </c>
      <c r="H47" s="1938" t="s">
        <v>2602</v>
      </c>
      <c r="I47" s="1937" t="s">
        <v>2602</v>
      </c>
      <c r="J47" s="1939" t="s">
        <v>2602</v>
      </c>
      <c r="K47" s="1940" t="s">
        <v>2613</v>
      </c>
      <c r="L47" s="1939" t="s">
        <v>2602</v>
      </c>
      <c r="M47" s="1941" t="s">
        <v>2602</v>
      </c>
      <c r="N47" s="1942" t="s">
        <v>2442</v>
      </c>
      <c r="O47" s="1941" t="s">
        <v>2442</v>
      </c>
      <c r="P47" s="1942">
        <v>1</v>
      </c>
      <c r="Q47" s="1941">
        <f>P47/P$4*100</f>
        <v>1.1837121212121212E-2</v>
      </c>
      <c r="R47" s="1942">
        <f>1+1</f>
        <v>2</v>
      </c>
      <c r="S47" s="1941">
        <f>R47/R$4*100</f>
        <v>2.5176233635448138E-2</v>
      </c>
      <c r="T47" s="1942">
        <f>1+0</f>
        <v>1</v>
      </c>
      <c r="U47" s="1941">
        <f t="shared" si="9"/>
        <v>1.2773023374632776E-2</v>
      </c>
    </row>
    <row r="48" spans="1:21" ht="18.75" customHeight="1">
      <c r="A48" s="299" t="s">
        <v>2614</v>
      </c>
      <c r="B48" s="1935" t="s">
        <v>2602</v>
      </c>
      <c r="C48" s="1936" t="s">
        <v>2615</v>
      </c>
      <c r="D48" s="1935">
        <v>1</v>
      </c>
      <c r="E48" s="1937">
        <f>D48/D$4*100</f>
        <v>9.26526452330214E-3</v>
      </c>
      <c r="F48" s="1938" t="s">
        <v>2602</v>
      </c>
      <c r="G48" s="1937" t="s">
        <v>2442</v>
      </c>
      <c r="H48" s="1938">
        <v>1</v>
      </c>
      <c r="I48" s="1937">
        <f>H48/H$4*100</f>
        <v>9.6394833236938503E-3</v>
      </c>
      <c r="J48" s="1939" t="s">
        <v>2430</v>
      </c>
      <c r="K48" s="1940" t="s">
        <v>2442</v>
      </c>
      <c r="L48" s="1939" t="s">
        <v>2602</v>
      </c>
      <c r="M48" s="1941" t="s">
        <v>2602</v>
      </c>
      <c r="N48" s="1942" t="s">
        <v>2602</v>
      </c>
      <c r="O48" s="1941" t="s">
        <v>2442</v>
      </c>
      <c r="P48" s="1942">
        <f>3+1</f>
        <v>4</v>
      </c>
      <c r="Q48" s="1941">
        <f>P48/P$4*100</f>
        <v>4.7348484848484848E-2</v>
      </c>
      <c r="R48" s="1942" t="s">
        <v>2442</v>
      </c>
      <c r="S48" s="1941" t="s">
        <v>2602</v>
      </c>
      <c r="T48" s="1942" t="s">
        <v>2430</v>
      </c>
      <c r="U48" s="1941" t="s">
        <v>2602</v>
      </c>
    </row>
    <row r="49" spans="1:21" ht="18.75" customHeight="1">
      <c r="A49" s="299" t="s">
        <v>2616</v>
      </c>
      <c r="B49" s="1935" t="s">
        <v>2602</v>
      </c>
      <c r="C49" s="1936" t="s">
        <v>2442</v>
      </c>
      <c r="D49" s="1935">
        <v>1</v>
      </c>
      <c r="E49" s="1937">
        <f>D49/D$4*100</f>
        <v>9.26526452330214E-3</v>
      </c>
      <c r="F49" s="1938" t="s">
        <v>2442</v>
      </c>
      <c r="G49" s="1937" t="s">
        <v>2442</v>
      </c>
      <c r="H49" s="1938">
        <v>3</v>
      </c>
      <c r="I49" s="1937">
        <f>H49/H$4*100</f>
        <v>2.8918449971081547E-2</v>
      </c>
      <c r="J49" s="1939" t="s">
        <v>2602</v>
      </c>
      <c r="K49" s="1940" t="s">
        <v>2442</v>
      </c>
      <c r="L49" s="1939">
        <v>2</v>
      </c>
      <c r="M49" s="1941">
        <f>L49/L$4*100</f>
        <v>2.3342670401493931E-2</v>
      </c>
      <c r="N49" s="1942">
        <v>1</v>
      </c>
      <c r="O49" s="1941">
        <f>N49/N$4*100</f>
        <v>1.2297097884899163E-2</v>
      </c>
      <c r="P49" s="1942" t="s">
        <v>2602</v>
      </c>
      <c r="Q49" s="1941" t="s">
        <v>2442</v>
      </c>
      <c r="R49" s="1942" t="s">
        <v>2442</v>
      </c>
      <c r="S49" s="1941" t="s">
        <v>2442</v>
      </c>
      <c r="T49" s="1942" t="s">
        <v>2442</v>
      </c>
      <c r="U49" s="1941" t="s">
        <v>2442</v>
      </c>
    </row>
    <row r="50" spans="1:21" ht="18.75" customHeight="1">
      <c r="A50" s="299" t="s">
        <v>2617</v>
      </c>
      <c r="B50" s="1935" t="s">
        <v>2430</v>
      </c>
      <c r="C50" s="1936" t="s">
        <v>2442</v>
      </c>
      <c r="D50" s="1935" t="s">
        <v>2615</v>
      </c>
      <c r="E50" s="1937" t="s">
        <v>2602</v>
      </c>
      <c r="F50" s="1938" t="s">
        <v>2602</v>
      </c>
      <c r="G50" s="1937" t="s">
        <v>2442</v>
      </c>
      <c r="H50" s="1938" t="s">
        <v>2442</v>
      </c>
      <c r="I50" s="1937" t="s">
        <v>2618</v>
      </c>
      <c r="J50" s="1939" t="s">
        <v>2430</v>
      </c>
      <c r="K50" s="1940" t="s">
        <v>2442</v>
      </c>
      <c r="L50" s="1939">
        <v>3</v>
      </c>
      <c r="M50" s="1941">
        <f>L50/L$4*100</f>
        <v>3.5014005602240897E-2</v>
      </c>
      <c r="N50" s="1942" t="s">
        <v>2442</v>
      </c>
      <c r="O50" s="1941" t="s">
        <v>2442</v>
      </c>
      <c r="P50" s="1942" t="s">
        <v>2442</v>
      </c>
      <c r="Q50" s="1941" t="s">
        <v>2442</v>
      </c>
      <c r="R50" s="1942" t="s">
        <v>2430</v>
      </c>
      <c r="S50" s="1941" t="s">
        <v>2442</v>
      </c>
      <c r="T50" s="1942" t="s">
        <v>2442</v>
      </c>
      <c r="U50" s="1941" t="s">
        <v>2615</v>
      </c>
    </row>
    <row r="51" spans="1:21" ht="18.75" customHeight="1">
      <c r="A51" s="299" t="s">
        <v>2619</v>
      </c>
      <c r="B51" s="1935">
        <v>1</v>
      </c>
      <c r="C51" s="1936">
        <f>B51/B$4*100</f>
        <v>1.0622477161674103E-2</v>
      </c>
      <c r="D51" s="1935" t="s">
        <v>2442</v>
      </c>
      <c r="E51" s="1937" t="s">
        <v>2442</v>
      </c>
      <c r="F51" s="1938" t="s">
        <v>2442</v>
      </c>
      <c r="G51" s="1937" t="s">
        <v>2442</v>
      </c>
      <c r="H51" s="1938" t="s">
        <v>2430</v>
      </c>
      <c r="I51" s="1937" t="s">
        <v>2430</v>
      </c>
      <c r="J51" s="1939" t="s">
        <v>2442</v>
      </c>
      <c r="K51" s="1940" t="s">
        <v>2442</v>
      </c>
      <c r="L51" s="1939" t="s">
        <v>2442</v>
      </c>
      <c r="M51" s="1941" t="s">
        <v>2442</v>
      </c>
      <c r="N51" s="1942" t="s">
        <v>2442</v>
      </c>
      <c r="O51" s="1941" t="s">
        <v>2442</v>
      </c>
      <c r="P51" s="1942" t="s">
        <v>2442</v>
      </c>
      <c r="Q51" s="1941" t="s">
        <v>2442</v>
      </c>
      <c r="R51" s="1942" t="s">
        <v>2442</v>
      </c>
      <c r="S51" s="1941" t="s">
        <v>2442</v>
      </c>
      <c r="T51" s="1942" t="s">
        <v>2602</v>
      </c>
      <c r="U51" s="1941" t="s">
        <v>2442</v>
      </c>
    </row>
    <row r="52" spans="1:21" ht="18.75" customHeight="1">
      <c r="A52" s="299" t="s">
        <v>2620</v>
      </c>
      <c r="B52" s="1935" t="s">
        <v>2430</v>
      </c>
      <c r="C52" s="1936" t="s">
        <v>2442</v>
      </c>
      <c r="D52" s="1935" t="s">
        <v>2442</v>
      </c>
      <c r="E52" s="1937" t="s">
        <v>2442</v>
      </c>
      <c r="F52" s="1938">
        <v>1</v>
      </c>
      <c r="G52" s="1937">
        <f>F52/F$4*100</f>
        <v>8.7850303083545633E-3</v>
      </c>
      <c r="H52" s="1938" t="s">
        <v>2442</v>
      </c>
      <c r="I52" s="1937" t="s">
        <v>2442</v>
      </c>
      <c r="J52" s="1939" t="s">
        <v>2442</v>
      </c>
      <c r="K52" s="1940" t="s">
        <v>2442</v>
      </c>
      <c r="L52" s="1939">
        <v>1</v>
      </c>
      <c r="M52" s="1941">
        <f>L52/L$4*100</f>
        <v>1.1671335200746966E-2</v>
      </c>
      <c r="N52" s="1942">
        <v>1</v>
      </c>
      <c r="O52" s="1941">
        <f>N52/N$4*100</f>
        <v>1.2297097884899163E-2</v>
      </c>
      <c r="P52" s="1942" t="s">
        <v>2442</v>
      </c>
      <c r="Q52" s="1941" t="s">
        <v>2442</v>
      </c>
      <c r="R52" s="1942" t="s">
        <v>2442</v>
      </c>
      <c r="S52" s="1941" t="s">
        <v>2442</v>
      </c>
      <c r="T52" s="1942" t="s">
        <v>2442</v>
      </c>
      <c r="U52" s="1941" t="s">
        <v>2602</v>
      </c>
    </row>
    <row r="53" spans="1:21" ht="18.75" customHeight="1">
      <c r="A53" s="299" t="s">
        <v>2621</v>
      </c>
      <c r="B53" s="1935" t="s">
        <v>2442</v>
      </c>
      <c r="C53" s="1936" t="s">
        <v>2442</v>
      </c>
      <c r="D53" s="1935" t="s">
        <v>2442</v>
      </c>
      <c r="E53" s="1937" t="s">
        <v>2442</v>
      </c>
      <c r="F53" s="1938" t="s">
        <v>2442</v>
      </c>
      <c r="G53" s="1937" t="s">
        <v>2442</v>
      </c>
      <c r="H53" s="1938" t="s">
        <v>2442</v>
      </c>
      <c r="I53" s="1937" t="s">
        <v>2442</v>
      </c>
      <c r="J53" s="1939" t="s">
        <v>2442</v>
      </c>
      <c r="K53" s="1940" t="s">
        <v>2442</v>
      </c>
      <c r="L53" s="1939">
        <v>1</v>
      </c>
      <c r="M53" s="1941">
        <f>L53/L$4*100</f>
        <v>1.1671335200746966E-2</v>
      </c>
      <c r="N53" s="1942">
        <v>2</v>
      </c>
      <c r="O53" s="1941">
        <f>N53/N$4*100</f>
        <v>2.4594195769798325E-2</v>
      </c>
      <c r="P53" s="1942">
        <v>2</v>
      </c>
      <c r="Q53" s="1941">
        <f>P53/P$4*100</f>
        <v>2.3674242424242424E-2</v>
      </c>
      <c r="R53" s="1942" t="s">
        <v>2430</v>
      </c>
      <c r="S53" s="1941" t="s">
        <v>2442</v>
      </c>
      <c r="T53" s="1942" t="s">
        <v>2442</v>
      </c>
      <c r="U53" s="1941" t="s">
        <v>2442</v>
      </c>
    </row>
    <row r="54" spans="1:21" ht="18.75" customHeight="1">
      <c r="A54" s="299" t="s">
        <v>2622</v>
      </c>
      <c r="B54" s="1935">
        <f>5+0</f>
        <v>5</v>
      </c>
      <c r="C54" s="1936">
        <f>B54/B$4*100</f>
        <v>5.3112385808370507E-2</v>
      </c>
      <c r="D54" s="1935">
        <f>1+0</f>
        <v>1</v>
      </c>
      <c r="E54" s="1937">
        <f>D54/D$4*100</f>
        <v>9.26526452330214E-3</v>
      </c>
      <c r="F54" s="1938" t="s">
        <v>2442</v>
      </c>
      <c r="G54" s="1937" t="s">
        <v>2442</v>
      </c>
      <c r="H54" s="1938" t="s">
        <v>2442</v>
      </c>
      <c r="I54" s="1937" t="s">
        <v>2442</v>
      </c>
      <c r="J54" s="1939">
        <v>5</v>
      </c>
      <c r="K54" s="1940">
        <f>J54/J$4*100</f>
        <v>5.3424511165722832E-2</v>
      </c>
      <c r="L54" s="1939">
        <v>3</v>
      </c>
      <c r="M54" s="1941">
        <f>L54/L$4*100</f>
        <v>3.5014005602240897E-2</v>
      </c>
      <c r="N54" s="1942">
        <f>1+1</f>
        <v>2</v>
      </c>
      <c r="O54" s="1941">
        <f>N54/N$4*100</f>
        <v>2.4594195769798325E-2</v>
      </c>
      <c r="P54" s="1942">
        <v>1</v>
      </c>
      <c r="Q54" s="1941">
        <f>P54/P$4*100</f>
        <v>1.1837121212121212E-2</v>
      </c>
      <c r="R54" s="1942">
        <v>3</v>
      </c>
      <c r="S54" s="1941">
        <f>R54/R$4*100</f>
        <v>3.7764350453172203E-2</v>
      </c>
      <c r="T54" s="1942" t="s">
        <v>2430</v>
      </c>
      <c r="U54" s="1941" t="s">
        <v>2442</v>
      </c>
    </row>
    <row r="55" spans="1:21" ht="18.75" customHeight="1">
      <c r="A55" s="299" t="s">
        <v>2623</v>
      </c>
      <c r="B55" s="1935">
        <v>1</v>
      </c>
      <c r="C55" s="1936">
        <f>B55/B$4*100</f>
        <v>1.0622477161674103E-2</v>
      </c>
      <c r="D55" s="1935" t="s">
        <v>2430</v>
      </c>
      <c r="E55" s="1937" t="s">
        <v>2442</v>
      </c>
      <c r="F55" s="1938" t="s">
        <v>2442</v>
      </c>
      <c r="G55" s="1937" t="s">
        <v>2442</v>
      </c>
      <c r="H55" s="1938" t="s">
        <v>2442</v>
      </c>
      <c r="I55" s="1937" t="s">
        <v>2442</v>
      </c>
      <c r="J55" s="1939" t="s">
        <v>2442</v>
      </c>
      <c r="K55" s="1940" t="s">
        <v>2442</v>
      </c>
      <c r="L55" s="1939">
        <v>4</v>
      </c>
      <c r="M55" s="1941">
        <f>L55/L$4*100</f>
        <v>4.6685340802987862E-2</v>
      </c>
      <c r="N55" s="1942" t="s">
        <v>2442</v>
      </c>
      <c r="O55" s="1941" t="s">
        <v>2430</v>
      </c>
      <c r="P55" s="1942" t="s">
        <v>2442</v>
      </c>
      <c r="Q55" s="1941" t="s">
        <v>2442</v>
      </c>
      <c r="R55" s="1942">
        <v>2</v>
      </c>
      <c r="S55" s="1941">
        <f>R55/R$4*100</f>
        <v>2.5176233635448138E-2</v>
      </c>
      <c r="T55" s="1942" t="s">
        <v>2430</v>
      </c>
      <c r="U55" s="1941" t="s">
        <v>2602</v>
      </c>
    </row>
    <row r="56" spans="1:21" ht="18.75" customHeight="1">
      <c r="A56" s="299" t="s">
        <v>2624</v>
      </c>
      <c r="B56" s="1935" t="s">
        <v>2442</v>
      </c>
      <c r="C56" s="1936" t="s">
        <v>2442</v>
      </c>
      <c r="D56" s="1935" t="s">
        <v>2442</v>
      </c>
      <c r="E56" s="1937" t="s">
        <v>2442</v>
      </c>
      <c r="F56" s="1938" t="s">
        <v>2442</v>
      </c>
      <c r="G56" s="1937" t="s">
        <v>2430</v>
      </c>
      <c r="H56" s="1938">
        <v>1</v>
      </c>
      <c r="I56" s="1937">
        <f>H56/H$4*100</f>
        <v>9.6394833236938503E-3</v>
      </c>
      <c r="J56" s="1939" t="s">
        <v>2442</v>
      </c>
      <c r="K56" s="1940" t="s">
        <v>2430</v>
      </c>
      <c r="L56" s="1939" t="s">
        <v>2442</v>
      </c>
      <c r="M56" s="1941" t="s">
        <v>2442</v>
      </c>
      <c r="N56" s="1942" t="s">
        <v>2442</v>
      </c>
      <c r="O56" s="1941" t="s">
        <v>2442</v>
      </c>
      <c r="P56" s="1942" t="s">
        <v>2442</v>
      </c>
      <c r="Q56" s="1941" t="s">
        <v>2602</v>
      </c>
      <c r="R56" s="1942" t="s">
        <v>2442</v>
      </c>
      <c r="S56" s="1941" t="s">
        <v>2442</v>
      </c>
      <c r="T56" s="1942" t="s">
        <v>2442</v>
      </c>
      <c r="U56" s="1941" t="s">
        <v>2442</v>
      </c>
    </row>
    <row r="57" spans="1:21" ht="18.75" customHeight="1">
      <c r="A57" s="299" t="s">
        <v>2625</v>
      </c>
      <c r="B57" s="1935" t="s">
        <v>2442</v>
      </c>
      <c r="C57" s="1936" t="s">
        <v>2602</v>
      </c>
      <c r="D57" s="1935" t="s">
        <v>2442</v>
      </c>
      <c r="E57" s="1937" t="s">
        <v>2430</v>
      </c>
      <c r="F57" s="1938" t="s">
        <v>2430</v>
      </c>
      <c r="G57" s="1937" t="s">
        <v>2442</v>
      </c>
      <c r="H57" s="1938" t="s">
        <v>2442</v>
      </c>
      <c r="I57" s="1937" t="s">
        <v>2442</v>
      </c>
      <c r="J57" s="1939" t="s">
        <v>2602</v>
      </c>
      <c r="K57" s="1940" t="s">
        <v>2442</v>
      </c>
      <c r="L57" s="1939">
        <v>1</v>
      </c>
      <c r="M57" s="1941">
        <f>L57/L$4*100</f>
        <v>1.1671335200746966E-2</v>
      </c>
      <c r="N57" s="1942" t="s">
        <v>2442</v>
      </c>
      <c r="O57" s="1941" t="s">
        <v>2442</v>
      </c>
      <c r="P57" s="1942" t="s">
        <v>2442</v>
      </c>
      <c r="Q57" s="1941" t="s">
        <v>2442</v>
      </c>
      <c r="R57" s="1942" t="s">
        <v>2442</v>
      </c>
      <c r="S57" s="1941" t="s">
        <v>2442</v>
      </c>
      <c r="T57" s="1942" t="s">
        <v>2430</v>
      </c>
      <c r="U57" s="1941" t="s">
        <v>2442</v>
      </c>
    </row>
    <row r="58" spans="1:21" ht="18.75" customHeight="1">
      <c r="A58" s="299" t="s">
        <v>2626</v>
      </c>
      <c r="B58" s="1935" t="s">
        <v>2442</v>
      </c>
      <c r="C58" s="1936" t="s">
        <v>2627</v>
      </c>
      <c r="D58" s="1935" t="s">
        <v>2442</v>
      </c>
      <c r="E58" s="1937" t="s">
        <v>2442</v>
      </c>
      <c r="F58" s="1938">
        <v>4</v>
      </c>
      <c r="G58" s="1937">
        <f>F58/F$4*100</f>
        <v>3.5140121233418253E-2</v>
      </c>
      <c r="H58" s="1938">
        <v>1</v>
      </c>
      <c r="I58" s="1937">
        <f>H58/H$4*100</f>
        <v>9.6394833236938503E-3</v>
      </c>
      <c r="J58" s="1939">
        <v>1</v>
      </c>
      <c r="K58" s="1940">
        <f>J58/J$4*100</f>
        <v>1.0684902233144567E-2</v>
      </c>
      <c r="L58" s="1939" t="s">
        <v>2442</v>
      </c>
      <c r="M58" s="1941" t="s">
        <v>2442</v>
      </c>
      <c r="N58" s="1942">
        <v>1</v>
      </c>
      <c r="O58" s="1941">
        <f>N58/N$4*100</f>
        <v>1.2297097884899163E-2</v>
      </c>
      <c r="P58" s="1942">
        <v>1</v>
      </c>
      <c r="Q58" s="1941">
        <f>P58/P$4*100</f>
        <v>1.1837121212121212E-2</v>
      </c>
      <c r="R58" s="1942" t="s">
        <v>2442</v>
      </c>
      <c r="S58" s="1941" t="s">
        <v>2442</v>
      </c>
      <c r="T58" s="1942" t="s">
        <v>2442</v>
      </c>
      <c r="U58" s="1941" t="s">
        <v>2442</v>
      </c>
    </row>
    <row r="59" spans="1:21" ht="18.75" customHeight="1">
      <c r="A59" s="299" t="s">
        <v>2628</v>
      </c>
      <c r="B59" s="1935">
        <v>1</v>
      </c>
      <c r="C59" s="1936">
        <f t="shared" ref="C59:C65" si="19">B59/B$4*100</f>
        <v>1.0622477161674103E-2</v>
      </c>
      <c r="D59" s="1935" t="s">
        <v>2442</v>
      </c>
      <c r="E59" s="1937" t="s">
        <v>2442</v>
      </c>
      <c r="F59" s="1938">
        <v>4</v>
      </c>
      <c r="G59" s="1937">
        <f>F59/F$4*100</f>
        <v>3.5140121233418253E-2</v>
      </c>
      <c r="H59" s="1938" t="s">
        <v>2442</v>
      </c>
      <c r="I59" s="1937" t="s">
        <v>2442</v>
      </c>
      <c r="J59" s="1939" t="s">
        <v>2442</v>
      </c>
      <c r="K59" s="1940" t="s">
        <v>2442</v>
      </c>
      <c r="L59" s="1939" t="s">
        <v>2442</v>
      </c>
      <c r="M59" s="1941" t="s">
        <v>2442</v>
      </c>
      <c r="N59" s="1942" t="s">
        <v>2442</v>
      </c>
      <c r="O59" s="1941" t="s">
        <v>2442</v>
      </c>
      <c r="P59" s="1942" t="s">
        <v>2442</v>
      </c>
      <c r="Q59" s="1941" t="s">
        <v>2442</v>
      </c>
      <c r="R59" s="1942" t="s">
        <v>2442</v>
      </c>
      <c r="S59" s="1941" t="s">
        <v>2442</v>
      </c>
      <c r="T59" s="1942" t="s">
        <v>2442</v>
      </c>
      <c r="U59" s="1941" t="s">
        <v>2442</v>
      </c>
    </row>
    <row r="60" spans="1:21" ht="18.75" customHeight="1">
      <c r="A60" s="299" t="s">
        <v>2629</v>
      </c>
      <c r="B60" s="1935">
        <v>1</v>
      </c>
      <c r="C60" s="1936">
        <f t="shared" si="19"/>
        <v>1.0622477161674103E-2</v>
      </c>
      <c r="D60" s="1935" t="s">
        <v>2430</v>
      </c>
      <c r="E60" s="1937" t="s">
        <v>2430</v>
      </c>
      <c r="F60" s="1938" t="s">
        <v>2442</v>
      </c>
      <c r="G60" s="1937" t="s">
        <v>2442</v>
      </c>
      <c r="H60" s="1938" t="s">
        <v>2442</v>
      </c>
      <c r="I60" s="1937" t="s">
        <v>2442</v>
      </c>
      <c r="J60" s="1939" t="s">
        <v>2442</v>
      </c>
      <c r="K60" s="1940" t="s">
        <v>2442</v>
      </c>
      <c r="L60" s="1939" t="s">
        <v>2442</v>
      </c>
      <c r="M60" s="1941" t="s">
        <v>2430</v>
      </c>
      <c r="N60" s="1942" t="s">
        <v>2442</v>
      </c>
      <c r="O60" s="1941" t="s">
        <v>2442</v>
      </c>
      <c r="P60" s="1942" t="s">
        <v>2442</v>
      </c>
      <c r="Q60" s="1941" t="s">
        <v>2442</v>
      </c>
      <c r="R60" s="1942" t="s">
        <v>2442</v>
      </c>
      <c r="S60" s="1941" t="s">
        <v>2442</v>
      </c>
      <c r="T60" s="1942" t="s">
        <v>2442</v>
      </c>
      <c r="U60" s="1941" t="s">
        <v>2442</v>
      </c>
    </row>
    <row r="61" spans="1:21" ht="18.75" customHeight="1">
      <c r="A61" s="299" t="s">
        <v>2630</v>
      </c>
      <c r="B61" s="1935">
        <v>1</v>
      </c>
      <c r="C61" s="1936">
        <f t="shared" si="19"/>
        <v>1.0622477161674103E-2</v>
      </c>
      <c r="D61" s="1935" t="s">
        <v>2442</v>
      </c>
      <c r="E61" s="1937" t="s">
        <v>2442</v>
      </c>
      <c r="F61" s="1938" t="s">
        <v>2442</v>
      </c>
      <c r="G61" s="1937" t="s">
        <v>2442</v>
      </c>
      <c r="H61" s="1938" t="s">
        <v>2442</v>
      </c>
      <c r="I61" s="1937" t="s">
        <v>2442</v>
      </c>
      <c r="J61" s="1939" t="s">
        <v>2442</v>
      </c>
      <c r="K61" s="1940" t="s">
        <v>2442</v>
      </c>
      <c r="L61" s="1939" t="s">
        <v>2442</v>
      </c>
      <c r="M61" s="1941" t="s">
        <v>2442</v>
      </c>
      <c r="N61" s="1942" t="s">
        <v>2442</v>
      </c>
      <c r="O61" s="1941" t="s">
        <v>2442</v>
      </c>
      <c r="P61" s="1942" t="s">
        <v>2442</v>
      </c>
      <c r="Q61" s="1941" t="s">
        <v>2442</v>
      </c>
      <c r="R61" s="1942" t="s">
        <v>2442</v>
      </c>
      <c r="S61" s="1941" t="s">
        <v>2442</v>
      </c>
      <c r="T61" s="1942" t="s">
        <v>2442</v>
      </c>
      <c r="U61" s="1941" t="s">
        <v>2442</v>
      </c>
    </row>
    <row r="62" spans="1:21" ht="18.75" customHeight="1">
      <c r="A62" s="299" t="s">
        <v>2631</v>
      </c>
      <c r="B62" s="1935">
        <v>1</v>
      </c>
      <c r="C62" s="1936">
        <f t="shared" si="19"/>
        <v>1.0622477161674103E-2</v>
      </c>
      <c r="D62" s="1935" t="s">
        <v>2442</v>
      </c>
      <c r="E62" s="1937" t="s">
        <v>2442</v>
      </c>
      <c r="F62" s="1938" t="s">
        <v>2632</v>
      </c>
      <c r="G62" s="1937" t="s">
        <v>2442</v>
      </c>
      <c r="H62" s="1938" t="s">
        <v>2442</v>
      </c>
      <c r="I62" s="1937" t="s">
        <v>2632</v>
      </c>
      <c r="J62" s="1939" t="s">
        <v>2632</v>
      </c>
      <c r="K62" s="1940" t="s">
        <v>2442</v>
      </c>
      <c r="L62" s="1939" t="s">
        <v>2442</v>
      </c>
      <c r="M62" s="1941" t="s">
        <v>2442</v>
      </c>
      <c r="N62" s="1942" t="s">
        <v>2442</v>
      </c>
      <c r="O62" s="1941" t="s">
        <v>2442</v>
      </c>
      <c r="P62" s="1942">
        <v>1</v>
      </c>
      <c r="Q62" s="1941">
        <f>P62/P$4*100</f>
        <v>1.1837121212121212E-2</v>
      </c>
      <c r="R62" s="1942" t="s">
        <v>2442</v>
      </c>
      <c r="S62" s="1941" t="s">
        <v>2442</v>
      </c>
      <c r="T62" s="1942" t="s">
        <v>2442</v>
      </c>
      <c r="U62" s="1941" t="s">
        <v>2442</v>
      </c>
    </row>
    <row r="63" spans="1:21" ht="18.75" customHeight="1">
      <c r="A63" s="299" t="s">
        <v>2633</v>
      </c>
      <c r="B63" s="1935">
        <v>1</v>
      </c>
      <c r="C63" s="1936">
        <f t="shared" si="19"/>
        <v>1.0622477161674103E-2</v>
      </c>
      <c r="D63" s="1935">
        <v>2</v>
      </c>
      <c r="E63" s="1937">
        <f>D63/D$4*100</f>
        <v>1.853052904660428E-2</v>
      </c>
      <c r="F63" s="1938" t="s">
        <v>2442</v>
      </c>
      <c r="G63" s="1937" t="s">
        <v>2430</v>
      </c>
      <c r="H63" s="1938" t="s">
        <v>2442</v>
      </c>
      <c r="I63" s="1937" t="s">
        <v>2442</v>
      </c>
      <c r="J63" s="1939" t="s">
        <v>2442</v>
      </c>
      <c r="K63" s="1940" t="s">
        <v>2442</v>
      </c>
      <c r="L63" s="1939" t="s">
        <v>2442</v>
      </c>
      <c r="M63" s="1941" t="s">
        <v>2442</v>
      </c>
      <c r="N63" s="1942">
        <v>2</v>
      </c>
      <c r="O63" s="1941">
        <f>N63/N$4*100</f>
        <v>2.4594195769798325E-2</v>
      </c>
      <c r="P63" s="1942" t="s">
        <v>2442</v>
      </c>
      <c r="Q63" s="1941" t="s">
        <v>2442</v>
      </c>
      <c r="R63" s="1942" t="s">
        <v>2442</v>
      </c>
      <c r="S63" s="1941" t="s">
        <v>2442</v>
      </c>
      <c r="T63" s="1942" t="s">
        <v>2442</v>
      </c>
      <c r="U63" s="1941" t="s">
        <v>2442</v>
      </c>
    </row>
    <row r="64" spans="1:21" ht="18.75" customHeight="1">
      <c r="A64" s="299" t="s">
        <v>2634</v>
      </c>
      <c r="B64" s="1935">
        <f>1+3</f>
        <v>4</v>
      </c>
      <c r="C64" s="1936">
        <f t="shared" si="19"/>
        <v>4.2489908646696412E-2</v>
      </c>
      <c r="D64" s="1935">
        <f>1+3</f>
        <v>4</v>
      </c>
      <c r="E64" s="1937">
        <f>D64/D$4*100</f>
        <v>3.706105809320856E-2</v>
      </c>
      <c r="F64" s="1938">
        <v>1</v>
      </c>
      <c r="G64" s="1937">
        <f>F64/F$4*100</f>
        <v>8.7850303083545633E-3</v>
      </c>
      <c r="H64" s="1938" t="s">
        <v>2442</v>
      </c>
      <c r="I64" s="1937" t="s">
        <v>2442</v>
      </c>
      <c r="J64" s="1939" t="s">
        <v>2442</v>
      </c>
      <c r="K64" s="1940" t="s">
        <v>2442</v>
      </c>
      <c r="L64" s="1939" t="s">
        <v>2442</v>
      </c>
      <c r="M64" s="1941" t="s">
        <v>2442</v>
      </c>
      <c r="N64" s="1942" t="s">
        <v>2442</v>
      </c>
      <c r="O64" s="1941" t="s">
        <v>2430</v>
      </c>
      <c r="P64" s="1942" t="s">
        <v>2442</v>
      </c>
      <c r="Q64" s="1941" t="s">
        <v>2442</v>
      </c>
      <c r="R64" s="1942">
        <f>1</f>
        <v>1</v>
      </c>
      <c r="S64" s="1941">
        <f>R64/R$4*100</f>
        <v>1.2588116817724069E-2</v>
      </c>
      <c r="T64" s="1942" t="s">
        <v>2430</v>
      </c>
      <c r="U64" s="1941" t="s">
        <v>2442</v>
      </c>
    </row>
    <row r="65" spans="1:21" ht="18.75" customHeight="1">
      <c r="A65" s="299" t="s">
        <v>2635</v>
      </c>
      <c r="B65" s="1935">
        <f>1+1</f>
        <v>2</v>
      </c>
      <c r="C65" s="1936">
        <f t="shared" si="19"/>
        <v>2.1244954323348206E-2</v>
      </c>
      <c r="D65" s="1935">
        <f>1+1</f>
        <v>2</v>
      </c>
      <c r="E65" s="1937">
        <f>D65/D$4*100</f>
        <v>1.853052904660428E-2</v>
      </c>
      <c r="F65" s="1938">
        <v>1</v>
      </c>
      <c r="G65" s="1937">
        <f>F65/F$4*100</f>
        <v>8.7850303083545633E-3</v>
      </c>
      <c r="H65" s="1938">
        <v>3</v>
      </c>
      <c r="I65" s="1937">
        <f>H65/H$4*100</f>
        <v>2.8918449971081547E-2</v>
      </c>
      <c r="J65" s="1939" t="s">
        <v>2636</v>
      </c>
      <c r="K65" s="1940" t="s">
        <v>2637</v>
      </c>
      <c r="L65" s="1939">
        <v>6</v>
      </c>
      <c r="M65" s="1941">
        <f>L65/L$4*100</f>
        <v>7.0028011204481794E-2</v>
      </c>
      <c r="N65" s="1942" t="s">
        <v>2637</v>
      </c>
      <c r="O65" s="1941" t="s">
        <v>2602</v>
      </c>
      <c r="P65" s="1942" t="s">
        <v>2442</v>
      </c>
      <c r="Q65" s="1941" t="s">
        <v>2602</v>
      </c>
      <c r="R65" s="1942">
        <v>1</v>
      </c>
      <c r="S65" s="1941">
        <f>R65/R$4*100</f>
        <v>1.2588116817724069E-2</v>
      </c>
      <c r="T65" s="1942" t="s">
        <v>2602</v>
      </c>
      <c r="U65" s="1941" t="s">
        <v>2442</v>
      </c>
    </row>
    <row r="66" spans="1:21" ht="18.75" customHeight="1">
      <c r="A66" s="299" t="s">
        <v>2638</v>
      </c>
      <c r="B66" s="1935" t="s">
        <v>2430</v>
      </c>
      <c r="C66" s="1936" t="s">
        <v>2430</v>
      </c>
      <c r="D66" s="1935" t="s">
        <v>2430</v>
      </c>
      <c r="E66" s="1937" t="s">
        <v>2442</v>
      </c>
      <c r="F66" s="1938" t="s">
        <v>2430</v>
      </c>
      <c r="G66" s="1937" t="s">
        <v>2430</v>
      </c>
      <c r="H66" s="1938" t="s">
        <v>2442</v>
      </c>
      <c r="I66" s="1937" t="s">
        <v>2430</v>
      </c>
      <c r="J66" s="1939" t="s">
        <v>2442</v>
      </c>
      <c r="K66" s="1940" t="s">
        <v>2442</v>
      </c>
      <c r="L66" s="1939">
        <v>1</v>
      </c>
      <c r="M66" s="1941">
        <f>L66/L$4*100</f>
        <v>1.1671335200746966E-2</v>
      </c>
      <c r="N66" s="1942" t="s">
        <v>2430</v>
      </c>
      <c r="O66" s="1941" t="s">
        <v>2636</v>
      </c>
      <c r="P66" s="1942" t="s">
        <v>2636</v>
      </c>
      <c r="Q66" s="1941" t="s">
        <v>2442</v>
      </c>
      <c r="R66" s="1942" t="s">
        <v>2636</v>
      </c>
      <c r="S66" s="1941" t="s">
        <v>2442</v>
      </c>
      <c r="T66" s="1942" t="s">
        <v>2442</v>
      </c>
      <c r="U66" s="1941" t="s">
        <v>2442</v>
      </c>
    </row>
    <row r="67" spans="1:21" ht="18.75" customHeight="1">
      <c r="A67" s="299" t="s">
        <v>2639</v>
      </c>
      <c r="B67" s="1935">
        <f>2+0</f>
        <v>2</v>
      </c>
      <c r="C67" s="1936">
        <f>B67/B$4*100</f>
        <v>2.1244954323348206E-2</v>
      </c>
      <c r="D67" s="1935">
        <v>1</v>
      </c>
      <c r="E67" s="1937">
        <f>D67/D$4*100</f>
        <v>9.26526452330214E-3</v>
      </c>
      <c r="F67" s="1938">
        <v>1</v>
      </c>
      <c r="G67" s="1937">
        <f>F67/F$4*100</f>
        <v>8.7850303083545633E-3</v>
      </c>
      <c r="H67" s="1938" t="s">
        <v>2602</v>
      </c>
      <c r="I67" s="1937" t="s">
        <v>2602</v>
      </c>
      <c r="J67" s="1939" t="s">
        <v>2602</v>
      </c>
      <c r="K67" s="1940" t="s">
        <v>2602</v>
      </c>
      <c r="L67" s="1939" t="s">
        <v>2602</v>
      </c>
      <c r="M67" s="1941" t="s">
        <v>2602</v>
      </c>
      <c r="N67" s="1942">
        <f>3+3</f>
        <v>6</v>
      </c>
      <c r="O67" s="1941">
        <f>N67/N$4*100</f>
        <v>7.3782587309394979E-2</v>
      </c>
      <c r="P67" s="1942">
        <f>2+2</f>
        <v>4</v>
      </c>
      <c r="Q67" s="1941">
        <f>P67/P$4*100</f>
        <v>4.7348484848484848E-2</v>
      </c>
      <c r="R67" s="1942">
        <v>1</v>
      </c>
      <c r="S67" s="1941">
        <f>R67/R$4*100</f>
        <v>1.2588116817724069E-2</v>
      </c>
      <c r="T67" s="1942" t="s">
        <v>2430</v>
      </c>
      <c r="U67" s="1941" t="s">
        <v>2640</v>
      </c>
    </row>
    <row r="68" spans="1:21" ht="18.75" customHeight="1">
      <c r="A68" s="299" t="s">
        <v>2641</v>
      </c>
      <c r="B68" s="1935" t="s">
        <v>2442</v>
      </c>
      <c r="C68" s="1936" t="s">
        <v>2430</v>
      </c>
      <c r="D68" s="1935" t="s">
        <v>2442</v>
      </c>
      <c r="E68" s="1937" t="s">
        <v>2442</v>
      </c>
      <c r="F68" s="1938" t="s">
        <v>2640</v>
      </c>
      <c r="G68" s="1937" t="s">
        <v>2442</v>
      </c>
      <c r="H68" s="1938" t="s">
        <v>2442</v>
      </c>
      <c r="I68" s="1937" t="s">
        <v>2442</v>
      </c>
      <c r="J68" s="1939" t="s">
        <v>2442</v>
      </c>
      <c r="K68" s="1940" t="s">
        <v>2640</v>
      </c>
      <c r="L68" s="1939">
        <v>1</v>
      </c>
      <c r="M68" s="1941">
        <f>L68/L$4*100</f>
        <v>1.1671335200746966E-2</v>
      </c>
      <c r="N68" s="1942" t="s">
        <v>2640</v>
      </c>
      <c r="O68" s="1941" t="s">
        <v>2442</v>
      </c>
      <c r="P68" s="1942">
        <v>1</v>
      </c>
      <c r="Q68" s="1941">
        <f>P68/P$4*100</f>
        <v>1.1837121212121212E-2</v>
      </c>
      <c r="R68" s="1942" t="s">
        <v>2640</v>
      </c>
      <c r="S68" s="1941" t="s">
        <v>2442</v>
      </c>
      <c r="T68" s="1942" t="s">
        <v>2442</v>
      </c>
      <c r="U68" s="1941" t="s">
        <v>2442</v>
      </c>
    </row>
    <row r="69" spans="1:21" ht="18.75" customHeight="1">
      <c r="A69" s="299" t="s">
        <v>2642</v>
      </c>
      <c r="B69" s="1935" t="s">
        <v>2640</v>
      </c>
      <c r="C69" s="1936" t="s">
        <v>2640</v>
      </c>
      <c r="D69" s="1935">
        <v>1</v>
      </c>
      <c r="E69" s="1937">
        <f>D69/D$4*100</f>
        <v>9.26526452330214E-3</v>
      </c>
      <c r="F69" s="1938" t="s">
        <v>2430</v>
      </c>
      <c r="G69" s="1937" t="s">
        <v>2430</v>
      </c>
      <c r="H69" s="1938" t="s">
        <v>2430</v>
      </c>
      <c r="I69" s="1937" t="s">
        <v>2430</v>
      </c>
      <c r="J69" s="1939" t="s">
        <v>2442</v>
      </c>
      <c r="K69" s="1940" t="s">
        <v>2430</v>
      </c>
      <c r="L69" s="1939" t="s">
        <v>2442</v>
      </c>
      <c r="M69" s="1941" t="s">
        <v>2430</v>
      </c>
      <c r="N69" s="1942" t="s">
        <v>2430</v>
      </c>
      <c r="O69" s="1941" t="s">
        <v>2430</v>
      </c>
      <c r="P69" s="1942" t="s">
        <v>2430</v>
      </c>
      <c r="Q69" s="1941" t="s">
        <v>2430</v>
      </c>
      <c r="R69" s="1942" t="s">
        <v>2430</v>
      </c>
      <c r="S69" s="1941" t="s">
        <v>2430</v>
      </c>
      <c r="T69" s="1942" t="s">
        <v>2430</v>
      </c>
      <c r="U69" s="1941" t="s">
        <v>2430</v>
      </c>
    </row>
    <row r="70" spans="1:21" s="1849" customFormat="1" ht="18.75" customHeight="1">
      <c r="A70" s="1944" t="s">
        <v>2643</v>
      </c>
      <c r="B70" s="1945" t="s">
        <v>2430</v>
      </c>
      <c r="C70" s="1946" t="s">
        <v>2430</v>
      </c>
      <c r="D70" s="1945" t="s">
        <v>2430</v>
      </c>
      <c r="E70" s="1947" t="s">
        <v>2430</v>
      </c>
      <c r="F70" s="1945" t="s">
        <v>2430</v>
      </c>
      <c r="G70" s="1947" t="s">
        <v>2644</v>
      </c>
      <c r="H70" s="1945" t="s">
        <v>2442</v>
      </c>
      <c r="I70" s="1947" t="s">
        <v>2442</v>
      </c>
      <c r="J70" s="1948" t="s">
        <v>2442</v>
      </c>
      <c r="K70" s="1949" t="s">
        <v>2442</v>
      </c>
      <c r="L70" s="1948" t="s">
        <v>2442</v>
      </c>
      <c r="M70" s="1950" t="s">
        <v>2442</v>
      </c>
      <c r="N70" s="1948" t="s">
        <v>2442</v>
      </c>
      <c r="O70" s="1950" t="s">
        <v>2442</v>
      </c>
      <c r="P70" s="1948">
        <v>1</v>
      </c>
      <c r="Q70" s="1950">
        <f>P70/P$4*100</f>
        <v>1.1837121212121212E-2</v>
      </c>
      <c r="R70" s="1948">
        <v>1</v>
      </c>
      <c r="S70" s="1950">
        <f>R70/R$4*100</f>
        <v>1.2588116817724069E-2</v>
      </c>
      <c r="T70" s="1951" t="s">
        <v>2645</v>
      </c>
      <c r="U70" s="1952" t="s">
        <v>2645</v>
      </c>
    </row>
    <row r="71" spans="1:21" ht="20.100000000000001" customHeight="1">
      <c r="A71" s="1829" t="s">
        <v>2646</v>
      </c>
      <c r="L71" s="1953"/>
      <c r="M71" s="1954"/>
      <c r="P71" s="1955"/>
      <c r="Q71" s="1956"/>
      <c r="R71" s="1953"/>
      <c r="S71" s="1954"/>
      <c r="T71" s="1953"/>
      <c r="U71" s="1953"/>
    </row>
    <row r="72" spans="1:21" s="1794" customFormat="1" ht="19.5" customHeight="1">
      <c r="A72" s="1829" t="s">
        <v>2647</v>
      </c>
      <c r="B72" s="1602"/>
      <c r="C72" s="1602"/>
      <c r="D72" s="1602"/>
      <c r="E72" s="1602"/>
      <c r="F72" s="1602"/>
      <c r="G72" s="1602"/>
      <c r="H72" s="1602"/>
      <c r="I72" s="1602"/>
      <c r="J72" s="1602"/>
      <c r="K72" s="1602"/>
      <c r="L72" s="1602"/>
      <c r="M72" s="1602"/>
      <c r="N72" s="1957"/>
      <c r="O72" s="1957"/>
      <c r="P72" s="1958"/>
      <c r="Q72" s="1926"/>
      <c r="R72" s="1957"/>
      <c r="S72" s="1602"/>
      <c r="T72" s="1602"/>
      <c r="U72" s="1602"/>
    </row>
  </sheetData>
  <mergeCells count="11">
    <mergeCell ref="T2:U2"/>
    <mergeCell ref="A1:U1"/>
    <mergeCell ref="B2:C2"/>
    <mergeCell ref="D2:E2"/>
    <mergeCell ref="F2:G2"/>
    <mergeCell ref="H2:I2"/>
    <mergeCell ref="J2:K2"/>
    <mergeCell ref="L2:M2"/>
    <mergeCell ref="N2:O2"/>
    <mergeCell ref="P2:Q2"/>
    <mergeCell ref="R2:S2"/>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24"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M28"/>
  <sheetViews>
    <sheetView showGridLines="0" showRuler="0" zoomScale="99" zoomScaleNormal="125" zoomScalePageLayoutView="125" workbookViewId="0">
      <selection activeCell="B18" sqref="B18:D18"/>
    </sheetView>
  </sheetViews>
  <sheetFormatPr defaultColWidth="9" defaultRowHeight="15.75"/>
  <cols>
    <col min="1" max="1" width="21.875" style="1795" bestFit="1" customWidth="1"/>
    <col min="2" max="2" width="10.125" style="1795" bestFit="1" customWidth="1"/>
    <col min="3" max="3" width="9.125" style="1795" bestFit="1" customWidth="1"/>
    <col min="4" max="4" width="8.125" style="1795" customWidth="1"/>
    <col min="5" max="5" width="9.125" style="1795" bestFit="1" customWidth="1"/>
    <col min="6" max="6" width="11.25" style="1795" bestFit="1" customWidth="1"/>
    <col min="7" max="7" width="9.125" style="1795" bestFit="1" customWidth="1"/>
    <col min="8" max="8" width="11.25" style="1795" bestFit="1" customWidth="1"/>
    <col min="9" max="9" width="9.125" style="1795" bestFit="1" customWidth="1"/>
    <col min="10" max="10" width="10.125" style="1795" bestFit="1" customWidth="1"/>
    <col min="11" max="11" width="9.25" style="1795" bestFit="1" customWidth="1"/>
    <col min="12" max="16384" width="9" style="1795"/>
  </cols>
  <sheetData>
    <row r="1" spans="1:13" ht="23.25" customHeight="1">
      <c r="A1" s="3733" t="s">
        <v>2648</v>
      </c>
      <c r="B1" s="3733"/>
      <c r="C1" s="3733"/>
      <c r="D1" s="3733"/>
      <c r="E1" s="3733"/>
      <c r="F1" s="3733"/>
      <c r="G1" s="3733"/>
      <c r="H1" s="3733"/>
      <c r="I1" s="3733"/>
      <c r="J1" s="3733"/>
      <c r="K1" s="3733"/>
    </row>
    <row r="2" spans="1:13" s="1960" customFormat="1" ht="20.100000000000001" customHeight="1">
      <c r="A2" s="1832"/>
      <c r="B2" s="3722" t="s">
        <v>2477</v>
      </c>
      <c r="C2" s="3722"/>
      <c r="D2" s="3730" t="s">
        <v>2551</v>
      </c>
      <c r="E2" s="3722"/>
      <c r="F2" s="3730" t="s">
        <v>2552</v>
      </c>
      <c r="G2" s="3722"/>
      <c r="H2" s="3730" t="s">
        <v>2553</v>
      </c>
      <c r="I2" s="3722"/>
      <c r="J2" s="3730" t="s">
        <v>2554</v>
      </c>
      <c r="K2" s="3722"/>
    </row>
    <row r="3" spans="1:13" s="1960" customFormat="1" ht="20.100000000000001" customHeight="1">
      <c r="A3" s="1833"/>
      <c r="B3" s="1927" t="s">
        <v>2649</v>
      </c>
      <c r="C3" s="1859" t="s">
        <v>2650</v>
      </c>
      <c r="D3" s="1927" t="s">
        <v>2649</v>
      </c>
      <c r="E3" s="1859" t="s">
        <v>2651</v>
      </c>
      <c r="F3" s="1927" t="s">
        <v>2652</v>
      </c>
      <c r="G3" s="1859" t="s">
        <v>2651</v>
      </c>
      <c r="H3" s="1927" t="s">
        <v>2649</v>
      </c>
      <c r="I3" s="1859" t="s">
        <v>2651</v>
      </c>
      <c r="J3" s="1927" t="s">
        <v>2649</v>
      </c>
      <c r="K3" s="1788" t="s">
        <v>2651</v>
      </c>
    </row>
    <row r="4" spans="1:13" ht="20.100000000000001" customHeight="1">
      <c r="A4" s="1961" t="s">
        <v>2375</v>
      </c>
      <c r="B4" s="1962">
        <f>SUM(B5+B6)</f>
        <v>9414</v>
      </c>
      <c r="C4" s="1963">
        <f>B4/B$4*100</f>
        <v>100</v>
      </c>
      <c r="D4" s="1964">
        <f>SUM(D5+D6)</f>
        <v>10793</v>
      </c>
      <c r="E4" s="1936">
        <f>D4/D$4*100</f>
        <v>100</v>
      </c>
      <c r="F4" s="1938">
        <f>SUM(F5+F6)</f>
        <v>11383</v>
      </c>
      <c r="G4" s="1965">
        <f>F4/F$4*100</f>
        <v>100</v>
      </c>
      <c r="H4" s="1935">
        <f>SUM(H5:H6)</f>
        <v>10374</v>
      </c>
      <c r="I4" s="1965">
        <f>H4/H$4*100</f>
        <v>100</v>
      </c>
      <c r="J4" s="1934">
        <f>SUM(J5:J6)</f>
        <v>9359</v>
      </c>
      <c r="K4" s="1941">
        <f>J4/J$4*100</f>
        <v>100</v>
      </c>
    </row>
    <row r="5" spans="1:13" ht="16.5" customHeight="1">
      <c r="A5" s="1966" t="s">
        <v>2653</v>
      </c>
      <c r="B5" s="1938">
        <f>7280+778</f>
        <v>8058</v>
      </c>
      <c r="C5" s="1965">
        <f>B5/B$4*100</f>
        <v>85.595920968769917</v>
      </c>
      <c r="D5" s="1935">
        <v>9316</v>
      </c>
      <c r="E5" s="1936">
        <f t="shared" ref="E5:E13" si="0">D5/D$4*100</f>
        <v>86.315204299082737</v>
      </c>
      <c r="F5" s="1938">
        <v>9859</v>
      </c>
      <c r="G5" s="1965">
        <f t="shared" ref="G5:G13" si="1">F5/F$4*100</f>
        <v>86.611613810067638</v>
      </c>
      <c r="H5" s="1935">
        <v>8961</v>
      </c>
      <c r="I5" s="1965">
        <f t="shared" ref="I5:I13" si="2">H5/H$4*100</f>
        <v>86.379410063620583</v>
      </c>
      <c r="J5" s="1967">
        <v>8144</v>
      </c>
      <c r="K5" s="1941">
        <f t="shared" ref="K5:K13" si="3">J5/J$4*100</f>
        <v>87.017843786729358</v>
      </c>
    </row>
    <row r="6" spans="1:13" ht="17.25" customHeight="1">
      <c r="A6" s="1968" t="s">
        <v>2654</v>
      </c>
      <c r="B6" s="1945">
        <f>1054+302</f>
        <v>1356</v>
      </c>
      <c r="C6" s="1965">
        <f>B6/B$4*100</f>
        <v>14.404079031230083</v>
      </c>
      <c r="D6" s="1969">
        <v>1477</v>
      </c>
      <c r="E6" s="1946">
        <f t="shared" si="0"/>
        <v>13.68479570091726</v>
      </c>
      <c r="F6" s="1945">
        <v>1524</v>
      </c>
      <c r="G6" s="1946">
        <f t="shared" si="1"/>
        <v>13.388386189932355</v>
      </c>
      <c r="H6" s="1969">
        <v>1413</v>
      </c>
      <c r="I6" s="1946">
        <f t="shared" si="2"/>
        <v>13.62058993637941</v>
      </c>
      <c r="J6" s="1970">
        <v>1215</v>
      </c>
      <c r="K6" s="1952">
        <f t="shared" si="3"/>
        <v>12.982156213270649</v>
      </c>
    </row>
    <row r="7" spans="1:13" ht="20.100000000000001" customHeight="1">
      <c r="A7" s="299" t="s">
        <v>2655</v>
      </c>
      <c r="B7" s="1938">
        <v>5</v>
      </c>
      <c r="C7" s="1971">
        <f>B7/B$4*100</f>
        <v>5.3112385808370507E-2</v>
      </c>
      <c r="D7" s="1938">
        <v>4</v>
      </c>
      <c r="E7" s="1936">
        <f t="shared" si="0"/>
        <v>3.706105809320856E-2</v>
      </c>
      <c r="F7" s="1938">
        <v>2</v>
      </c>
      <c r="G7" s="1965">
        <f t="shared" si="1"/>
        <v>1.7570060616709127E-2</v>
      </c>
      <c r="H7" s="1935">
        <v>4</v>
      </c>
      <c r="I7" s="1965">
        <f t="shared" si="2"/>
        <v>3.8557933294775401E-2</v>
      </c>
      <c r="J7" s="1942">
        <v>2</v>
      </c>
      <c r="K7" s="1941">
        <f t="shared" si="3"/>
        <v>2.1369804466289135E-2</v>
      </c>
    </row>
    <row r="8" spans="1:13" ht="20.100000000000001" customHeight="1">
      <c r="A8" s="299" t="s">
        <v>2656</v>
      </c>
      <c r="B8" s="1938">
        <v>401</v>
      </c>
      <c r="C8" s="1936">
        <f t="shared" ref="C8:C13" si="4">B8/B$4*100</f>
        <v>4.2596133418313151</v>
      </c>
      <c r="D8" s="1938">
        <v>365</v>
      </c>
      <c r="E8" s="1936">
        <f t="shared" si="0"/>
        <v>3.3818215510052809</v>
      </c>
      <c r="F8" s="1938">
        <v>429</v>
      </c>
      <c r="G8" s="1965">
        <f t="shared" si="1"/>
        <v>3.7687780022841082</v>
      </c>
      <c r="H8" s="1935">
        <v>401</v>
      </c>
      <c r="I8" s="1965">
        <f t="shared" si="2"/>
        <v>3.8654328128012336</v>
      </c>
      <c r="J8" s="1942">
        <v>383</v>
      </c>
      <c r="K8" s="1941">
        <f t="shared" si="3"/>
        <v>4.0923175552943691</v>
      </c>
    </row>
    <row r="9" spans="1:13" ht="20.100000000000001" customHeight="1">
      <c r="A9" s="299" t="s">
        <v>2657</v>
      </c>
      <c r="B9" s="1938">
        <v>998</v>
      </c>
      <c r="C9" s="1936">
        <f t="shared" si="4"/>
        <v>10.601232207350755</v>
      </c>
      <c r="D9" s="1938">
        <v>1121</v>
      </c>
      <c r="E9" s="1936">
        <f t="shared" si="0"/>
        <v>10.386361530621699</v>
      </c>
      <c r="F9" s="1938">
        <v>1070</v>
      </c>
      <c r="G9" s="1965">
        <f t="shared" si="1"/>
        <v>9.3999824299393833</v>
      </c>
      <c r="H9" s="1935">
        <v>875</v>
      </c>
      <c r="I9" s="1965">
        <f t="shared" si="2"/>
        <v>8.4345479082321191</v>
      </c>
      <c r="J9" s="1942">
        <v>870</v>
      </c>
      <c r="K9" s="1941">
        <f t="shared" si="3"/>
        <v>9.295864942835772</v>
      </c>
    </row>
    <row r="10" spans="1:13" ht="20.100000000000001" customHeight="1">
      <c r="A10" s="299" t="s">
        <v>2658</v>
      </c>
      <c r="B10" s="1938">
        <v>1569</v>
      </c>
      <c r="C10" s="1936">
        <f t="shared" si="4"/>
        <v>16.666666666666664</v>
      </c>
      <c r="D10" s="1938">
        <v>1951</v>
      </c>
      <c r="E10" s="1936">
        <f t="shared" si="0"/>
        <v>18.076531084962475</v>
      </c>
      <c r="F10" s="1938">
        <v>1910</v>
      </c>
      <c r="G10" s="1965">
        <f t="shared" si="1"/>
        <v>16.779407888957216</v>
      </c>
      <c r="H10" s="1935">
        <v>1476</v>
      </c>
      <c r="I10" s="1965">
        <f t="shared" si="2"/>
        <v>14.227877385772123</v>
      </c>
      <c r="J10" s="1942">
        <v>1344</v>
      </c>
      <c r="K10" s="1941">
        <f t="shared" si="3"/>
        <v>14.360508601346297</v>
      </c>
    </row>
    <row r="11" spans="1:13" ht="20.100000000000001" customHeight="1">
      <c r="A11" s="299" t="s">
        <v>2659</v>
      </c>
      <c r="B11" s="1938">
        <v>1834</v>
      </c>
      <c r="C11" s="1936">
        <f t="shared" si="4"/>
        <v>19.481623114510306</v>
      </c>
      <c r="D11" s="1938">
        <v>2082</v>
      </c>
      <c r="E11" s="1936">
        <f t="shared" si="0"/>
        <v>19.290280737515054</v>
      </c>
      <c r="F11" s="1938">
        <v>2324</v>
      </c>
      <c r="G11" s="1965">
        <f t="shared" si="1"/>
        <v>20.416410436616005</v>
      </c>
      <c r="H11" s="1935">
        <v>1945</v>
      </c>
      <c r="I11" s="1965">
        <f t="shared" si="2"/>
        <v>18.748795064584538</v>
      </c>
      <c r="J11" s="1942">
        <v>1601</v>
      </c>
      <c r="K11" s="1941">
        <f t="shared" si="3"/>
        <v>17.106528475264451</v>
      </c>
    </row>
    <row r="12" spans="1:13" ht="20.100000000000001" customHeight="1">
      <c r="A12" s="299" t="s">
        <v>2660</v>
      </c>
      <c r="B12" s="1938">
        <v>2074</v>
      </c>
      <c r="C12" s="1936">
        <f t="shared" si="4"/>
        <v>22.031017633312089</v>
      </c>
      <c r="D12" s="1938">
        <v>2320</v>
      </c>
      <c r="E12" s="1936">
        <f t="shared" si="0"/>
        <v>21.495413694060968</v>
      </c>
      <c r="F12" s="1938">
        <v>2546</v>
      </c>
      <c r="G12" s="1965">
        <f t="shared" si="1"/>
        <v>22.366687165070719</v>
      </c>
      <c r="H12" s="1935">
        <v>2621</v>
      </c>
      <c r="I12" s="1965">
        <f t="shared" si="2"/>
        <v>25.265085791401582</v>
      </c>
      <c r="J12" s="1942">
        <v>2205</v>
      </c>
      <c r="K12" s="1941">
        <f t="shared" si="3"/>
        <v>23.560209424083769</v>
      </c>
      <c r="M12" s="1972"/>
    </row>
    <row r="13" spans="1:13" ht="20.100000000000001" customHeight="1" thickBot="1">
      <c r="A13" s="299" t="s">
        <v>2661</v>
      </c>
      <c r="B13" s="1938">
        <v>2533</v>
      </c>
      <c r="C13" s="1973">
        <f t="shared" si="4"/>
        <v>26.906734650520502</v>
      </c>
      <c r="D13" s="1938">
        <v>2950</v>
      </c>
      <c r="E13" s="1973">
        <f t="shared" si="0"/>
        <v>27.332530343741311</v>
      </c>
      <c r="F13" s="1938">
        <v>3102</v>
      </c>
      <c r="G13" s="1965">
        <f t="shared" si="1"/>
        <v>27.251164016515855</v>
      </c>
      <c r="H13" s="1935">
        <v>3052</v>
      </c>
      <c r="I13" s="1965">
        <f t="shared" si="2"/>
        <v>29.41970310391363</v>
      </c>
      <c r="J13" s="1942">
        <v>2954</v>
      </c>
      <c r="K13" s="1941">
        <f t="shared" si="3"/>
        <v>31.563201196709052</v>
      </c>
    </row>
    <row r="14" spans="1:13" s="1960" customFormat="1" ht="20.100000000000001" customHeight="1">
      <c r="A14" s="1974"/>
      <c r="B14" s="3814" t="s">
        <v>2662</v>
      </c>
      <c r="C14" s="3821"/>
      <c r="D14" s="3813" t="s">
        <v>2556</v>
      </c>
      <c r="E14" s="3821"/>
      <c r="F14" s="3813" t="s">
        <v>2557</v>
      </c>
      <c r="G14" s="3814"/>
      <c r="H14" s="3813" t="s">
        <v>2558</v>
      </c>
      <c r="I14" s="3814"/>
      <c r="J14" s="3813" t="s">
        <v>2559</v>
      </c>
      <c r="K14" s="3814"/>
    </row>
    <row r="15" spans="1:13" s="1960" customFormat="1" ht="20.100000000000001" customHeight="1">
      <c r="A15" s="1833"/>
      <c r="B15" s="1927" t="s">
        <v>2652</v>
      </c>
      <c r="C15" s="1859" t="s">
        <v>2651</v>
      </c>
      <c r="D15" s="1927" t="s">
        <v>2649</v>
      </c>
      <c r="E15" s="1859" t="s">
        <v>2663</v>
      </c>
      <c r="F15" s="1927" t="s">
        <v>2649</v>
      </c>
      <c r="G15" s="1859" t="s">
        <v>2664</v>
      </c>
      <c r="H15" s="1927" t="s">
        <v>2649</v>
      </c>
      <c r="I15" s="1859" t="s">
        <v>2651</v>
      </c>
      <c r="J15" s="1927" t="s">
        <v>2652</v>
      </c>
      <c r="K15" s="1788" t="s">
        <v>2651</v>
      </c>
    </row>
    <row r="16" spans="1:13" ht="20.100000000000001" customHeight="1">
      <c r="A16" s="1975" t="s">
        <v>2665</v>
      </c>
      <c r="B16" s="1934">
        <f>SUM(B17+B18)</f>
        <v>8568</v>
      </c>
      <c r="C16" s="1941">
        <f>SUM(C19:C25)</f>
        <v>100</v>
      </c>
      <c r="D16" s="1934">
        <f>SUM(D17:D18)</f>
        <v>8132</v>
      </c>
      <c r="E16" s="1941">
        <f>D16/D$16*100</f>
        <v>100</v>
      </c>
      <c r="F16" s="1934">
        <f>SUM(F17,F18)</f>
        <v>8448</v>
      </c>
      <c r="G16" s="1976">
        <f>F16/F$16*100</f>
        <v>100</v>
      </c>
      <c r="H16" s="1934">
        <f>SUM(H17,H18)</f>
        <v>7944</v>
      </c>
      <c r="I16" s="1941">
        <f>H16/H$16*100</f>
        <v>100</v>
      </c>
      <c r="J16" s="1934">
        <f>SUM(J17:J18)</f>
        <v>7829</v>
      </c>
      <c r="K16" s="1977">
        <f>J16/J$16*100</f>
        <v>100</v>
      </c>
    </row>
    <row r="17" spans="1:12" ht="16.5" customHeight="1">
      <c r="A17" s="1966" t="s">
        <v>2666</v>
      </c>
      <c r="B17" s="1967">
        <v>7410</v>
      </c>
      <c r="C17" s="1941">
        <f t="shared" ref="C17:C25" si="5">B17/B$16*100</f>
        <v>86.484593837535016</v>
      </c>
      <c r="D17" s="1967">
        <v>7042</v>
      </c>
      <c r="E17" s="1941">
        <f t="shared" ref="E17:E25" si="6">D17/D$16*100</f>
        <v>86.59616330545991</v>
      </c>
      <c r="F17" s="1978">
        <v>7351</v>
      </c>
      <c r="G17" s="1976">
        <f t="shared" ref="G17:G25" si="7">F17/F$16*100</f>
        <v>87.014678030303031</v>
      </c>
      <c r="H17" s="1967">
        <v>6907</v>
      </c>
      <c r="I17" s="1941">
        <f t="shared" ref="I17:I25" si="8">H17/H$16*100</f>
        <v>86.946122860020139</v>
      </c>
      <c r="J17" s="1967">
        <v>6803</v>
      </c>
      <c r="K17" s="1977">
        <f t="shared" ref="K17:K25" si="9">J17/J$16*100</f>
        <v>86.89487801762678</v>
      </c>
    </row>
    <row r="18" spans="1:12" ht="17.25" customHeight="1">
      <c r="A18" s="1968" t="s">
        <v>2654</v>
      </c>
      <c r="B18" s="1970">
        <v>1158</v>
      </c>
      <c r="C18" s="1950">
        <f t="shared" si="5"/>
        <v>13.515406162464986</v>
      </c>
      <c r="D18" s="1970">
        <v>1090</v>
      </c>
      <c r="E18" s="1950">
        <f t="shared" si="6"/>
        <v>13.40383669454009</v>
      </c>
      <c r="F18" s="1979">
        <v>1097</v>
      </c>
      <c r="G18" s="1980">
        <f t="shared" si="7"/>
        <v>12.985321969696969</v>
      </c>
      <c r="H18" s="1970">
        <v>1037</v>
      </c>
      <c r="I18" s="1950">
        <f t="shared" si="8"/>
        <v>13.053877139979859</v>
      </c>
      <c r="J18" s="1970">
        <v>1026</v>
      </c>
      <c r="K18" s="1981">
        <f t="shared" si="9"/>
        <v>13.105121982373227</v>
      </c>
    </row>
    <row r="19" spans="1:12" ht="20.100000000000001" customHeight="1">
      <c r="A19" s="299" t="s">
        <v>2667</v>
      </c>
      <c r="B19" s="1942">
        <v>5</v>
      </c>
      <c r="C19" s="1941">
        <f t="shared" si="5"/>
        <v>5.8356676003734828E-2</v>
      </c>
      <c r="D19" s="1942">
        <v>6</v>
      </c>
      <c r="E19" s="1941">
        <f t="shared" si="6"/>
        <v>7.3782587309394979E-2</v>
      </c>
      <c r="F19" s="1978">
        <v>7</v>
      </c>
      <c r="G19" s="1976">
        <f t="shared" si="7"/>
        <v>8.2859848484848481E-2</v>
      </c>
      <c r="H19" s="1942">
        <v>6</v>
      </c>
      <c r="I19" s="1941">
        <f t="shared" si="8"/>
        <v>7.5528700906344406E-2</v>
      </c>
      <c r="J19" s="1942">
        <v>4</v>
      </c>
      <c r="K19" s="1977">
        <f t="shared" si="9"/>
        <v>5.1092093498531103E-2</v>
      </c>
    </row>
    <row r="20" spans="1:12" ht="20.100000000000001" customHeight="1">
      <c r="A20" s="299" t="s">
        <v>2656</v>
      </c>
      <c r="B20" s="1942">
        <v>315</v>
      </c>
      <c r="C20" s="1941">
        <f t="shared" si="5"/>
        <v>3.6764705882352944</v>
      </c>
      <c r="D20" s="1942">
        <v>265</v>
      </c>
      <c r="E20" s="1941">
        <f t="shared" si="6"/>
        <v>3.2587309394982786</v>
      </c>
      <c r="F20" s="1978">
        <v>259</v>
      </c>
      <c r="G20" s="1976">
        <f t="shared" si="7"/>
        <v>3.065814393939394</v>
      </c>
      <c r="H20" s="1942">
        <v>223</v>
      </c>
      <c r="I20" s="1941">
        <f t="shared" si="8"/>
        <v>2.8071500503524671</v>
      </c>
      <c r="J20" s="1942">
        <v>232</v>
      </c>
      <c r="K20" s="1977">
        <f t="shared" si="9"/>
        <v>2.9633414229148038</v>
      </c>
    </row>
    <row r="21" spans="1:12" ht="20.100000000000001" customHeight="1">
      <c r="A21" s="299" t="s">
        <v>2668</v>
      </c>
      <c r="B21" s="1942">
        <v>746</v>
      </c>
      <c r="C21" s="1941">
        <f t="shared" si="5"/>
        <v>8.7068160597572355</v>
      </c>
      <c r="D21" s="1942">
        <v>614</v>
      </c>
      <c r="E21" s="1941">
        <f t="shared" si="6"/>
        <v>7.5504181013280869</v>
      </c>
      <c r="F21" s="1978">
        <v>592</v>
      </c>
      <c r="G21" s="1976">
        <f t="shared" si="7"/>
        <v>7.0075757575757569</v>
      </c>
      <c r="H21" s="1942">
        <v>466</v>
      </c>
      <c r="I21" s="1941">
        <f t="shared" si="8"/>
        <v>5.8660624370594157</v>
      </c>
      <c r="J21" s="1942">
        <v>509</v>
      </c>
      <c r="K21" s="1977">
        <f t="shared" si="9"/>
        <v>6.501468897688083</v>
      </c>
    </row>
    <row r="22" spans="1:12" ht="20.100000000000001" customHeight="1">
      <c r="A22" s="299" t="s">
        <v>2669</v>
      </c>
      <c r="B22" s="1942">
        <v>1192</v>
      </c>
      <c r="C22" s="1941">
        <f t="shared" si="5"/>
        <v>13.912231559290383</v>
      </c>
      <c r="D22" s="1942">
        <v>1134</v>
      </c>
      <c r="E22" s="1941">
        <f t="shared" si="6"/>
        <v>13.944909001475652</v>
      </c>
      <c r="F22" s="1978">
        <v>1101</v>
      </c>
      <c r="G22" s="1976">
        <f t="shared" si="7"/>
        <v>13.032670454545455</v>
      </c>
      <c r="H22" s="1942">
        <v>901</v>
      </c>
      <c r="I22" s="1941">
        <f t="shared" si="8"/>
        <v>11.341893252769387</v>
      </c>
      <c r="J22" s="1942">
        <v>930</v>
      </c>
      <c r="K22" s="1977">
        <f t="shared" si="9"/>
        <v>11.878911738408481</v>
      </c>
      <c r="L22" s="1982"/>
    </row>
    <row r="23" spans="1:12" ht="20.100000000000001" customHeight="1">
      <c r="A23" s="299" t="s">
        <v>2670</v>
      </c>
      <c r="B23" s="1942">
        <v>1519</v>
      </c>
      <c r="C23" s="1941">
        <f t="shared" si="5"/>
        <v>17.72875816993464</v>
      </c>
      <c r="D23" s="1942">
        <v>1543</v>
      </c>
      <c r="E23" s="1941">
        <f t="shared" si="6"/>
        <v>18.97442203639941</v>
      </c>
      <c r="F23" s="1978">
        <v>1610</v>
      </c>
      <c r="G23" s="1976">
        <f t="shared" si="7"/>
        <v>19.057765151515152</v>
      </c>
      <c r="H23" s="1942">
        <v>1312</v>
      </c>
      <c r="I23" s="1941">
        <f t="shared" si="8"/>
        <v>16.515609264853978</v>
      </c>
      <c r="J23" s="1942">
        <v>1399</v>
      </c>
      <c r="K23" s="1977">
        <f t="shared" si="9"/>
        <v>17.869459701111253</v>
      </c>
    </row>
    <row r="24" spans="1:12" ht="20.100000000000001" customHeight="1">
      <c r="A24" s="299" t="s">
        <v>2671</v>
      </c>
      <c r="B24" s="1942">
        <v>1908</v>
      </c>
      <c r="C24" s="1941">
        <f t="shared" si="5"/>
        <v>22.268907563025213</v>
      </c>
      <c r="D24" s="1942">
        <v>2015</v>
      </c>
      <c r="E24" s="1941">
        <f t="shared" si="6"/>
        <v>24.778652238071817</v>
      </c>
      <c r="F24" s="1978">
        <v>2172</v>
      </c>
      <c r="G24" s="1976">
        <f t="shared" si="7"/>
        <v>25.71022727272727</v>
      </c>
      <c r="H24" s="1942">
        <v>2092</v>
      </c>
      <c r="I24" s="1941">
        <f t="shared" si="8"/>
        <v>26.33434038267875</v>
      </c>
      <c r="J24" s="1942">
        <v>1966</v>
      </c>
      <c r="K24" s="1977">
        <f t="shared" si="9"/>
        <v>25.111763954528037</v>
      </c>
    </row>
    <row r="25" spans="1:12" ht="20.100000000000001" customHeight="1">
      <c r="A25" s="1944" t="s">
        <v>2672</v>
      </c>
      <c r="B25" s="1951">
        <v>2883</v>
      </c>
      <c r="C25" s="1950">
        <f t="shared" si="5"/>
        <v>33.648459383753504</v>
      </c>
      <c r="D25" s="1951">
        <v>2555</v>
      </c>
      <c r="E25" s="1950">
        <f t="shared" si="6"/>
        <v>31.419085095917364</v>
      </c>
      <c r="F25" s="1979">
        <v>2797</v>
      </c>
      <c r="G25" s="1980">
        <f t="shared" si="7"/>
        <v>33.108428030303031</v>
      </c>
      <c r="H25" s="1951">
        <v>2944</v>
      </c>
      <c r="I25" s="1950">
        <f t="shared" si="8"/>
        <v>37.059415911379659</v>
      </c>
      <c r="J25" s="1951">
        <v>2790</v>
      </c>
      <c r="K25" s="1981">
        <f t="shared" si="9"/>
        <v>35.636735215225443</v>
      </c>
    </row>
    <row r="26" spans="1:12" s="1785" customFormat="1" ht="20.100000000000001" customHeight="1">
      <c r="A26" s="3815" t="s">
        <v>2673</v>
      </c>
      <c r="B26" s="3816"/>
      <c r="C26" s="3816"/>
      <c r="E26" s="1983"/>
      <c r="F26" s="1826"/>
    </row>
    <row r="27" spans="1:12" s="1785" customFormat="1">
      <c r="A27" s="3817" t="s">
        <v>2674</v>
      </c>
      <c r="B27" s="3818"/>
      <c r="C27" s="3818"/>
      <c r="D27" s="3818"/>
      <c r="E27" s="3818"/>
      <c r="F27" s="3818"/>
      <c r="G27" s="3818"/>
      <c r="I27" s="1954"/>
      <c r="K27" s="1954"/>
    </row>
    <row r="28" spans="1:12">
      <c r="A28" s="3819" t="s">
        <v>2675</v>
      </c>
      <c r="B28" s="3820"/>
      <c r="C28" s="3820"/>
    </row>
  </sheetData>
  <mergeCells count="14">
    <mergeCell ref="A27:G27"/>
    <mergeCell ref="A28:C28"/>
    <mergeCell ref="B14:C14"/>
    <mergeCell ref="D14:E14"/>
    <mergeCell ref="F14:G14"/>
    <mergeCell ref="H14:I14"/>
    <mergeCell ref="J14:K14"/>
    <mergeCell ref="A26:C26"/>
    <mergeCell ref="A1:K1"/>
    <mergeCell ref="B2:C2"/>
    <mergeCell ref="D2:E2"/>
    <mergeCell ref="F2:G2"/>
    <mergeCell ref="H2:I2"/>
    <mergeCell ref="J2:K2"/>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62"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R49"/>
  <sheetViews>
    <sheetView showGridLines="0" topLeftCell="A22" zoomScale="90" zoomScaleNormal="130" workbookViewId="0">
      <selection activeCell="B18" sqref="B18:D18"/>
    </sheetView>
  </sheetViews>
  <sheetFormatPr defaultColWidth="9" defaultRowHeight="15.75"/>
  <cols>
    <col min="1" max="1" width="22.75" style="1795" bestFit="1" customWidth="1"/>
    <col min="2" max="2" width="9" style="1795"/>
    <col min="3" max="3" width="9" style="1795" customWidth="1"/>
    <col min="4" max="4" width="9" style="1795"/>
    <col min="5" max="5" width="9" style="1795" customWidth="1"/>
    <col min="6" max="17" width="9.625" style="1795" customWidth="1"/>
    <col min="18" max="16384" width="9" style="1795"/>
  </cols>
  <sheetData>
    <row r="1" spans="1:18" ht="24.75" customHeight="1">
      <c r="A1" s="3825" t="s">
        <v>2676</v>
      </c>
      <c r="B1" s="3825"/>
      <c r="C1" s="3825"/>
      <c r="D1" s="3825"/>
      <c r="E1" s="3825"/>
      <c r="F1" s="3825"/>
      <c r="G1" s="3825"/>
      <c r="H1" s="3825"/>
      <c r="I1" s="3825"/>
      <c r="J1" s="3825"/>
      <c r="K1" s="3825"/>
      <c r="L1" s="3825"/>
      <c r="M1" s="3825"/>
      <c r="N1" s="3825"/>
      <c r="O1" s="3825"/>
      <c r="P1" s="3825"/>
      <c r="Q1" s="3825"/>
    </row>
    <row r="2" spans="1:18" ht="16.5">
      <c r="A2" s="3797"/>
      <c r="B2" s="3799" t="s">
        <v>2677</v>
      </c>
      <c r="C2" s="3804"/>
      <c r="D2" s="3826" t="s">
        <v>2678</v>
      </c>
      <c r="E2" s="3804"/>
      <c r="F2" s="3803" t="s">
        <v>2679</v>
      </c>
      <c r="G2" s="3804"/>
      <c r="H2" s="3827" t="s">
        <v>2680</v>
      </c>
      <c r="I2" s="3828"/>
      <c r="J2" s="3827" t="s">
        <v>2681</v>
      </c>
      <c r="K2" s="3828"/>
      <c r="L2" s="3827" t="s">
        <v>2659</v>
      </c>
      <c r="M2" s="3828"/>
      <c r="N2" s="3827" t="s">
        <v>2660</v>
      </c>
      <c r="O2" s="3828"/>
      <c r="P2" s="3827" t="s">
        <v>2661</v>
      </c>
      <c r="Q2" s="3829"/>
    </row>
    <row r="3" spans="1:18" ht="16.5">
      <c r="A3" s="3821"/>
      <c r="B3" s="1927" t="s">
        <v>2649</v>
      </c>
      <c r="C3" s="1859" t="s">
        <v>2102</v>
      </c>
      <c r="D3" s="1927" t="s">
        <v>2649</v>
      </c>
      <c r="E3" s="1859" t="s">
        <v>2651</v>
      </c>
      <c r="F3" s="1927" t="s">
        <v>2649</v>
      </c>
      <c r="G3" s="1859" t="s">
        <v>2651</v>
      </c>
      <c r="H3" s="1927" t="s">
        <v>2563</v>
      </c>
      <c r="I3" s="1859" t="s">
        <v>2651</v>
      </c>
      <c r="J3" s="1927" t="s">
        <v>2649</v>
      </c>
      <c r="K3" s="1788" t="s">
        <v>2651</v>
      </c>
      <c r="L3" s="1859" t="s">
        <v>2563</v>
      </c>
      <c r="M3" s="1859" t="s">
        <v>2651</v>
      </c>
      <c r="N3" s="1927" t="s">
        <v>2652</v>
      </c>
      <c r="O3" s="1859" t="s">
        <v>2651</v>
      </c>
      <c r="P3" s="1927" t="s">
        <v>2563</v>
      </c>
      <c r="Q3" s="1788" t="s">
        <v>2651</v>
      </c>
    </row>
    <row r="4" spans="1:18" s="1849" customFormat="1" ht="17.45" customHeight="1">
      <c r="A4" s="299" t="s">
        <v>2375</v>
      </c>
      <c r="B4" s="1984">
        <f>SUM(B5:B47)</f>
        <v>7829</v>
      </c>
      <c r="C4" s="1985">
        <f t="shared" ref="C4:C47" si="0">B4/B$4*100</f>
        <v>100</v>
      </c>
      <c r="D4" s="1986">
        <f>SUM(D5:D47)</f>
        <v>4</v>
      </c>
      <c r="E4" s="1987">
        <f>D4/D$4*100</f>
        <v>100</v>
      </c>
      <c r="F4" s="1984">
        <f>SUM(F5:F47)</f>
        <v>232</v>
      </c>
      <c r="G4" s="1985">
        <f t="shared" ref="G4:G15" si="1">F4/F$4*100</f>
        <v>100</v>
      </c>
      <c r="H4" s="1984">
        <f>SUM(H5:H47)</f>
        <v>508</v>
      </c>
      <c r="I4" s="1985">
        <f t="shared" ref="I4:I19" si="2">H4/H$4*100</f>
        <v>100</v>
      </c>
      <c r="J4" s="1984">
        <f>SUM(J5:J47)</f>
        <v>930</v>
      </c>
      <c r="K4" s="1985">
        <f t="shared" ref="K4:K26" si="3">J4/J$4*100</f>
        <v>100</v>
      </c>
      <c r="L4" s="1984">
        <f>SUM(L5:L47)</f>
        <v>1399</v>
      </c>
      <c r="M4" s="1985">
        <f t="shared" ref="M4:M36" si="4">L4/L$4*100</f>
        <v>100</v>
      </c>
      <c r="N4" s="1984">
        <f>SUM(N5:N47)</f>
        <v>1966</v>
      </c>
      <c r="O4" s="1985">
        <f t="shared" ref="O4:O33" si="5">N4/N$4*100</f>
        <v>100</v>
      </c>
      <c r="P4" s="1984">
        <f>SUM(P5:P47)</f>
        <v>2790</v>
      </c>
      <c r="Q4" s="1987">
        <f t="shared" ref="Q4:Q42" si="6">P4/P$4*100</f>
        <v>100</v>
      </c>
      <c r="R4" s="1988"/>
    </row>
    <row r="5" spans="1:18" s="1849" customFormat="1" ht="17.45" customHeight="1">
      <c r="A5" s="299" t="s">
        <v>2682</v>
      </c>
      <c r="B5" s="1942">
        <f t="shared" ref="B5:B47" si="7">SUM(D5,F5,H5,J5,L5,N5,P5)</f>
        <v>2225</v>
      </c>
      <c r="C5" s="1989">
        <f t="shared" si="0"/>
        <v>28.419977008557929</v>
      </c>
      <c r="D5" s="1990" t="s">
        <v>1895</v>
      </c>
      <c r="E5" s="1991" t="s">
        <v>1895</v>
      </c>
      <c r="F5" s="1942">
        <f>21+3</f>
        <v>24</v>
      </c>
      <c r="G5" s="1989">
        <f t="shared" si="1"/>
        <v>10.344827586206897</v>
      </c>
      <c r="H5" s="1939">
        <f>84+10</f>
        <v>94</v>
      </c>
      <c r="I5" s="1989">
        <f t="shared" si="2"/>
        <v>18.503937007874015</v>
      </c>
      <c r="J5" s="1939">
        <f>197+47</f>
        <v>244</v>
      </c>
      <c r="K5" s="1989">
        <f t="shared" si="3"/>
        <v>26.236559139784948</v>
      </c>
      <c r="L5" s="1939">
        <f>391+48</f>
        <v>439</v>
      </c>
      <c r="M5" s="1989">
        <f t="shared" si="4"/>
        <v>31.379556826304505</v>
      </c>
      <c r="N5" s="1939">
        <f>582+39</f>
        <v>621</v>
      </c>
      <c r="O5" s="1989">
        <f t="shared" si="5"/>
        <v>31.586978636826039</v>
      </c>
      <c r="P5" s="1939">
        <f>745+58</f>
        <v>803</v>
      </c>
      <c r="Q5" s="1991">
        <f t="shared" si="6"/>
        <v>28.781362007168461</v>
      </c>
    </row>
    <row r="6" spans="1:18" s="1849" customFormat="1" ht="17.45" customHeight="1">
      <c r="A6" s="299" t="s">
        <v>2683</v>
      </c>
      <c r="B6" s="1942">
        <f t="shared" si="7"/>
        <v>1224</v>
      </c>
      <c r="C6" s="1989">
        <f t="shared" si="0"/>
        <v>15.634180610550516</v>
      </c>
      <c r="D6" s="1990">
        <v>1</v>
      </c>
      <c r="E6" s="1991">
        <f>D6/D$4*100</f>
        <v>25</v>
      </c>
      <c r="F6" s="1942">
        <f>80+10</f>
        <v>90</v>
      </c>
      <c r="G6" s="1989">
        <f t="shared" si="1"/>
        <v>38.793103448275865</v>
      </c>
      <c r="H6" s="1939">
        <f>157+31</f>
        <v>188</v>
      </c>
      <c r="I6" s="1989">
        <f t="shared" si="2"/>
        <v>37.00787401574803</v>
      </c>
      <c r="J6" s="1939">
        <f>190+38</f>
        <v>228</v>
      </c>
      <c r="K6" s="1989">
        <f t="shared" si="3"/>
        <v>24.516129032258064</v>
      </c>
      <c r="L6" s="1939">
        <f>189+36</f>
        <v>225</v>
      </c>
      <c r="M6" s="1989">
        <f t="shared" si="4"/>
        <v>16.082916368834884</v>
      </c>
      <c r="N6" s="1939">
        <f>209+35</f>
        <v>244</v>
      </c>
      <c r="O6" s="1989">
        <f t="shared" si="5"/>
        <v>12.410986775178026</v>
      </c>
      <c r="P6" s="1939">
        <f>222+26</f>
        <v>248</v>
      </c>
      <c r="Q6" s="1991">
        <f t="shared" si="6"/>
        <v>8.8888888888888893</v>
      </c>
    </row>
    <row r="7" spans="1:18" s="1849" customFormat="1" ht="17.45" customHeight="1">
      <c r="A7" s="299" t="s">
        <v>2684</v>
      </c>
      <c r="B7" s="1942">
        <f t="shared" si="7"/>
        <v>1078</v>
      </c>
      <c r="C7" s="1989">
        <f t="shared" si="0"/>
        <v>13.769319197854132</v>
      </c>
      <c r="D7" s="1990">
        <v>1</v>
      </c>
      <c r="E7" s="1991">
        <f>D7/D$4*100</f>
        <v>25</v>
      </c>
      <c r="F7" s="1942">
        <v>6</v>
      </c>
      <c r="G7" s="1989">
        <f t="shared" si="1"/>
        <v>2.5862068965517242</v>
      </c>
      <c r="H7" s="1939">
        <v>18</v>
      </c>
      <c r="I7" s="1989">
        <f t="shared" si="2"/>
        <v>3.5433070866141732</v>
      </c>
      <c r="J7" s="1939">
        <v>75</v>
      </c>
      <c r="K7" s="1989">
        <f t="shared" si="3"/>
        <v>8.064516129032258</v>
      </c>
      <c r="L7" s="1939">
        <f>122+18</f>
        <v>140</v>
      </c>
      <c r="M7" s="1989">
        <f t="shared" si="4"/>
        <v>10.007147962830592</v>
      </c>
      <c r="N7" s="1939">
        <f>257+59</f>
        <v>316</v>
      </c>
      <c r="O7" s="1989">
        <f t="shared" si="5"/>
        <v>16.073245167853507</v>
      </c>
      <c r="P7" s="1939">
        <f>422+100</f>
        <v>522</v>
      </c>
      <c r="Q7" s="1991">
        <f t="shared" si="6"/>
        <v>18.70967741935484</v>
      </c>
    </row>
    <row r="8" spans="1:18" s="1849" customFormat="1" ht="17.45" customHeight="1">
      <c r="A8" s="299" t="s">
        <v>2685</v>
      </c>
      <c r="B8" s="1942">
        <f t="shared" si="7"/>
        <v>684</v>
      </c>
      <c r="C8" s="1989">
        <f t="shared" si="0"/>
        <v>8.736747988248819</v>
      </c>
      <c r="D8" s="1990">
        <v>2</v>
      </c>
      <c r="E8" s="1991">
        <f>D8/D$4*100</f>
        <v>50</v>
      </c>
      <c r="F8" s="1942">
        <f>52+3</f>
        <v>55</v>
      </c>
      <c r="G8" s="1989">
        <f t="shared" si="1"/>
        <v>23.706896551724139</v>
      </c>
      <c r="H8" s="1939">
        <f>76+11</f>
        <v>87</v>
      </c>
      <c r="I8" s="1989">
        <f t="shared" si="2"/>
        <v>17.125984251968504</v>
      </c>
      <c r="J8" s="1939">
        <f>104+18</f>
        <v>122</v>
      </c>
      <c r="K8" s="1989">
        <f t="shared" si="3"/>
        <v>13.118279569892474</v>
      </c>
      <c r="L8" s="1939">
        <f>132+16</f>
        <v>148</v>
      </c>
      <c r="M8" s="1989">
        <f t="shared" si="4"/>
        <v>10.578984989278057</v>
      </c>
      <c r="N8" s="1939">
        <f>134+2</f>
        <v>136</v>
      </c>
      <c r="O8" s="1989">
        <f t="shared" si="5"/>
        <v>6.9175991861648018</v>
      </c>
      <c r="P8" s="1939">
        <f>132+2</f>
        <v>134</v>
      </c>
      <c r="Q8" s="1991">
        <f t="shared" si="6"/>
        <v>4.8028673835125453</v>
      </c>
    </row>
    <row r="9" spans="1:18" s="1849" customFormat="1" ht="17.45" customHeight="1">
      <c r="A9" s="299" t="s">
        <v>2686</v>
      </c>
      <c r="B9" s="1942">
        <f t="shared" si="7"/>
        <v>618</v>
      </c>
      <c r="C9" s="1989">
        <f t="shared" si="0"/>
        <v>7.8937284455230561</v>
      </c>
      <c r="D9" s="1990" t="s">
        <v>5</v>
      </c>
      <c r="E9" s="1991" t="s">
        <v>5</v>
      </c>
      <c r="F9" s="1942">
        <v>5</v>
      </c>
      <c r="G9" s="1989">
        <f t="shared" si="1"/>
        <v>2.1551724137931036</v>
      </c>
      <c r="H9" s="1939">
        <v>8</v>
      </c>
      <c r="I9" s="1989">
        <f t="shared" si="2"/>
        <v>1.5748031496062991</v>
      </c>
      <c r="J9" s="1939">
        <f>27+4</f>
        <v>31</v>
      </c>
      <c r="K9" s="1989">
        <f t="shared" si="3"/>
        <v>3.3333333333333335</v>
      </c>
      <c r="L9" s="1939">
        <f>84+12</f>
        <v>96</v>
      </c>
      <c r="M9" s="1989">
        <f t="shared" si="4"/>
        <v>6.8620443173695493</v>
      </c>
      <c r="N9" s="1939">
        <f>145+26</f>
        <v>171</v>
      </c>
      <c r="O9" s="1989">
        <f t="shared" si="5"/>
        <v>8.6978636826042734</v>
      </c>
      <c r="P9" s="1939">
        <f>256+51</f>
        <v>307</v>
      </c>
      <c r="Q9" s="1991">
        <f t="shared" si="6"/>
        <v>11.003584229390681</v>
      </c>
    </row>
    <row r="10" spans="1:18" s="1849" customFormat="1" ht="17.45" customHeight="1">
      <c r="A10" s="299" t="s">
        <v>2687</v>
      </c>
      <c r="B10" s="1942">
        <f t="shared" si="7"/>
        <v>410</v>
      </c>
      <c r="C10" s="1989">
        <f t="shared" si="0"/>
        <v>5.2369395835994377</v>
      </c>
      <c r="D10" s="1990" t="s">
        <v>5</v>
      </c>
      <c r="E10" s="1991" t="s">
        <v>1898</v>
      </c>
      <c r="F10" s="1942">
        <v>10</v>
      </c>
      <c r="G10" s="1989">
        <f t="shared" si="1"/>
        <v>4.3103448275862073</v>
      </c>
      <c r="H10" s="1939">
        <f>26+5</f>
        <v>31</v>
      </c>
      <c r="I10" s="1989">
        <f t="shared" si="2"/>
        <v>6.1023622047244093</v>
      </c>
      <c r="J10" s="1939">
        <f>38+6</f>
        <v>44</v>
      </c>
      <c r="K10" s="1989">
        <f t="shared" si="3"/>
        <v>4.731182795698925</v>
      </c>
      <c r="L10" s="1939">
        <f>64+5</f>
        <v>69</v>
      </c>
      <c r="M10" s="1989">
        <f t="shared" si="4"/>
        <v>4.9320943531093642</v>
      </c>
      <c r="N10" s="1939">
        <f>83+12</f>
        <v>95</v>
      </c>
      <c r="O10" s="1989">
        <f t="shared" si="5"/>
        <v>4.832146490335707</v>
      </c>
      <c r="P10" s="1939">
        <f>146+15</f>
        <v>161</v>
      </c>
      <c r="Q10" s="1991">
        <f t="shared" si="6"/>
        <v>5.7706093189964154</v>
      </c>
    </row>
    <row r="11" spans="1:18" s="1849" customFormat="1" ht="17.45" customHeight="1">
      <c r="A11" s="299" t="s">
        <v>2688</v>
      </c>
      <c r="B11" s="1942">
        <f t="shared" si="7"/>
        <v>302</v>
      </c>
      <c r="C11" s="1989">
        <f t="shared" si="0"/>
        <v>3.8574530591390981</v>
      </c>
      <c r="D11" s="1990" t="s">
        <v>5</v>
      </c>
      <c r="E11" s="1991" t="s">
        <v>2689</v>
      </c>
      <c r="F11" s="1942">
        <v>1</v>
      </c>
      <c r="G11" s="1989">
        <f t="shared" si="1"/>
        <v>0.43103448275862066</v>
      </c>
      <c r="H11" s="1939">
        <v>4</v>
      </c>
      <c r="I11" s="1989">
        <f t="shared" si="2"/>
        <v>0.78740157480314954</v>
      </c>
      <c r="J11" s="1939">
        <v>26</v>
      </c>
      <c r="K11" s="1989">
        <f t="shared" si="3"/>
        <v>2.795698924731183</v>
      </c>
      <c r="L11" s="1939">
        <v>44</v>
      </c>
      <c r="M11" s="1989">
        <f t="shared" si="4"/>
        <v>3.1451036454610435</v>
      </c>
      <c r="N11" s="1939">
        <v>76</v>
      </c>
      <c r="O11" s="1989">
        <f t="shared" si="5"/>
        <v>3.8657171922685656</v>
      </c>
      <c r="P11" s="1939">
        <v>151</v>
      </c>
      <c r="Q11" s="1991">
        <f t="shared" si="6"/>
        <v>5.4121863799283156</v>
      </c>
    </row>
    <row r="12" spans="1:18" s="1849" customFormat="1" ht="17.45" customHeight="1">
      <c r="A12" s="299" t="s">
        <v>2690</v>
      </c>
      <c r="B12" s="1942">
        <f t="shared" si="7"/>
        <v>261</v>
      </c>
      <c r="C12" s="1989">
        <f t="shared" si="0"/>
        <v>3.3337591007791545</v>
      </c>
      <c r="D12" s="1990" t="s">
        <v>5</v>
      </c>
      <c r="E12" s="1991" t="s">
        <v>5</v>
      </c>
      <c r="F12" s="1942">
        <v>2</v>
      </c>
      <c r="G12" s="1989">
        <f t="shared" si="1"/>
        <v>0.86206896551724133</v>
      </c>
      <c r="H12" s="1939">
        <v>9</v>
      </c>
      <c r="I12" s="1989">
        <f t="shared" si="2"/>
        <v>1.7716535433070866</v>
      </c>
      <c r="J12" s="1939">
        <v>23</v>
      </c>
      <c r="K12" s="1989">
        <f t="shared" si="3"/>
        <v>2.4731182795698925</v>
      </c>
      <c r="L12" s="1939">
        <v>42</v>
      </c>
      <c r="M12" s="1989">
        <f t="shared" si="4"/>
        <v>3.0021443888491777</v>
      </c>
      <c r="N12" s="1939">
        <v>68</v>
      </c>
      <c r="O12" s="1989">
        <f t="shared" si="5"/>
        <v>3.4587995930824009</v>
      </c>
      <c r="P12" s="1939">
        <v>117</v>
      </c>
      <c r="Q12" s="1991">
        <f t="shared" si="6"/>
        <v>4.1935483870967749</v>
      </c>
    </row>
    <row r="13" spans="1:18" s="1849" customFormat="1" ht="17.45" customHeight="1">
      <c r="A13" s="299" t="s">
        <v>2691</v>
      </c>
      <c r="B13" s="1942">
        <f t="shared" si="7"/>
        <v>214</v>
      </c>
      <c r="C13" s="1989">
        <f t="shared" si="0"/>
        <v>2.733427002171414</v>
      </c>
      <c r="D13" s="1990" t="s">
        <v>5</v>
      </c>
      <c r="E13" s="1991" t="s">
        <v>5</v>
      </c>
      <c r="F13" s="1942">
        <v>16</v>
      </c>
      <c r="G13" s="1989">
        <f t="shared" si="1"/>
        <v>6.8965517241379306</v>
      </c>
      <c r="H13" s="1939">
        <v>22</v>
      </c>
      <c r="I13" s="1989">
        <f t="shared" si="2"/>
        <v>4.3307086614173231</v>
      </c>
      <c r="J13" s="1939">
        <v>40</v>
      </c>
      <c r="K13" s="1989">
        <f t="shared" si="3"/>
        <v>4.3010752688172049</v>
      </c>
      <c r="L13" s="1939">
        <v>51</v>
      </c>
      <c r="M13" s="1989">
        <f t="shared" si="4"/>
        <v>3.6454610436025736</v>
      </c>
      <c r="N13" s="1939">
        <v>46</v>
      </c>
      <c r="O13" s="1989">
        <f t="shared" si="5"/>
        <v>2.3397761953204474</v>
      </c>
      <c r="P13" s="1939">
        <v>39</v>
      </c>
      <c r="Q13" s="1991">
        <f t="shared" si="6"/>
        <v>1.3978494623655915</v>
      </c>
    </row>
    <row r="14" spans="1:18" s="1849" customFormat="1" ht="17.45" customHeight="1">
      <c r="A14" s="299" t="s">
        <v>2692</v>
      </c>
      <c r="B14" s="1942">
        <f t="shared" si="7"/>
        <v>134</v>
      </c>
      <c r="C14" s="1989">
        <f t="shared" si="0"/>
        <v>1.7115851322007918</v>
      </c>
      <c r="D14" s="1990" t="s">
        <v>5</v>
      </c>
      <c r="E14" s="1991" t="s">
        <v>5</v>
      </c>
      <c r="F14" s="1942">
        <v>6</v>
      </c>
      <c r="G14" s="1989">
        <f t="shared" si="1"/>
        <v>2.5862068965517242</v>
      </c>
      <c r="H14" s="1939">
        <v>13</v>
      </c>
      <c r="I14" s="1989">
        <f t="shared" si="2"/>
        <v>2.5590551181102361</v>
      </c>
      <c r="J14" s="1939">
        <v>24</v>
      </c>
      <c r="K14" s="1989">
        <f t="shared" si="3"/>
        <v>2.5806451612903225</v>
      </c>
      <c r="L14" s="1939">
        <v>27</v>
      </c>
      <c r="M14" s="1989">
        <f t="shared" si="4"/>
        <v>1.9299499642601858</v>
      </c>
      <c r="N14" s="1939">
        <v>25</v>
      </c>
      <c r="O14" s="1989">
        <f t="shared" si="5"/>
        <v>1.2716174974567651</v>
      </c>
      <c r="P14" s="1939">
        <v>39</v>
      </c>
      <c r="Q14" s="1991">
        <f t="shared" si="6"/>
        <v>1.3978494623655915</v>
      </c>
    </row>
    <row r="15" spans="1:18" s="1849" customFormat="1" ht="17.45" customHeight="1">
      <c r="A15" s="299" t="s">
        <v>2693</v>
      </c>
      <c r="B15" s="1942">
        <f t="shared" si="7"/>
        <v>112</v>
      </c>
      <c r="C15" s="1989">
        <f t="shared" si="0"/>
        <v>1.4305786179588709</v>
      </c>
      <c r="D15" s="1990" t="s">
        <v>5</v>
      </c>
      <c r="E15" s="1991" t="s">
        <v>5</v>
      </c>
      <c r="F15" s="1942">
        <f>2+1</f>
        <v>3</v>
      </c>
      <c r="G15" s="1989">
        <f t="shared" si="1"/>
        <v>1.2931034482758621</v>
      </c>
      <c r="H15" s="1939">
        <f>4+1</f>
        <v>5</v>
      </c>
      <c r="I15" s="1989">
        <f t="shared" si="2"/>
        <v>0.98425196850393704</v>
      </c>
      <c r="J15" s="1939">
        <f>13+3</f>
        <v>16</v>
      </c>
      <c r="K15" s="1989">
        <f t="shared" si="3"/>
        <v>1.7204301075268817</v>
      </c>
      <c r="L15" s="1939">
        <f>22+5</f>
        <v>27</v>
      </c>
      <c r="M15" s="1989">
        <f t="shared" si="4"/>
        <v>1.9299499642601858</v>
      </c>
      <c r="N15" s="1939">
        <f>18+6</f>
        <v>24</v>
      </c>
      <c r="O15" s="1989">
        <f t="shared" si="5"/>
        <v>1.2207527975584944</v>
      </c>
      <c r="P15" s="1939">
        <f>26+11</f>
        <v>37</v>
      </c>
      <c r="Q15" s="1991">
        <f t="shared" si="6"/>
        <v>1.3261648745519712</v>
      </c>
    </row>
    <row r="16" spans="1:18" s="1849" customFormat="1" ht="17.45" customHeight="1">
      <c r="A16" s="299" t="s">
        <v>2694</v>
      </c>
      <c r="B16" s="1942">
        <f t="shared" si="7"/>
        <v>67</v>
      </c>
      <c r="C16" s="1989">
        <f t="shared" si="0"/>
        <v>0.85579256610039589</v>
      </c>
      <c r="D16" s="1990" t="s">
        <v>5</v>
      </c>
      <c r="E16" s="1991" t="s">
        <v>5</v>
      </c>
      <c r="F16" s="1942" t="s">
        <v>1898</v>
      </c>
      <c r="G16" s="1989" t="s">
        <v>5</v>
      </c>
      <c r="H16" s="1939">
        <f>2+1</f>
        <v>3</v>
      </c>
      <c r="I16" s="1989">
        <f t="shared" si="2"/>
        <v>0.59055118110236215</v>
      </c>
      <c r="J16" s="1939">
        <f>5+2</f>
        <v>7</v>
      </c>
      <c r="K16" s="1989">
        <f t="shared" si="3"/>
        <v>0.75268817204301075</v>
      </c>
      <c r="L16" s="1939">
        <f>5+4</f>
        <v>9</v>
      </c>
      <c r="M16" s="1989">
        <f t="shared" si="4"/>
        <v>0.64331665475339528</v>
      </c>
      <c r="N16" s="1939">
        <f>17+5</f>
        <v>22</v>
      </c>
      <c r="O16" s="1989">
        <f t="shared" si="5"/>
        <v>1.119023397761953</v>
      </c>
      <c r="P16" s="1939">
        <f>16+10</f>
        <v>26</v>
      </c>
      <c r="Q16" s="1991">
        <f t="shared" si="6"/>
        <v>0.93189964157706107</v>
      </c>
    </row>
    <row r="17" spans="1:17" s="1849" customFormat="1" ht="17.45" customHeight="1">
      <c r="A17" s="299" t="s">
        <v>2695</v>
      </c>
      <c r="B17" s="1942">
        <f t="shared" si="7"/>
        <v>65</v>
      </c>
      <c r="C17" s="1989">
        <f t="shared" si="0"/>
        <v>0.83024651935113047</v>
      </c>
      <c r="D17" s="1990" t="s">
        <v>5</v>
      </c>
      <c r="E17" s="1991" t="s">
        <v>5</v>
      </c>
      <c r="F17" s="1942">
        <v>1</v>
      </c>
      <c r="G17" s="1989">
        <f>F17/F$4*100</f>
        <v>0.43103448275862066</v>
      </c>
      <c r="H17" s="1939">
        <v>2</v>
      </c>
      <c r="I17" s="1989">
        <f t="shared" si="2"/>
        <v>0.39370078740157477</v>
      </c>
      <c r="J17" s="1939">
        <v>7</v>
      </c>
      <c r="K17" s="1989">
        <f t="shared" si="3"/>
        <v>0.75268817204301075</v>
      </c>
      <c r="L17" s="1939">
        <v>12</v>
      </c>
      <c r="M17" s="1989">
        <f t="shared" si="4"/>
        <v>0.85775553967119367</v>
      </c>
      <c r="N17" s="1939">
        <v>16</v>
      </c>
      <c r="O17" s="1989">
        <f t="shared" si="5"/>
        <v>0.81383519837232954</v>
      </c>
      <c r="P17" s="1939">
        <v>27</v>
      </c>
      <c r="Q17" s="1991">
        <f t="shared" si="6"/>
        <v>0.967741935483871</v>
      </c>
    </row>
    <row r="18" spans="1:17" s="1849" customFormat="1" ht="17.45" customHeight="1">
      <c r="A18" s="299" t="s">
        <v>2696</v>
      </c>
      <c r="B18" s="1942">
        <f t="shared" si="7"/>
        <v>53</v>
      </c>
      <c r="C18" s="1989">
        <f t="shared" si="0"/>
        <v>0.67697023885553709</v>
      </c>
      <c r="D18" s="1990" t="s">
        <v>5</v>
      </c>
      <c r="E18" s="1991" t="s">
        <v>5</v>
      </c>
      <c r="F18" s="1942" t="s">
        <v>1898</v>
      </c>
      <c r="G18" s="1989" t="s">
        <v>5</v>
      </c>
      <c r="H18" s="1939">
        <f>4+1</f>
        <v>5</v>
      </c>
      <c r="I18" s="1989">
        <f t="shared" si="2"/>
        <v>0.98425196850393704</v>
      </c>
      <c r="J18" s="1939">
        <v>1</v>
      </c>
      <c r="K18" s="1989">
        <f t="shared" si="3"/>
        <v>0.10752688172043011</v>
      </c>
      <c r="L18" s="1939">
        <v>9</v>
      </c>
      <c r="M18" s="1989">
        <f t="shared" si="4"/>
        <v>0.64331665475339528</v>
      </c>
      <c r="N18" s="1939">
        <f>12+3</f>
        <v>15</v>
      </c>
      <c r="O18" s="1989">
        <f t="shared" si="5"/>
        <v>0.76297049847405907</v>
      </c>
      <c r="P18" s="1939">
        <f>22+1</f>
        <v>23</v>
      </c>
      <c r="Q18" s="1991">
        <f t="shared" si="6"/>
        <v>0.82437275985663083</v>
      </c>
    </row>
    <row r="19" spans="1:17" s="1849" customFormat="1" ht="17.45" customHeight="1">
      <c r="A19" s="299" t="s">
        <v>2578</v>
      </c>
      <c r="B19" s="1942">
        <f t="shared" si="7"/>
        <v>38</v>
      </c>
      <c r="C19" s="1989">
        <f t="shared" si="0"/>
        <v>0.48537488823604547</v>
      </c>
      <c r="D19" s="1990" t="s">
        <v>5</v>
      </c>
      <c r="E19" s="1991" t="s">
        <v>2697</v>
      </c>
      <c r="F19" s="1992">
        <v>7</v>
      </c>
      <c r="G19" s="1989">
        <f>F19/F$4*100</f>
        <v>3.0172413793103448</v>
      </c>
      <c r="H19" s="1990">
        <v>4</v>
      </c>
      <c r="I19" s="1989">
        <f t="shared" si="2"/>
        <v>0.78740157480314954</v>
      </c>
      <c r="J19" s="1990">
        <v>5</v>
      </c>
      <c r="K19" s="1989">
        <f t="shared" si="3"/>
        <v>0.53763440860215062</v>
      </c>
      <c r="L19" s="1990">
        <v>9</v>
      </c>
      <c r="M19" s="1989">
        <f t="shared" si="4"/>
        <v>0.64331665475339528</v>
      </c>
      <c r="N19" s="1990">
        <v>2</v>
      </c>
      <c r="O19" s="1989">
        <f t="shared" si="5"/>
        <v>0.10172939979654119</v>
      </c>
      <c r="P19" s="1990">
        <v>11</v>
      </c>
      <c r="Q19" s="1991">
        <f t="shared" si="6"/>
        <v>0.39426523297491045</v>
      </c>
    </row>
    <row r="20" spans="1:17" s="1849" customFormat="1" ht="17.45" customHeight="1">
      <c r="A20" s="299" t="s">
        <v>2698</v>
      </c>
      <c r="B20" s="1942">
        <f t="shared" si="7"/>
        <v>38</v>
      </c>
      <c r="C20" s="1989">
        <f t="shared" si="0"/>
        <v>0.48537488823604547</v>
      </c>
      <c r="D20" s="1990" t="s">
        <v>5</v>
      </c>
      <c r="E20" s="1991" t="s">
        <v>1898</v>
      </c>
      <c r="F20" s="1942" t="s">
        <v>2697</v>
      </c>
      <c r="G20" s="1989" t="s">
        <v>2697</v>
      </c>
      <c r="H20" s="1939" t="s">
        <v>2697</v>
      </c>
      <c r="I20" s="1989" t="s">
        <v>1898</v>
      </c>
      <c r="J20" s="1939">
        <f>2+1</f>
        <v>3</v>
      </c>
      <c r="K20" s="1989">
        <f t="shared" si="3"/>
        <v>0.32258064516129031</v>
      </c>
      <c r="L20" s="1939">
        <v>4</v>
      </c>
      <c r="M20" s="1989">
        <f t="shared" si="4"/>
        <v>0.28591851322373124</v>
      </c>
      <c r="N20" s="1939">
        <f>7+1</f>
        <v>8</v>
      </c>
      <c r="O20" s="1989">
        <f t="shared" si="5"/>
        <v>0.40691759918616477</v>
      </c>
      <c r="P20" s="1939">
        <f>20+3</f>
        <v>23</v>
      </c>
      <c r="Q20" s="1991">
        <f t="shared" si="6"/>
        <v>0.82437275985663083</v>
      </c>
    </row>
    <row r="21" spans="1:17" s="1849" customFormat="1" ht="17.45" customHeight="1">
      <c r="A21" s="299" t="s">
        <v>2699</v>
      </c>
      <c r="B21" s="1942">
        <f t="shared" si="7"/>
        <v>38</v>
      </c>
      <c r="C21" s="1989">
        <f t="shared" si="0"/>
        <v>0.48537488823604547</v>
      </c>
      <c r="D21" s="1990" t="s">
        <v>5</v>
      </c>
      <c r="E21" s="1991" t="s">
        <v>1898</v>
      </c>
      <c r="F21" s="1942">
        <v>2</v>
      </c>
      <c r="G21" s="1989">
        <f>F21/F$4*100</f>
        <v>0.86206896551724133</v>
      </c>
      <c r="H21" s="1939">
        <v>2</v>
      </c>
      <c r="I21" s="1989">
        <f>H21/H$4*100</f>
        <v>0.39370078740157477</v>
      </c>
      <c r="J21" s="1939">
        <v>6</v>
      </c>
      <c r="K21" s="1989">
        <f t="shared" si="3"/>
        <v>0.64516129032258063</v>
      </c>
      <c r="L21" s="1939">
        <v>12</v>
      </c>
      <c r="M21" s="1989">
        <f t="shared" si="4"/>
        <v>0.85775553967119367</v>
      </c>
      <c r="N21" s="1939">
        <v>10</v>
      </c>
      <c r="O21" s="1989">
        <f t="shared" si="5"/>
        <v>0.50864699898270604</v>
      </c>
      <c r="P21" s="1939">
        <v>6</v>
      </c>
      <c r="Q21" s="1991">
        <f t="shared" si="6"/>
        <v>0.21505376344086022</v>
      </c>
    </row>
    <row r="22" spans="1:17" s="1849" customFormat="1" ht="17.45" customHeight="1">
      <c r="A22" s="299" t="s">
        <v>2700</v>
      </c>
      <c r="B22" s="1942">
        <f t="shared" si="7"/>
        <v>28</v>
      </c>
      <c r="C22" s="1989">
        <f t="shared" si="0"/>
        <v>0.35764465448971772</v>
      </c>
      <c r="D22" s="1990" t="s">
        <v>5</v>
      </c>
      <c r="E22" s="1991" t="s">
        <v>1898</v>
      </c>
      <c r="F22" s="1942">
        <v>1</v>
      </c>
      <c r="G22" s="1989">
        <f>F22/F$4*100</f>
        <v>0.43103448275862066</v>
      </c>
      <c r="H22" s="1939">
        <v>2</v>
      </c>
      <c r="I22" s="1989">
        <f>H22/H$4*100</f>
        <v>0.39370078740157477</v>
      </c>
      <c r="J22" s="1939">
        <v>8</v>
      </c>
      <c r="K22" s="1989">
        <f t="shared" si="3"/>
        <v>0.86021505376344087</v>
      </c>
      <c r="L22" s="1939">
        <v>3</v>
      </c>
      <c r="M22" s="1989">
        <f t="shared" si="4"/>
        <v>0.21443888491779842</v>
      </c>
      <c r="N22" s="1939">
        <v>6</v>
      </c>
      <c r="O22" s="1989">
        <f t="shared" si="5"/>
        <v>0.3051881993896236</v>
      </c>
      <c r="P22" s="1939">
        <v>8</v>
      </c>
      <c r="Q22" s="1991">
        <f t="shared" si="6"/>
        <v>0.28673835125448027</v>
      </c>
    </row>
    <row r="23" spans="1:17" s="1849" customFormat="1" ht="17.45" customHeight="1">
      <c r="A23" s="299" t="s">
        <v>2701</v>
      </c>
      <c r="B23" s="1942">
        <f t="shared" si="7"/>
        <v>26</v>
      </c>
      <c r="C23" s="1989">
        <f t="shared" si="0"/>
        <v>0.33209860774045219</v>
      </c>
      <c r="D23" s="1990" t="s">
        <v>5</v>
      </c>
      <c r="E23" s="1991" t="s">
        <v>5</v>
      </c>
      <c r="F23" s="1942">
        <v>1</v>
      </c>
      <c r="G23" s="1989">
        <f>F23/F$4*100</f>
        <v>0.43103448275862066</v>
      </c>
      <c r="H23" s="1939">
        <v>1</v>
      </c>
      <c r="I23" s="1989">
        <f>H23/H$4*100</f>
        <v>0.19685039370078738</v>
      </c>
      <c r="J23" s="1939">
        <v>2</v>
      </c>
      <c r="K23" s="1989">
        <f t="shared" si="3"/>
        <v>0.21505376344086022</v>
      </c>
      <c r="L23" s="1939">
        <v>2</v>
      </c>
      <c r="M23" s="1989">
        <f t="shared" si="4"/>
        <v>0.14295925661186562</v>
      </c>
      <c r="N23" s="1939">
        <v>5</v>
      </c>
      <c r="O23" s="1989">
        <f t="shared" si="5"/>
        <v>0.25432349949135302</v>
      </c>
      <c r="P23" s="1939">
        <v>15</v>
      </c>
      <c r="Q23" s="1991">
        <f t="shared" si="6"/>
        <v>0.53763440860215062</v>
      </c>
    </row>
    <row r="24" spans="1:17" s="1849" customFormat="1" ht="17.45" customHeight="1">
      <c r="A24" s="299" t="s">
        <v>2702</v>
      </c>
      <c r="B24" s="1942">
        <f t="shared" si="7"/>
        <v>26</v>
      </c>
      <c r="C24" s="1989">
        <f t="shared" si="0"/>
        <v>0.33209860774045219</v>
      </c>
      <c r="D24" s="1990" t="s">
        <v>5</v>
      </c>
      <c r="E24" s="1991" t="s">
        <v>5</v>
      </c>
      <c r="F24" s="1942">
        <v>0</v>
      </c>
      <c r="G24" s="1989">
        <f>F24/F$4*100</f>
        <v>0</v>
      </c>
      <c r="H24" s="1939">
        <v>3</v>
      </c>
      <c r="I24" s="1989">
        <f>H24/H$4*100</f>
        <v>0.59055118110236215</v>
      </c>
      <c r="J24" s="1939">
        <v>1</v>
      </c>
      <c r="K24" s="1989">
        <f t="shared" si="3"/>
        <v>0.10752688172043011</v>
      </c>
      <c r="L24" s="1939">
        <v>5</v>
      </c>
      <c r="M24" s="1989">
        <f t="shared" si="4"/>
        <v>0.35739814152966404</v>
      </c>
      <c r="N24" s="1939">
        <v>8</v>
      </c>
      <c r="O24" s="1989">
        <f t="shared" si="5"/>
        <v>0.40691759918616477</v>
      </c>
      <c r="P24" s="1939">
        <v>9</v>
      </c>
      <c r="Q24" s="1991">
        <f t="shared" si="6"/>
        <v>0.32258064516129031</v>
      </c>
    </row>
    <row r="25" spans="1:17" s="1849" customFormat="1" ht="17.45" customHeight="1">
      <c r="A25" s="299" t="s">
        <v>2703</v>
      </c>
      <c r="B25" s="1942">
        <f t="shared" si="7"/>
        <v>26</v>
      </c>
      <c r="C25" s="1989">
        <f t="shared" si="0"/>
        <v>0.33209860774045219</v>
      </c>
      <c r="D25" s="1990" t="s">
        <v>5</v>
      </c>
      <c r="E25" s="1991" t="s">
        <v>5</v>
      </c>
      <c r="F25" s="1942" t="s">
        <v>5</v>
      </c>
      <c r="G25" s="1989" t="s">
        <v>5</v>
      </c>
      <c r="H25" s="1939" t="s">
        <v>5</v>
      </c>
      <c r="I25" s="1989" t="s">
        <v>5</v>
      </c>
      <c r="J25" s="1939">
        <v>5</v>
      </c>
      <c r="K25" s="1989">
        <f t="shared" si="3"/>
        <v>0.53763440860215062</v>
      </c>
      <c r="L25" s="1939">
        <v>3</v>
      </c>
      <c r="M25" s="1989">
        <f t="shared" si="4"/>
        <v>0.21443888491779842</v>
      </c>
      <c r="N25" s="1939">
        <v>11</v>
      </c>
      <c r="O25" s="1989">
        <f t="shared" si="5"/>
        <v>0.55951169888097652</v>
      </c>
      <c r="P25" s="1939">
        <v>7</v>
      </c>
      <c r="Q25" s="1991">
        <f t="shared" si="6"/>
        <v>0.25089605734767023</v>
      </c>
    </row>
    <row r="26" spans="1:17" s="1849" customFormat="1" ht="17.45" customHeight="1">
      <c r="A26" s="299" t="s">
        <v>2704</v>
      </c>
      <c r="B26" s="1942">
        <f t="shared" si="7"/>
        <v>25</v>
      </c>
      <c r="C26" s="1989">
        <f t="shared" si="0"/>
        <v>0.31932558436581937</v>
      </c>
      <c r="D26" s="1990" t="s">
        <v>5</v>
      </c>
      <c r="E26" s="1991" t="s">
        <v>5</v>
      </c>
      <c r="F26" s="1942" t="s">
        <v>5</v>
      </c>
      <c r="G26" s="1989" t="s">
        <v>5</v>
      </c>
      <c r="H26" s="1939" t="s">
        <v>5</v>
      </c>
      <c r="I26" s="1989" t="s">
        <v>5</v>
      </c>
      <c r="J26" s="1939">
        <v>1</v>
      </c>
      <c r="K26" s="1989">
        <f t="shared" si="3"/>
        <v>0.10752688172043011</v>
      </c>
      <c r="L26" s="1939">
        <v>2</v>
      </c>
      <c r="M26" s="1989">
        <f t="shared" si="4"/>
        <v>0.14295925661186562</v>
      </c>
      <c r="N26" s="1939">
        <v>6</v>
      </c>
      <c r="O26" s="1989">
        <f t="shared" si="5"/>
        <v>0.3051881993896236</v>
      </c>
      <c r="P26" s="1939">
        <v>16</v>
      </c>
      <c r="Q26" s="1991">
        <f t="shared" si="6"/>
        <v>0.57347670250896055</v>
      </c>
    </row>
    <row r="27" spans="1:17" s="1849" customFormat="1" ht="17.45" customHeight="1">
      <c r="A27" s="299" t="s">
        <v>2705</v>
      </c>
      <c r="B27" s="1942">
        <f t="shared" si="7"/>
        <v>16</v>
      </c>
      <c r="C27" s="1989">
        <f t="shared" si="0"/>
        <v>0.20436837399412441</v>
      </c>
      <c r="D27" s="1990" t="s">
        <v>5</v>
      </c>
      <c r="E27" s="1991" t="s">
        <v>5</v>
      </c>
      <c r="F27" s="1942" t="s">
        <v>5</v>
      </c>
      <c r="G27" s="1989" t="s">
        <v>5</v>
      </c>
      <c r="H27" s="1939" t="s">
        <v>5</v>
      </c>
      <c r="I27" s="1989" t="s">
        <v>5</v>
      </c>
      <c r="J27" s="1939" t="s">
        <v>5</v>
      </c>
      <c r="K27" s="1989" t="s">
        <v>5</v>
      </c>
      <c r="L27" s="1939">
        <v>4</v>
      </c>
      <c r="M27" s="1989">
        <f t="shared" si="4"/>
        <v>0.28591851322373124</v>
      </c>
      <c r="N27" s="1939">
        <v>3</v>
      </c>
      <c r="O27" s="1989">
        <f t="shared" si="5"/>
        <v>0.1525940996948118</v>
      </c>
      <c r="P27" s="1939">
        <v>9</v>
      </c>
      <c r="Q27" s="1991">
        <f t="shared" si="6"/>
        <v>0.32258064516129031</v>
      </c>
    </row>
    <row r="28" spans="1:17" s="1849" customFormat="1" ht="17.45" customHeight="1">
      <c r="A28" s="299" t="s">
        <v>2706</v>
      </c>
      <c r="B28" s="1942">
        <f t="shared" si="7"/>
        <v>15</v>
      </c>
      <c r="C28" s="1989">
        <f t="shared" si="0"/>
        <v>0.19159535061949162</v>
      </c>
      <c r="D28" s="1990" t="s">
        <v>5</v>
      </c>
      <c r="E28" s="1991" t="s">
        <v>5</v>
      </c>
      <c r="F28" s="1942" t="s">
        <v>5</v>
      </c>
      <c r="G28" s="1989" t="s">
        <v>5</v>
      </c>
      <c r="H28" s="1942">
        <v>2</v>
      </c>
      <c r="I28" s="1989">
        <f>H28/H$4*100</f>
        <v>0.39370078740157477</v>
      </c>
      <c r="J28" s="1942" t="s">
        <v>5</v>
      </c>
      <c r="K28" s="1989" t="s">
        <v>5</v>
      </c>
      <c r="L28" s="1942">
        <v>4</v>
      </c>
      <c r="M28" s="1989">
        <f t="shared" si="4"/>
        <v>0.28591851322373124</v>
      </c>
      <c r="N28" s="1942">
        <v>3</v>
      </c>
      <c r="O28" s="1989">
        <f t="shared" si="5"/>
        <v>0.1525940996948118</v>
      </c>
      <c r="P28" s="1942">
        <v>6</v>
      </c>
      <c r="Q28" s="1991">
        <f t="shared" si="6"/>
        <v>0.21505376344086022</v>
      </c>
    </row>
    <row r="29" spans="1:17" s="1849" customFormat="1" ht="17.45" customHeight="1">
      <c r="A29" s="299" t="s">
        <v>2707</v>
      </c>
      <c r="B29" s="1942">
        <f t="shared" si="7"/>
        <v>14</v>
      </c>
      <c r="C29" s="1989">
        <f t="shared" si="0"/>
        <v>0.17882232724485886</v>
      </c>
      <c r="D29" s="1990" t="s">
        <v>5</v>
      </c>
      <c r="E29" s="1991" t="s">
        <v>5</v>
      </c>
      <c r="F29" s="1942" t="s">
        <v>1898</v>
      </c>
      <c r="G29" s="1989" t="s">
        <v>5</v>
      </c>
      <c r="H29" s="1939" t="s">
        <v>1898</v>
      </c>
      <c r="I29" s="1989" t="s">
        <v>1898</v>
      </c>
      <c r="J29" s="1939" t="s">
        <v>5</v>
      </c>
      <c r="K29" s="1989" t="s">
        <v>5</v>
      </c>
      <c r="L29" s="1939">
        <v>2</v>
      </c>
      <c r="M29" s="1989">
        <f t="shared" si="4"/>
        <v>0.14295925661186562</v>
      </c>
      <c r="N29" s="1939">
        <v>2</v>
      </c>
      <c r="O29" s="1989">
        <f t="shared" si="5"/>
        <v>0.10172939979654119</v>
      </c>
      <c r="P29" s="1939">
        <v>10</v>
      </c>
      <c r="Q29" s="1991">
        <f t="shared" si="6"/>
        <v>0.35842293906810035</v>
      </c>
    </row>
    <row r="30" spans="1:17" s="1849" customFormat="1" ht="17.45" customHeight="1">
      <c r="A30" s="299" t="s">
        <v>2708</v>
      </c>
      <c r="B30" s="1942">
        <f t="shared" si="7"/>
        <v>12</v>
      </c>
      <c r="C30" s="1989">
        <f t="shared" si="0"/>
        <v>0.1532762804955933</v>
      </c>
      <c r="D30" s="1990" t="s">
        <v>1898</v>
      </c>
      <c r="E30" s="1991" t="s">
        <v>5</v>
      </c>
      <c r="F30" s="1942">
        <v>1</v>
      </c>
      <c r="G30" s="1989">
        <f>F30/F$4*100</f>
        <v>0.43103448275862066</v>
      </c>
      <c r="H30" s="1939">
        <v>1</v>
      </c>
      <c r="I30" s="1989">
        <f>H30/H$4*100</f>
        <v>0.19685039370078738</v>
      </c>
      <c r="J30" s="1939">
        <v>1</v>
      </c>
      <c r="K30" s="1989">
        <f>J30/J$4*100</f>
        <v>0.10752688172043011</v>
      </c>
      <c r="L30" s="1939">
        <v>1</v>
      </c>
      <c r="M30" s="1989">
        <f t="shared" si="4"/>
        <v>7.147962830593281E-2</v>
      </c>
      <c r="N30" s="1939">
        <v>2</v>
      </c>
      <c r="O30" s="1989">
        <f t="shared" si="5"/>
        <v>0.10172939979654119</v>
      </c>
      <c r="P30" s="1939">
        <v>6</v>
      </c>
      <c r="Q30" s="1991">
        <f t="shared" si="6"/>
        <v>0.21505376344086022</v>
      </c>
    </row>
    <row r="31" spans="1:17" s="1849" customFormat="1" ht="17.45" customHeight="1">
      <c r="A31" s="299" t="s">
        <v>2709</v>
      </c>
      <c r="B31" s="1942">
        <f t="shared" si="7"/>
        <v>11</v>
      </c>
      <c r="C31" s="1989">
        <f t="shared" si="0"/>
        <v>0.14050325712096054</v>
      </c>
      <c r="D31" s="1990" t="s">
        <v>5</v>
      </c>
      <c r="E31" s="1991" t="s">
        <v>5</v>
      </c>
      <c r="F31" s="1942" t="s">
        <v>5</v>
      </c>
      <c r="G31" s="1989" t="s">
        <v>1898</v>
      </c>
      <c r="H31" s="1939">
        <v>2</v>
      </c>
      <c r="I31" s="1989">
        <f>H31/H$4*100</f>
        <v>0.39370078740157477</v>
      </c>
      <c r="J31" s="1939">
        <v>4</v>
      </c>
      <c r="K31" s="1989">
        <f>J31/J$4*100</f>
        <v>0.43010752688172044</v>
      </c>
      <c r="L31" s="1939">
        <v>2</v>
      </c>
      <c r="M31" s="1989">
        <f t="shared" si="4"/>
        <v>0.14295925661186562</v>
      </c>
      <c r="N31" s="1939">
        <v>1</v>
      </c>
      <c r="O31" s="1989">
        <f t="shared" si="5"/>
        <v>5.0864699898270596E-2</v>
      </c>
      <c r="P31" s="1939">
        <f>1+1</f>
        <v>2</v>
      </c>
      <c r="Q31" s="1991">
        <f t="shared" si="6"/>
        <v>7.1684587813620068E-2</v>
      </c>
    </row>
    <row r="32" spans="1:17" s="1849" customFormat="1" ht="17.45" customHeight="1">
      <c r="A32" s="299" t="s">
        <v>2710</v>
      </c>
      <c r="B32" s="1942">
        <f t="shared" si="7"/>
        <v>11</v>
      </c>
      <c r="C32" s="1989">
        <f t="shared" si="0"/>
        <v>0.14050325712096054</v>
      </c>
      <c r="D32" s="1990" t="s">
        <v>5</v>
      </c>
      <c r="E32" s="1991" t="s">
        <v>5</v>
      </c>
      <c r="F32" s="1942">
        <v>1</v>
      </c>
      <c r="G32" s="1989">
        <f>F32/F$4*100</f>
        <v>0.43103448275862066</v>
      </c>
      <c r="H32" s="1939" t="s">
        <v>5</v>
      </c>
      <c r="I32" s="1989" t="s">
        <v>5</v>
      </c>
      <c r="J32" s="1939">
        <v>1</v>
      </c>
      <c r="K32" s="1989">
        <f>J32/J$4*100</f>
        <v>0.10752688172043011</v>
      </c>
      <c r="L32" s="1939">
        <v>2</v>
      </c>
      <c r="M32" s="1989">
        <f t="shared" si="4"/>
        <v>0.14295925661186562</v>
      </c>
      <c r="N32" s="1939">
        <v>6</v>
      </c>
      <c r="O32" s="1989">
        <f t="shared" si="5"/>
        <v>0.3051881993896236</v>
      </c>
      <c r="P32" s="1939">
        <v>1</v>
      </c>
      <c r="Q32" s="1991">
        <f t="shared" si="6"/>
        <v>3.5842293906810034E-2</v>
      </c>
    </row>
    <row r="33" spans="1:17" s="1849" customFormat="1" ht="17.45" customHeight="1">
      <c r="A33" s="299" t="s">
        <v>2711</v>
      </c>
      <c r="B33" s="1942">
        <f t="shared" si="7"/>
        <v>8</v>
      </c>
      <c r="C33" s="1989">
        <f t="shared" si="0"/>
        <v>0.10218418699706221</v>
      </c>
      <c r="D33" s="1990" t="s">
        <v>5</v>
      </c>
      <c r="E33" s="1991" t="s">
        <v>5</v>
      </c>
      <c r="F33" s="1942" t="s">
        <v>5</v>
      </c>
      <c r="G33" s="1989" t="s">
        <v>5</v>
      </c>
      <c r="H33" s="1939" t="s">
        <v>1898</v>
      </c>
      <c r="I33" s="1989" t="s">
        <v>1898</v>
      </c>
      <c r="J33" s="1939">
        <v>2</v>
      </c>
      <c r="K33" s="1989">
        <f>J33/J$4*100</f>
        <v>0.21505376344086022</v>
      </c>
      <c r="L33" s="1939">
        <f>1+1</f>
        <v>2</v>
      </c>
      <c r="M33" s="1989">
        <f t="shared" si="4"/>
        <v>0.14295925661186562</v>
      </c>
      <c r="N33" s="1939">
        <f>2+2</f>
        <v>4</v>
      </c>
      <c r="O33" s="1989">
        <f t="shared" si="5"/>
        <v>0.20345879959308238</v>
      </c>
      <c r="P33" s="1939">
        <v>0</v>
      </c>
      <c r="Q33" s="1991">
        <f t="shared" si="6"/>
        <v>0</v>
      </c>
    </row>
    <row r="34" spans="1:17" s="1849" customFormat="1" ht="17.45" customHeight="1">
      <c r="A34" s="299" t="s">
        <v>2712</v>
      </c>
      <c r="B34" s="1942">
        <f t="shared" si="7"/>
        <v>7</v>
      </c>
      <c r="C34" s="1989">
        <f t="shared" si="0"/>
        <v>8.9411163622429429E-2</v>
      </c>
      <c r="D34" s="1990" t="s">
        <v>5</v>
      </c>
      <c r="E34" s="1991" t="s">
        <v>5</v>
      </c>
      <c r="F34" s="1942" t="s">
        <v>5</v>
      </c>
      <c r="G34" s="1989" t="s">
        <v>5</v>
      </c>
      <c r="H34" s="1939" t="s">
        <v>5</v>
      </c>
      <c r="I34" s="1989" t="s">
        <v>5</v>
      </c>
      <c r="J34" s="1939" t="s">
        <v>5</v>
      </c>
      <c r="K34" s="1989" t="s">
        <v>5</v>
      </c>
      <c r="L34" s="1939">
        <v>1</v>
      </c>
      <c r="M34" s="1989">
        <f t="shared" si="4"/>
        <v>7.147962830593281E-2</v>
      </c>
      <c r="N34" s="1939" t="s">
        <v>5</v>
      </c>
      <c r="O34" s="1989" t="s">
        <v>5</v>
      </c>
      <c r="P34" s="1939">
        <v>6</v>
      </c>
      <c r="Q34" s="1991">
        <f t="shared" si="6"/>
        <v>0.21505376344086022</v>
      </c>
    </row>
    <row r="35" spans="1:17" s="1849" customFormat="1" ht="17.45" customHeight="1">
      <c r="A35" s="299" t="s">
        <v>2713</v>
      </c>
      <c r="B35" s="1942">
        <f t="shared" si="7"/>
        <v>7</v>
      </c>
      <c r="C35" s="1989">
        <f t="shared" si="0"/>
        <v>8.9411163622429429E-2</v>
      </c>
      <c r="D35" s="1990" t="s">
        <v>5</v>
      </c>
      <c r="E35" s="1991" t="s">
        <v>5</v>
      </c>
      <c r="F35" s="1942" t="s">
        <v>5</v>
      </c>
      <c r="G35" s="1989" t="s">
        <v>5</v>
      </c>
      <c r="H35" s="1939" t="s">
        <v>5</v>
      </c>
      <c r="I35" s="1989" t="s">
        <v>5</v>
      </c>
      <c r="J35" s="1939" t="s">
        <v>5</v>
      </c>
      <c r="K35" s="1989" t="s">
        <v>5</v>
      </c>
      <c r="L35" s="1939">
        <v>1</v>
      </c>
      <c r="M35" s="1989">
        <f t="shared" si="4"/>
        <v>7.147962830593281E-2</v>
      </c>
      <c r="N35" s="1939">
        <v>1</v>
      </c>
      <c r="O35" s="1989">
        <f t="shared" ref="O35:O40" si="8">N35/N$4*100</f>
        <v>5.0864699898270596E-2</v>
      </c>
      <c r="P35" s="1939">
        <v>5</v>
      </c>
      <c r="Q35" s="1991">
        <f t="shared" si="6"/>
        <v>0.17921146953405018</v>
      </c>
    </row>
    <row r="36" spans="1:17" s="1849" customFormat="1" ht="17.45" customHeight="1">
      <c r="A36" s="299" t="s">
        <v>2714</v>
      </c>
      <c r="B36" s="1942">
        <f t="shared" si="7"/>
        <v>6</v>
      </c>
      <c r="C36" s="1989">
        <f t="shared" si="0"/>
        <v>7.6638140247796652E-2</v>
      </c>
      <c r="D36" s="1990" t="s">
        <v>5</v>
      </c>
      <c r="E36" s="1991" t="s">
        <v>5</v>
      </c>
      <c r="F36" s="1942" t="s">
        <v>5</v>
      </c>
      <c r="G36" s="1989" t="s">
        <v>5</v>
      </c>
      <c r="H36" s="1939">
        <v>1</v>
      </c>
      <c r="I36" s="1989">
        <f>H36/H$4*100</f>
        <v>0.19685039370078738</v>
      </c>
      <c r="J36" s="1939">
        <v>2</v>
      </c>
      <c r="K36" s="1989">
        <f>J36/J$4*100</f>
        <v>0.21505376344086022</v>
      </c>
      <c r="L36" s="1939">
        <v>1</v>
      </c>
      <c r="M36" s="1989">
        <f t="shared" si="4"/>
        <v>7.147962830593281E-2</v>
      </c>
      <c r="N36" s="1939">
        <v>1</v>
      </c>
      <c r="O36" s="1989">
        <f t="shared" si="8"/>
        <v>5.0864699898270596E-2</v>
      </c>
      <c r="P36" s="1939">
        <v>1</v>
      </c>
      <c r="Q36" s="1991">
        <f t="shared" si="6"/>
        <v>3.5842293906810034E-2</v>
      </c>
    </row>
    <row r="37" spans="1:17" s="1849" customFormat="1" ht="17.45" customHeight="1">
      <c r="A37" s="299" t="s">
        <v>2715</v>
      </c>
      <c r="B37" s="1942">
        <f t="shared" si="7"/>
        <v>5</v>
      </c>
      <c r="C37" s="1989">
        <f t="shared" si="0"/>
        <v>6.3865116873163874E-2</v>
      </c>
      <c r="D37" s="1990" t="s">
        <v>5</v>
      </c>
      <c r="E37" s="1991" t="s">
        <v>5</v>
      </c>
      <c r="F37" s="1942" t="s">
        <v>5</v>
      </c>
      <c r="G37" s="1989" t="s">
        <v>5</v>
      </c>
      <c r="H37" s="1939" t="s">
        <v>5</v>
      </c>
      <c r="I37" s="1989" t="s">
        <v>5</v>
      </c>
      <c r="J37" s="1939" t="s">
        <v>5</v>
      </c>
      <c r="K37" s="1989" t="s">
        <v>5</v>
      </c>
      <c r="L37" s="1939" t="s">
        <v>5</v>
      </c>
      <c r="M37" s="1989" t="s">
        <v>5</v>
      </c>
      <c r="N37" s="1939">
        <v>3</v>
      </c>
      <c r="O37" s="1989">
        <f t="shared" si="8"/>
        <v>0.1525940996948118</v>
      </c>
      <c r="P37" s="1939">
        <v>2</v>
      </c>
      <c r="Q37" s="1991">
        <f t="shared" si="6"/>
        <v>7.1684587813620068E-2</v>
      </c>
    </row>
    <row r="38" spans="1:17" s="1849" customFormat="1" ht="17.45" customHeight="1">
      <c r="A38" s="299" t="s">
        <v>2716</v>
      </c>
      <c r="B38" s="1942">
        <f t="shared" si="7"/>
        <v>5</v>
      </c>
      <c r="C38" s="1989">
        <f t="shared" si="0"/>
        <v>6.3865116873163874E-2</v>
      </c>
      <c r="D38" s="1990" t="s">
        <v>5</v>
      </c>
      <c r="E38" s="1991" t="s">
        <v>5</v>
      </c>
      <c r="F38" s="1942" t="s">
        <v>5</v>
      </c>
      <c r="G38" s="1989" t="s">
        <v>5</v>
      </c>
      <c r="H38" s="1939" t="s">
        <v>1898</v>
      </c>
      <c r="I38" s="1989" t="s">
        <v>1898</v>
      </c>
      <c r="J38" s="1939" t="s">
        <v>1898</v>
      </c>
      <c r="K38" s="1989" t="s">
        <v>1898</v>
      </c>
      <c r="L38" s="1939" t="s">
        <v>1898</v>
      </c>
      <c r="M38" s="1989" t="s">
        <v>1898</v>
      </c>
      <c r="N38" s="1939">
        <v>2</v>
      </c>
      <c r="O38" s="1989">
        <f t="shared" si="8"/>
        <v>0.10172939979654119</v>
      </c>
      <c r="P38" s="1939">
        <v>3</v>
      </c>
      <c r="Q38" s="1991">
        <f t="shared" si="6"/>
        <v>0.10752688172043011</v>
      </c>
    </row>
    <row r="39" spans="1:17" s="1849" customFormat="1" ht="17.45" customHeight="1">
      <c r="A39" s="299" t="s">
        <v>2717</v>
      </c>
      <c r="B39" s="1942">
        <f t="shared" si="7"/>
        <v>5</v>
      </c>
      <c r="C39" s="1989">
        <f t="shared" si="0"/>
        <v>6.3865116873163874E-2</v>
      </c>
      <c r="D39" s="1990" t="s">
        <v>1898</v>
      </c>
      <c r="E39" s="1991" t="s">
        <v>1898</v>
      </c>
      <c r="F39" s="1942" t="s">
        <v>1898</v>
      </c>
      <c r="G39" s="1989" t="s">
        <v>1898</v>
      </c>
      <c r="H39" s="1939">
        <v>1</v>
      </c>
      <c r="I39" s="1989">
        <f>H39/H$4*100</f>
        <v>0.19685039370078738</v>
      </c>
      <c r="J39" s="1939" t="s">
        <v>5</v>
      </c>
      <c r="K39" s="1989" t="s">
        <v>5</v>
      </c>
      <c r="L39" s="1939" t="s">
        <v>5</v>
      </c>
      <c r="M39" s="1989" t="s">
        <v>5</v>
      </c>
      <c r="N39" s="1939">
        <v>1</v>
      </c>
      <c r="O39" s="1989">
        <f t="shared" si="8"/>
        <v>5.0864699898270596E-2</v>
      </c>
      <c r="P39" s="1939">
        <v>3</v>
      </c>
      <c r="Q39" s="1991">
        <f t="shared" si="6"/>
        <v>0.10752688172043011</v>
      </c>
    </row>
    <row r="40" spans="1:17" s="1849" customFormat="1" ht="17.45" customHeight="1">
      <c r="A40" s="299" t="s">
        <v>2718</v>
      </c>
      <c r="B40" s="1942">
        <f t="shared" si="7"/>
        <v>5</v>
      </c>
      <c r="C40" s="1989">
        <f t="shared" si="0"/>
        <v>6.3865116873163874E-2</v>
      </c>
      <c r="D40" s="1990" t="s">
        <v>5</v>
      </c>
      <c r="E40" s="1991" t="s">
        <v>1898</v>
      </c>
      <c r="F40" s="1942" t="s">
        <v>1898</v>
      </c>
      <c r="G40" s="1989" t="s">
        <v>1898</v>
      </c>
      <c r="H40" s="1939" t="s">
        <v>1898</v>
      </c>
      <c r="I40" s="1989" t="s">
        <v>1898</v>
      </c>
      <c r="J40" s="1939" t="s">
        <v>1898</v>
      </c>
      <c r="K40" s="1989" t="s">
        <v>1898</v>
      </c>
      <c r="L40" s="1939" t="s">
        <v>1898</v>
      </c>
      <c r="M40" s="1989" t="s">
        <v>1898</v>
      </c>
      <c r="N40" s="1939">
        <v>2</v>
      </c>
      <c r="O40" s="1989">
        <f t="shared" si="8"/>
        <v>0.10172939979654119</v>
      </c>
      <c r="P40" s="1939">
        <v>3</v>
      </c>
      <c r="Q40" s="1991">
        <f t="shared" si="6"/>
        <v>0.10752688172043011</v>
      </c>
    </row>
    <row r="41" spans="1:17" s="1849" customFormat="1" ht="17.45" customHeight="1">
      <c r="A41" s="299" t="s">
        <v>2719</v>
      </c>
      <c r="B41" s="1942">
        <f t="shared" si="7"/>
        <v>3</v>
      </c>
      <c r="C41" s="1989">
        <f t="shared" si="0"/>
        <v>3.8319070123898326E-2</v>
      </c>
      <c r="D41" s="1990" t="s">
        <v>1898</v>
      </c>
      <c r="E41" s="1991" t="s">
        <v>1898</v>
      </c>
      <c r="F41" s="1942" t="s">
        <v>1898</v>
      </c>
      <c r="G41" s="1989" t="s">
        <v>1898</v>
      </c>
      <c r="H41" s="1939" t="s">
        <v>1898</v>
      </c>
      <c r="I41" s="1989" t="s">
        <v>1898</v>
      </c>
      <c r="J41" s="1939" t="s">
        <v>1898</v>
      </c>
      <c r="K41" s="1989" t="s">
        <v>1898</v>
      </c>
      <c r="L41" s="1939">
        <v>1</v>
      </c>
      <c r="M41" s="1989">
        <f>L41/L$4*100</f>
        <v>7.147962830593281E-2</v>
      </c>
      <c r="N41" s="1939" t="s">
        <v>5</v>
      </c>
      <c r="O41" s="1989" t="s">
        <v>5</v>
      </c>
      <c r="P41" s="1939">
        <v>2</v>
      </c>
      <c r="Q41" s="1991">
        <f t="shared" si="6"/>
        <v>7.1684587813620068E-2</v>
      </c>
    </row>
    <row r="42" spans="1:17" s="1849" customFormat="1" ht="17.45" customHeight="1">
      <c r="A42" s="299" t="s">
        <v>2720</v>
      </c>
      <c r="B42" s="1942">
        <f t="shared" si="7"/>
        <v>2</v>
      </c>
      <c r="C42" s="1989">
        <f t="shared" si="0"/>
        <v>2.5546046749265552E-2</v>
      </c>
      <c r="D42" s="1990" t="s">
        <v>5</v>
      </c>
      <c r="E42" s="1991" t="s">
        <v>5</v>
      </c>
      <c r="F42" s="1942" t="s">
        <v>5</v>
      </c>
      <c r="G42" s="1989" t="s">
        <v>5</v>
      </c>
      <c r="H42" s="1939" t="s">
        <v>5</v>
      </c>
      <c r="I42" s="1989" t="s">
        <v>5</v>
      </c>
      <c r="J42" s="1939" t="s">
        <v>5</v>
      </c>
      <c r="K42" s="1989" t="s">
        <v>5</v>
      </c>
      <c r="L42" s="1939" t="s">
        <v>5</v>
      </c>
      <c r="M42" s="1989" t="s">
        <v>5</v>
      </c>
      <c r="N42" s="1939">
        <v>1</v>
      </c>
      <c r="O42" s="1989">
        <f>N42/N$4*100</f>
        <v>5.0864699898270596E-2</v>
      </c>
      <c r="P42" s="1939">
        <v>1</v>
      </c>
      <c r="Q42" s="1991">
        <f t="shared" si="6"/>
        <v>3.5842293906810034E-2</v>
      </c>
    </row>
    <row r="43" spans="1:17" s="1849" customFormat="1" ht="17.45" customHeight="1">
      <c r="A43" s="299" t="s">
        <v>2721</v>
      </c>
      <c r="B43" s="1942">
        <f t="shared" si="7"/>
        <v>1</v>
      </c>
      <c r="C43" s="1989">
        <f t="shared" si="0"/>
        <v>1.2773023374632776E-2</v>
      </c>
      <c r="D43" s="1990" t="s">
        <v>5</v>
      </c>
      <c r="E43" s="1991" t="s">
        <v>5</v>
      </c>
      <c r="F43" s="1992" t="s">
        <v>1898</v>
      </c>
      <c r="G43" s="1989" t="s">
        <v>1898</v>
      </c>
      <c r="H43" s="1990" t="s">
        <v>5</v>
      </c>
      <c r="I43" s="1989" t="s">
        <v>5</v>
      </c>
      <c r="J43" s="1990" t="s">
        <v>5</v>
      </c>
      <c r="K43" s="1989" t="s">
        <v>1898</v>
      </c>
      <c r="L43" s="1990" t="s">
        <v>1898</v>
      </c>
      <c r="M43" s="1989" t="s">
        <v>1898</v>
      </c>
      <c r="N43" s="1990">
        <v>1</v>
      </c>
      <c r="O43" s="1989">
        <f>N43/N$4*100</f>
        <v>5.0864699898270596E-2</v>
      </c>
      <c r="P43" s="1990" t="s">
        <v>1898</v>
      </c>
      <c r="Q43" s="1991" t="s">
        <v>1898</v>
      </c>
    </row>
    <row r="44" spans="1:17" s="1849" customFormat="1" ht="17.45" customHeight="1">
      <c r="A44" s="299" t="s">
        <v>2722</v>
      </c>
      <c r="B44" s="1942">
        <f t="shared" si="7"/>
        <v>1</v>
      </c>
      <c r="C44" s="1989">
        <f t="shared" si="0"/>
        <v>1.2773023374632776E-2</v>
      </c>
      <c r="D44" s="1990" t="s">
        <v>5</v>
      </c>
      <c r="E44" s="1991" t="s">
        <v>5</v>
      </c>
      <c r="F44" s="1942" t="s">
        <v>1898</v>
      </c>
      <c r="G44" s="1989" t="s">
        <v>1898</v>
      </c>
      <c r="H44" s="1939" t="s">
        <v>1898</v>
      </c>
      <c r="I44" s="1989" t="s">
        <v>1898</v>
      </c>
      <c r="J44" s="1939" t="s">
        <v>5</v>
      </c>
      <c r="K44" s="1989" t="s">
        <v>1898</v>
      </c>
      <c r="L44" s="1939" t="s">
        <v>1898</v>
      </c>
      <c r="M44" s="1989" t="s">
        <v>1898</v>
      </c>
      <c r="N44" s="1939">
        <v>1</v>
      </c>
      <c r="O44" s="1989">
        <f>N44/N$4*100</f>
        <v>5.0864699898270596E-2</v>
      </c>
      <c r="P44" s="1939" t="s">
        <v>1898</v>
      </c>
      <c r="Q44" s="1991" t="s">
        <v>1898</v>
      </c>
    </row>
    <row r="45" spans="1:17" s="1849" customFormat="1" ht="17.45" customHeight="1">
      <c r="A45" s="299" t="s">
        <v>2723</v>
      </c>
      <c r="B45" s="1942">
        <f t="shared" si="7"/>
        <v>1</v>
      </c>
      <c r="C45" s="1989">
        <f t="shared" si="0"/>
        <v>1.2773023374632776E-2</v>
      </c>
      <c r="D45" s="1990" t="s">
        <v>1898</v>
      </c>
      <c r="E45" s="1991" t="s">
        <v>1898</v>
      </c>
      <c r="F45" s="1942" t="s">
        <v>1898</v>
      </c>
      <c r="G45" s="1989" t="s">
        <v>1898</v>
      </c>
      <c r="H45" s="1939" t="s">
        <v>1898</v>
      </c>
      <c r="I45" s="1989" t="s">
        <v>1898</v>
      </c>
      <c r="J45" s="1939" t="s">
        <v>1898</v>
      </c>
      <c r="K45" s="1989" t="s">
        <v>1898</v>
      </c>
      <c r="L45" s="1939" t="s">
        <v>1898</v>
      </c>
      <c r="M45" s="1989" t="s">
        <v>1898</v>
      </c>
      <c r="N45" s="1939">
        <v>1</v>
      </c>
      <c r="O45" s="1989">
        <f>N45/N$4*100</f>
        <v>5.0864699898270596E-2</v>
      </c>
      <c r="P45" s="1939" t="s">
        <v>1898</v>
      </c>
      <c r="Q45" s="1991" t="s">
        <v>1898</v>
      </c>
    </row>
    <row r="46" spans="1:17" s="1849" customFormat="1" ht="17.45" customHeight="1">
      <c r="A46" s="299" t="s">
        <v>2724</v>
      </c>
      <c r="B46" s="1942">
        <f t="shared" si="7"/>
        <v>1</v>
      </c>
      <c r="C46" s="1989">
        <f t="shared" si="0"/>
        <v>1.2773023374632776E-2</v>
      </c>
      <c r="D46" s="1990" t="s">
        <v>1898</v>
      </c>
      <c r="E46" s="1991" t="s">
        <v>1898</v>
      </c>
      <c r="F46" s="1942" t="s">
        <v>1898</v>
      </c>
      <c r="G46" s="1989" t="s">
        <v>1898</v>
      </c>
      <c r="H46" s="1939" t="s">
        <v>1898</v>
      </c>
      <c r="I46" s="1989" t="s">
        <v>1898</v>
      </c>
      <c r="J46" s="1939" t="s">
        <v>1898</v>
      </c>
      <c r="K46" s="1989" t="s">
        <v>1898</v>
      </c>
      <c r="L46" s="1939" t="s">
        <v>1898</v>
      </c>
      <c r="M46" s="1989" t="s">
        <v>1898</v>
      </c>
      <c r="N46" s="1939" t="s">
        <v>1898</v>
      </c>
      <c r="O46" s="1989" t="s">
        <v>1898</v>
      </c>
      <c r="P46" s="1939">
        <v>1</v>
      </c>
      <c r="Q46" s="1991">
        <f>P46/P$4*100</f>
        <v>3.5842293906810034E-2</v>
      </c>
    </row>
    <row r="47" spans="1:17" s="1849" customFormat="1" ht="17.45" customHeight="1">
      <c r="A47" s="1944" t="s">
        <v>2611</v>
      </c>
      <c r="B47" s="1951">
        <f t="shared" si="7"/>
        <v>1</v>
      </c>
      <c r="C47" s="1993">
        <f t="shared" si="0"/>
        <v>1.2773023374632776E-2</v>
      </c>
      <c r="D47" s="1994" t="s">
        <v>5</v>
      </c>
      <c r="E47" s="1995" t="s">
        <v>5</v>
      </c>
      <c r="F47" s="1951" t="s">
        <v>5</v>
      </c>
      <c r="G47" s="1993" t="s">
        <v>5</v>
      </c>
      <c r="H47" s="1948" t="s">
        <v>5</v>
      </c>
      <c r="I47" s="1993" t="s">
        <v>5</v>
      </c>
      <c r="J47" s="1948">
        <v>1</v>
      </c>
      <c r="K47" s="1993">
        <f>J47/J$4*100</f>
        <v>0.10752688172043011</v>
      </c>
      <c r="L47" s="1948" t="s">
        <v>5</v>
      </c>
      <c r="M47" s="1993" t="s">
        <v>5</v>
      </c>
      <c r="N47" s="1948" t="s">
        <v>2725</v>
      </c>
      <c r="O47" s="1993" t="s">
        <v>2725</v>
      </c>
      <c r="P47" s="1948" t="s">
        <v>2725</v>
      </c>
      <c r="Q47" s="1995" t="s">
        <v>2725</v>
      </c>
    </row>
    <row r="48" spans="1:17" s="1849" customFormat="1" ht="18" customHeight="1">
      <c r="A48" s="3822" t="s">
        <v>2726</v>
      </c>
      <c r="B48" s="3823"/>
      <c r="C48" s="3823"/>
      <c r="D48" s="3823"/>
      <c r="E48" s="3823"/>
      <c r="F48" s="3823"/>
      <c r="G48" s="1991"/>
      <c r="H48" s="1939"/>
      <c r="I48" s="1991"/>
      <c r="J48" s="1990"/>
      <c r="K48" s="1991"/>
      <c r="L48" s="1939"/>
      <c r="M48" s="1991"/>
      <c r="N48" s="1939"/>
      <c r="O48" s="1991"/>
      <c r="P48" s="1990"/>
      <c r="Q48" s="1991"/>
    </row>
    <row r="49" spans="1:13" ht="27.75" customHeight="1">
      <c r="A49" s="3824" t="s">
        <v>2727</v>
      </c>
      <c r="B49" s="3824"/>
      <c r="C49" s="3824"/>
      <c r="D49" s="3824"/>
      <c r="E49" s="3824"/>
      <c r="F49" s="3824"/>
      <c r="G49" s="3824"/>
      <c r="H49" s="3824"/>
      <c r="I49" s="3824"/>
      <c r="J49" s="3824"/>
      <c r="K49" s="3824"/>
      <c r="L49" s="3824"/>
      <c r="M49" s="3824"/>
    </row>
  </sheetData>
  <mergeCells count="12">
    <mergeCell ref="A48:F48"/>
    <mergeCell ref="A49:M49"/>
    <mergeCell ref="A1:Q1"/>
    <mergeCell ref="A2:A3"/>
    <mergeCell ref="B2:C2"/>
    <mergeCell ref="D2:E2"/>
    <mergeCell ref="F2:G2"/>
    <mergeCell ref="H2:I2"/>
    <mergeCell ref="J2:K2"/>
    <mergeCell ref="L2:M2"/>
    <mergeCell ref="N2:O2"/>
    <mergeCell ref="P2:Q2"/>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55"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K28"/>
  <sheetViews>
    <sheetView showGridLines="0" showRuler="0" topLeftCell="A10" zoomScale="110" zoomScaleNormal="110" zoomScalePageLayoutView="125" workbookViewId="0">
      <selection activeCell="B18" sqref="B18:D18"/>
    </sheetView>
  </sheetViews>
  <sheetFormatPr defaultColWidth="9" defaultRowHeight="15.75"/>
  <cols>
    <col min="1" max="1" width="26.875" style="1785" customWidth="1"/>
    <col min="2" max="2" width="8.625" style="1785" customWidth="1"/>
    <col min="3" max="3" width="8.5" style="1785" customWidth="1"/>
    <col min="4" max="4" width="8.875" style="1785" customWidth="1"/>
    <col min="5" max="5" width="8.5" style="1785" bestFit="1" customWidth="1"/>
    <col min="6" max="6" width="8.5" style="1785" customWidth="1"/>
    <col min="7" max="8" width="8.125" style="1785" customWidth="1"/>
    <col min="9" max="9" width="8.5" style="1785" customWidth="1"/>
    <col min="10" max="10" width="9.5" style="1785" bestFit="1" customWidth="1"/>
    <col min="11" max="16384" width="9" style="1785"/>
  </cols>
  <sheetData>
    <row r="1" spans="1:11" ht="20.25" customHeight="1">
      <c r="A1" s="3733" t="s">
        <v>2728</v>
      </c>
      <c r="B1" s="3733"/>
      <c r="C1" s="3733"/>
      <c r="D1" s="3733"/>
      <c r="E1" s="3733"/>
      <c r="F1" s="3733"/>
      <c r="G1" s="3733"/>
      <c r="H1" s="3733"/>
      <c r="I1" s="3733"/>
      <c r="J1" s="3733"/>
      <c r="K1" s="3733"/>
    </row>
    <row r="2" spans="1:11" ht="20.100000000000001" customHeight="1">
      <c r="A2" s="1832"/>
      <c r="B2" s="3722" t="s">
        <v>2729</v>
      </c>
      <c r="C2" s="3734"/>
      <c r="D2" s="3730" t="s">
        <v>2730</v>
      </c>
      <c r="E2" s="3734"/>
      <c r="F2" s="3734" t="s">
        <v>2731</v>
      </c>
      <c r="G2" s="3730" t="s">
        <v>2732</v>
      </c>
      <c r="H2" s="3803" t="s">
        <v>2733</v>
      </c>
      <c r="I2" s="3799" t="s">
        <v>2732</v>
      </c>
      <c r="J2" s="3803" t="s">
        <v>2734</v>
      </c>
      <c r="K2" s="3799"/>
    </row>
    <row r="3" spans="1:11" s="1996" customFormat="1" ht="20.100000000000001" customHeight="1">
      <c r="A3" s="1833"/>
      <c r="B3" s="1927" t="s">
        <v>2735</v>
      </c>
      <c r="C3" s="1859" t="s">
        <v>2736</v>
      </c>
      <c r="D3" s="1927" t="s">
        <v>2737</v>
      </c>
      <c r="E3" s="1859" t="s">
        <v>2736</v>
      </c>
      <c r="F3" s="1927" t="s">
        <v>2737</v>
      </c>
      <c r="G3" s="1859" t="s">
        <v>2736</v>
      </c>
      <c r="H3" s="1927" t="s">
        <v>2563</v>
      </c>
      <c r="I3" s="1859" t="s">
        <v>2736</v>
      </c>
      <c r="J3" s="1927" t="s">
        <v>2737</v>
      </c>
      <c r="K3" s="1788" t="s">
        <v>2373</v>
      </c>
    </row>
    <row r="4" spans="1:11" ht="16.5" customHeight="1">
      <c r="A4" s="1997" t="s">
        <v>2375</v>
      </c>
      <c r="B4" s="1998">
        <v>9414</v>
      </c>
      <c r="C4" s="1999">
        <v>100</v>
      </c>
      <c r="D4" s="1998">
        <v>10793</v>
      </c>
      <c r="E4" s="2000">
        <v>100</v>
      </c>
      <c r="F4" s="1998">
        <v>11383</v>
      </c>
      <c r="G4" s="1999">
        <v>100</v>
      </c>
      <c r="H4" s="2001">
        <v>10374</v>
      </c>
      <c r="I4" s="2000">
        <v>100</v>
      </c>
      <c r="J4" s="2002">
        <v>9359</v>
      </c>
      <c r="K4" s="2003">
        <v>100</v>
      </c>
    </row>
    <row r="5" spans="1:11" ht="20.100000000000001" customHeight="1">
      <c r="A5" s="299" t="s">
        <v>2738</v>
      </c>
      <c r="B5" s="2004">
        <v>2</v>
      </c>
      <c r="C5" s="2005">
        <v>2.1244954323348206E-2</v>
      </c>
      <c r="D5" s="2006">
        <v>1</v>
      </c>
      <c r="E5" s="2007">
        <v>9.26526452330214E-3</v>
      </c>
      <c r="F5" s="1935" t="s">
        <v>2739</v>
      </c>
      <c r="G5" s="2008" t="s">
        <v>2442</v>
      </c>
      <c r="H5" s="2004">
        <v>3</v>
      </c>
      <c r="I5" s="2007">
        <v>2.8918449971081547E-2</v>
      </c>
      <c r="J5" s="1942" t="s">
        <v>2442</v>
      </c>
      <c r="K5" s="1939" t="s">
        <v>2739</v>
      </c>
    </row>
    <row r="6" spans="1:11" ht="20.100000000000001" customHeight="1">
      <c r="A6" s="299" t="s">
        <v>2740</v>
      </c>
      <c r="B6" s="2004">
        <v>9</v>
      </c>
      <c r="C6" s="2005">
        <v>9.5602294455066919E-2</v>
      </c>
      <c r="D6" s="2006">
        <v>17</v>
      </c>
      <c r="E6" s="2007">
        <v>0.15750949689613639</v>
      </c>
      <c r="F6" s="2006">
        <v>5</v>
      </c>
      <c r="G6" s="2005">
        <v>4.3925151541772817E-2</v>
      </c>
      <c r="H6" s="2004">
        <v>11</v>
      </c>
      <c r="I6" s="2007">
        <v>0.10603431656063234</v>
      </c>
      <c r="J6" s="1844">
        <v>16</v>
      </c>
      <c r="K6" s="2009">
        <v>0.17095843573031308</v>
      </c>
    </row>
    <row r="7" spans="1:11" ht="20.100000000000001" customHeight="1">
      <c r="A7" s="299" t="s">
        <v>2741</v>
      </c>
      <c r="B7" s="2004">
        <v>145</v>
      </c>
      <c r="C7" s="2005">
        <v>1.5402591884427448</v>
      </c>
      <c r="D7" s="2006">
        <v>105</v>
      </c>
      <c r="E7" s="2007">
        <v>0.97285277494672473</v>
      </c>
      <c r="F7" s="2006">
        <v>123</v>
      </c>
      <c r="G7" s="2005">
        <v>1.0805587279276112</v>
      </c>
      <c r="H7" s="2004">
        <v>112</v>
      </c>
      <c r="I7" s="2007">
        <v>1.0796221322537112</v>
      </c>
      <c r="J7" s="1844">
        <v>128</v>
      </c>
      <c r="K7" s="2009">
        <v>1.3676674858425046</v>
      </c>
    </row>
    <row r="8" spans="1:11" ht="20.100000000000001" customHeight="1">
      <c r="A8" s="299" t="s">
        <v>2742</v>
      </c>
      <c r="B8" s="2004">
        <v>1236</v>
      </c>
      <c r="C8" s="2005">
        <v>13.129381771829191</v>
      </c>
      <c r="D8" s="2006">
        <v>1216</v>
      </c>
      <c r="E8" s="2007">
        <v>11.266561660335404</v>
      </c>
      <c r="F8" s="2006">
        <v>1318</v>
      </c>
      <c r="G8" s="2005">
        <v>11.578669946411315</v>
      </c>
      <c r="H8" s="2004">
        <v>1093</v>
      </c>
      <c r="I8" s="2007">
        <v>10.535955272797377</v>
      </c>
      <c r="J8" s="1844">
        <v>939</v>
      </c>
      <c r="K8" s="2009">
        <v>10.033123196922748</v>
      </c>
    </row>
    <row r="9" spans="1:11" ht="20.100000000000001" customHeight="1">
      <c r="A9" s="299" t="s">
        <v>2743</v>
      </c>
      <c r="B9" s="2004">
        <v>4019</v>
      </c>
      <c r="C9" s="2005">
        <v>42.691735712768221</v>
      </c>
      <c r="D9" s="2006">
        <v>4615</v>
      </c>
      <c r="E9" s="2007">
        <v>42.75919577503938</v>
      </c>
      <c r="F9" s="2006">
        <v>4591</v>
      </c>
      <c r="G9" s="2005">
        <v>40.332074145655803</v>
      </c>
      <c r="H9" s="2004">
        <v>3859</v>
      </c>
      <c r="I9" s="2007">
        <v>37.198766146134567</v>
      </c>
      <c r="J9" s="1844">
        <v>3518</v>
      </c>
      <c r="K9" s="2009">
        <v>37.589486056202588</v>
      </c>
    </row>
    <row r="10" spans="1:11" ht="20.100000000000001" customHeight="1">
      <c r="A10" s="299" t="s">
        <v>2744</v>
      </c>
      <c r="B10" s="2004">
        <v>65</v>
      </c>
      <c r="C10" s="2005">
        <v>0.69046101550881667</v>
      </c>
      <c r="D10" s="2006">
        <v>59</v>
      </c>
      <c r="E10" s="2007">
        <v>0.54665060687482625</v>
      </c>
      <c r="F10" s="2006">
        <v>90</v>
      </c>
      <c r="G10" s="2005">
        <v>0.79065272775191064</v>
      </c>
      <c r="H10" s="2004">
        <v>47</v>
      </c>
      <c r="I10" s="2007">
        <v>0.45305571621361096</v>
      </c>
      <c r="J10" s="1844">
        <v>46</v>
      </c>
      <c r="K10" s="2009">
        <v>0.4915055027246501</v>
      </c>
    </row>
    <row r="11" spans="1:11" ht="20.100000000000001" customHeight="1">
      <c r="A11" s="299" t="s">
        <v>2745</v>
      </c>
      <c r="B11" s="2004">
        <v>3902</v>
      </c>
      <c r="C11" s="2005">
        <v>41.448905884852351</v>
      </c>
      <c r="D11" s="2006">
        <v>4742</v>
      </c>
      <c r="E11" s="2007">
        <v>43.935884369498751</v>
      </c>
      <c r="F11" s="2006">
        <v>5211</v>
      </c>
      <c r="G11" s="2005">
        <v>45.778792936835636</v>
      </c>
      <c r="H11" s="2004">
        <v>5209</v>
      </c>
      <c r="I11" s="2007">
        <v>50.212068633121262</v>
      </c>
      <c r="J11" s="1844">
        <v>4674</v>
      </c>
      <c r="K11" s="2009">
        <v>49.941233037717701</v>
      </c>
    </row>
    <row r="12" spans="1:11" ht="16.5">
      <c r="A12" s="299" t="s">
        <v>2746</v>
      </c>
      <c r="B12" s="2004">
        <v>35</v>
      </c>
      <c r="C12" s="2005">
        <v>0.37178670065859359</v>
      </c>
      <c r="D12" s="2006">
        <v>38</v>
      </c>
      <c r="E12" s="2007">
        <v>0.35208005188548136</v>
      </c>
      <c r="F12" s="2006">
        <v>43</v>
      </c>
      <c r="G12" s="2005">
        <v>0.37775630325924625</v>
      </c>
      <c r="H12" s="2004">
        <v>40</v>
      </c>
      <c r="I12" s="2007">
        <v>0.38557933294775398</v>
      </c>
      <c r="J12" s="1844">
        <v>38</v>
      </c>
      <c r="K12" s="2009">
        <v>0.40602628485949349</v>
      </c>
    </row>
    <row r="13" spans="1:11" ht="20.100000000000001" customHeight="1" thickBot="1">
      <c r="A13" s="299" t="s">
        <v>2747</v>
      </c>
      <c r="B13" s="2004">
        <v>1</v>
      </c>
      <c r="C13" s="2005">
        <v>1.0622477161674103E-2</v>
      </c>
      <c r="D13" s="1935" t="s">
        <v>2748</v>
      </c>
      <c r="E13" s="1938" t="s">
        <v>2748</v>
      </c>
      <c r="F13" s="2006">
        <v>2</v>
      </c>
      <c r="G13" s="2005">
        <v>1.7570060616709127E-2</v>
      </c>
      <c r="H13" s="1938" t="s">
        <v>2748</v>
      </c>
      <c r="I13" s="1938" t="s">
        <v>2748</v>
      </c>
      <c r="J13" s="1942" t="s">
        <v>1</v>
      </c>
      <c r="K13" s="1939" t="s">
        <v>1</v>
      </c>
    </row>
    <row r="14" spans="1:11" ht="20.100000000000001" customHeight="1">
      <c r="A14" s="2010"/>
      <c r="B14" s="3814" t="s">
        <v>2749</v>
      </c>
      <c r="C14" s="3830"/>
      <c r="D14" s="3813" t="s">
        <v>2750</v>
      </c>
      <c r="E14" s="3830"/>
      <c r="F14" s="3813" t="s">
        <v>2751</v>
      </c>
      <c r="G14" s="3814"/>
      <c r="H14" s="3813" t="s">
        <v>2752</v>
      </c>
      <c r="I14" s="3814"/>
      <c r="J14" s="3813" t="s">
        <v>2753</v>
      </c>
      <c r="K14" s="3814"/>
    </row>
    <row r="15" spans="1:11" s="1996" customFormat="1" ht="21" customHeight="1">
      <c r="A15" s="2011"/>
      <c r="B15" s="1927" t="s">
        <v>2652</v>
      </c>
      <c r="C15" s="1859" t="s">
        <v>2754</v>
      </c>
      <c r="D15" s="1927" t="s">
        <v>2563</v>
      </c>
      <c r="E15" s="1859" t="s">
        <v>2373</v>
      </c>
      <c r="F15" s="1927" t="s">
        <v>2755</v>
      </c>
      <c r="G15" s="1859" t="s">
        <v>2754</v>
      </c>
      <c r="H15" s="1927" t="s">
        <v>2563</v>
      </c>
      <c r="I15" s="1859" t="s">
        <v>2754</v>
      </c>
      <c r="J15" s="1927" t="s">
        <v>2563</v>
      </c>
      <c r="K15" s="1788" t="s">
        <v>2754</v>
      </c>
    </row>
    <row r="16" spans="1:11" ht="17.25" customHeight="1">
      <c r="A16" s="1997" t="s">
        <v>2375</v>
      </c>
      <c r="B16" s="2002">
        <v>8568</v>
      </c>
      <c r="C16" s="2012">
        <v>100</v>
      </c>
      <c r="D16" s="2013">
        <v>8132</v>
      </c>
      <c r="E16" s="2003">
        <v>100</v>
      </c>
      <c r="F16" s="1839">
        <v>8448</v>
      </c>
      <c r="G16" s="2014">
        <v>100</v>
      </c>
      <c r="H16" s="1839">
        <v>7944</v>
      </c>
      <c r="I16" s="2003">
        <v>100</v>
      </c>
      <c r="J16" s="1839">
        <v>7829</v>
      </c>
      <c r="K16" s="2003">
        <v>100</v>
      </c>
    </row>
    <row r="17" spans="1:11" ht="20.100000000000001" customHeight="1">
      <c r="A17" s="299" t="s">
        <v>2738</v>
      </c>
      <c r="B17" s="1844" t="s">
        <v>2748</v>
      </c>
      <c r="C17" s="2015" t="s">
        <v>2442</v>
      </c>
      <c r="D17" s="1844">
        <v>1</v>
      </c>
      <c r="E17" s="2009">
        <v>1.2297097884899163E-2</v>
      </c>
      <c r="F17" s="2016">
        <v>1</v>
      </c>
      <c r="G17" s="2017">
        <v>1.1837121212121212E-2</v>
      </c>
      <c r="H17" s="1844" t="s">
        <v>2748</v>
      </c>
      <c r="I17" s="2009" t="s">
        <v>2748</v>
      </c>
      <c r="J17" s="1844">
        <v>2</v>
      </c>
      <c r="K17" s="2009">
        <v>2.5546046749265552E-2</v>
      </c>
    </row>
    <row r="18" spans="1:11" ht="20.100000000000001" customHeight="1">
      <c r="A18" s="299" t="s">
        <v>2740</v>
      </c>
      <c r="B18" s="1844">
        <v>28</v>
      </c>
      <c r="C18" s="2015">
        <v>0.32679738562091504</v>
      </c>
      <c r="D18" s="1844">
        <v>8</v>
      </c>
      <c r="E18" s="2009">
        <v>9.83767830791933E-2</v>
      </c>
      <c r="F18" s="2016">
        <v>6</v>
      </c>
      <c r="G18" s="2017">
        <v>7.1022727272727279E-2</v>
      </c>
      <c r="H18" s="1844">
        <v>28</v>
      </c>
      <c r="I18" s="2009">
        <v>0.35246727089627394</v>
      </c>
      <c r="J18" s="1844">
        <v>18</v>
      </c>
      <c r="K18" s="2009">
        <v>0.22991442074338994</v>
      </c>
    </row>
    <row r="19" spans="1:11" ht="20.100000000000001" customHeight="1">
      <c r="A19" s="299" t="s">
        <v>2756</v>
      </c>
      <c r="B19" s="1844">
        <v>112</v>
      </c>
      <c r="C19" s="2015">
        <v>1.3071895424836601</v>
      </c>
      <c r="D19" s="1844">
        <v>105</v>
      </c>
      <c r="E19" s="2009">
        <v>1.2911952779144122</v>
      </c>
      <c r="F19" s="2016">
        <v>100</v>
      </c>
      <c r="G19" s="2017">
        <v>1.1837121212121211</v>
      </c>
      <c r="H19" s="1844">
        <v>51</v>
      </c>
      <c r="I19" s="2009">
        <v>0.64199395770392753</v>
      </c>
      <c r="J19" s="1844">
        <v>85</v>
      </c>
      <c r="K19" s="2009">
        <v>1.0857069868437859</v>
      </c>
    </row>
    <row r="20" spans="1:11" ht="20.100000000000001" customHeight="1">
      <c r="A20" s="299" t="s">
        <v>2757</v>
      </c>
      <c r="B20" s="1844">
        <v>882</v>
      </c>
      <c r="C20" s="2015">
        <v>10.294117647058822</v>
      </c>
      <c r="D20" s="1844">
        <v>742</v>
      </c>
      <c r="E20" s="2009">
        <v>9.1244466305951804</v>
      </c>
      <c r="F20" s="2016">
        <v>663</v>
      </c>
      <c r="G20" s="2017">
        <v>7.8480113636363633</v>
      </c>
      <c r="H20" s="1844">
        <v>725</v>
      </c>
      <c r="I20" s="2009">
        <v>9.1263846928499497</v>
      </c>
      <c r="J20" s="1844">
        <v>697</v>
      </c>
      <c r="K20" s="2009">
        <v>8.9027972921190432</v>
      </c>
    </row>
    <row r="21" spans="1:11" ht="20.100000000000001" customHeight="1">
      <c r="A21" s="299" t="s">
        <v>2758</v>
      </c>
      <c r="B21" s="1844">
        <v>3117</v>
      </c>
      <c r="C21" s="2015">
        <v>36.379551820728288</v>
      </c>
      <c r="D21" s="1844">
        <v>2816</v>
      </c>
      <c r="E21" s="2009">
        <v>34.628627643876051</v>
      </c>
      <c r="F21" s="2018">
        <v>2790</v>
      </c>
      <c r="G21" s="2017">
        <v>33.02556818181818</v>
      </c>
      <c r="H21" s="1844">
        <v>2424</v>
      </c>
      <c r="I21" s="2009">
        <v>30.513595166163142</v>
      </c>
      <c r="J21" s="1844">
        <v>2398</v>
      </c>
      <c r="K21" s="2009">
        <v>30.629710052369397</v>
      </c>
    </row>
    <row r="22" spans="1:11" ht="20.100000000000001" customHeight="1">
      <c r="A22" s="299" t="s">
        <v>2759</v>
      </c>
      <c r="B22" s="1844">
        <v>40</v>
      </c>
      <c r="C22" s="2015">
        <v>0.46685340802987862</v>
      </c>
      <c r="D22" s="1844">
        <v>45</v>
      </c>
      <c r="E22" s="2009">
        <v>0.55336940482046237</v>
      </c>
      <c r="F22" s="2016">
        <v>44</v>
      </c>
      <c r="G22" s="2017">
        <v>0.52083333333333326</v>
      </c>
      <c r="H22" s="1844">
        <v>50</v>
      </c>
      <c r="I22" s="2009">
        <v>0.62940584088620344</v>
      </c>
      <c r="J22" s="1844">
        <v>42</v>
      </c>
      <c r="K22" s="2009">
        <v>0.53646698173457652</v>
      </c>
    </row>
    <row r="23" spans="1:11" ht="20.100000000000001" customHeight="1">
      <c r="A23" s="299" t="s">
        <v>2760</v>
      </c>
      <c r="B23" s="1844">
        <v>4361</v>
      </c>
      <c r="C23" s="2015">
        <v>50.898692810457511</v>
      </c>
      <c r="D23" s="1844">
        <v>4375</v>
      </c>
      <c r="E23" s="2009">
        <v>53.799803246433839</v>
      </c>
      <c r="F23" s="2018">
        <v>4789</v>
      </c>
      <c r="G23" s="2017">
        <v>56.687973484848484</v>
      </c>
      <c r="H23" s="1844">
        <v>4610</v>
      </c>
      <c r="I23" s="2009">
        <v>58.031218529707949</v>
      </c>
      <c r="J23" s="1844">
        <v>4535</v>
      </c>
      <c r="K23" s="2009">
        <v>57.92566100395964</v>
      </c>
    </row>
    <row r="24" spans="1:11" ht="16.5">
      <c r="A24" s="299" t="s">
        <v>2761</v>
      </c>
      <c r="B24" s="1844">
        <v>28</v>
      </c>
      <c r="C24" s="2015">
        <v>0.32679738562091504</v>
      </c>
      <c r="D24" s="1844">
        <v>40</v>
      </c>
      <c r="E24" s="2009">
        <v>0.49188391539596654</v>
      </c>
      <c r="F24" s="2016">
        <v>55</v>
      </c>
      <c r="G24" s="2017">
        <v>0.65104166666666674</v>
      </c>
      <c r="H24" s="1844">
        <v>56</v>
      </c>
      <c r="I24" s="2009">
        <v>0.70493454179254789</v>
      </c>
      <c r="J24" s="1844">
        <v>52</v>
      </c>
      <c r="K24" s="2009">
        <v>0.66419721548090438</v>
      </c>
    </row>
    <row r="25" spans="1:11" ht="20.100000000000001" customHeight="1">
      <c r="A25" s="1944" t="s">
        <v>2762</v>
      </c>
      <c r="B25" s="1951" t="s">
        <v>1</v>
      </c>
      <c r="C25" s="2019" t="s">
        <v>2748</v>
      </c>
      <c r="D25" s="1951" t="s">
        <v>1</v>
      </c>
      <c r="E25" s="2019" t="s">
        <v>2748</v>
      </c>
      <c r="F25" s="1969" t="s">
        <v>1</v>
      </c>
      <c r="G25" s="2020" t="s">
        <v>2748</v>
      </c>
      <c r="H25" s="1951" t="s">
        <v>1</v>
      </c>
      <c r="I25" s="1948" t="s">
        <v>2748</v>
      </c>
      <c r="J25" s="1951" t="s">
        <v>1</v>
      </c>
      <c r="K25" s="1948" t="s">
        <v>2748</v>
      </c>
    </row>
    <row r="26" spans="1:11">
      <c r="A26" s="3759" t="s">
        <v>2763</v>
      </c>
      <c r="B26" s="3759"/>
      <c r="C26" s="3759"/>
      <c r="H26" s="1953"/>
      <c r="I26" s="2021"/>
      <c r="J26" s="2022"/>
      <c r="K26" s="2022"/>
    </row>
    <row r="27" spans="1:11" ht="27.75" customHeight="1">
      <c r="A27" s="3824" t="s">
        <v>2764</v>
      </c>
      <c r="B27" s="3759"/>
      <c r="C27" s="3759"/>
      <c r="D27" s="3818"/>
      <c r="E27" s="3818"/>
    </row>
    <row r="28" spans="1:11">
      <c r="A28" s="3815" t="s">
        <v>2765</v>
      </c>
      <c r="B28" s="3815"/>
      <c r="C28" s="3815"/>
      <c r="D28" s="3815"/>
      <c r="E28" s="3815"/>
      <c r="F28" s="2022"/>
      <c r="G28" s="2023"/>
    </row>
  </sheetData>
  <mergeCells count="14">
    <mergeCell ref="A27:E27"/>
    <mergeCell ref="A28:E28"/>
    <mergeCell ref="B14:C14"/>
    <mergeCell ref="D14:E14"/>
    <mergeCell ref="F14:G14"/>
    <mergeCell ref="H14:I14"/>
    <mergeCell ref="J14:K14"/>
    <mergeCell ref="A26:C26"/>
    <mergeCell ref="A1:K1"/>
    <mergeCell ref="B2:C2"/>
    <mergeCell ref="D2:E2"/>
    <mergeCell ref="F2:G2"/>
    <mergeCell ref="H2:I2"/>
    <mergeCell ref="J2:K2"/>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54"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U24"/>
  <sheetViews>
    <sheetView showGridLines="0" showRuler="0" zoomScale="110" zoomScaleNormal="110" zoomScalePageLayoutView="125" workbookViewId="0">
      <selection activeCell="B18" sqref="B18:D18"/>
    </sheetView>
  </sheetViews>
  <sheetFormatPr defaultColWidth="9" defaultRowHeight="15.75"/>
  <cols>
    <col min="1" max="1" width="15.625" style="1795" customWidth="1"/>
    <col min="2" max="21" width="7.625" style="1795" customWidth="1"/>
    <col min="22" max="16384" width="9" style="1795"/>
  </cols>
  <sheetData>
    <row r="1" spans="1:21" s="2024" customFormat="1" ht="26.25" customHeight="1">
      <c r="A1" s="3733" t="s">
        <v>2766</v>
      </c>
      <c r="B1" s="3733"/>
      <c r="C1" s="3733"/>
      <c r="D1" s="3733"/>
      <c r="E1" s="3733"/>
      <c r="F1" s="3733"/>
      <c r="G1" s="3733"/>
      <c r="H1" s="3733"/>
      <c r="I1" s="3733"/>
      <c r="J1" s="3733"/>
      <c r="K1" s="3733"/>
      <c r="L1" s="3733"/>
      <c r="M1" s="3733"/>
      <c r="N1" s="3733"/>
      <c r="O1" s="3733"/>
      <c r="P1" s="3733"/>
      <c r="Q1" s="3733"/>
      <c r="R1" s="3733"/>
      <c r="S1" s="3733"/>
      <c r="T1" s="3733"/>
      <c r="U1" s="3733"/>
    </row>
    <row r="2" spans="1:21" ht="20.100000000000001" customHeight="1">
      <c r="A2" s="3717"/>
      <c r="B2" s="3722" t="s">
        <v>2729</v>
      </c>
      <c r="C2" s="3722"/>
      <c r="D2" s="3722"/>
      <c r="E2" s="3734"/>
      <c r="F2" s="3730" t="s">
        <v>2730</v>
      </c>
      <c r="G2" s="3722"/>
      <c r="H2" s="3722"/>
      <c r="I2" s="3734"/>
      <c r="J2" s="3730" t="s">
        <v>2731</v>
      </c>
      <c r="K2" s="3722"/>
      <c r="L2" s="3722"/>
      <c r="M2" s="3734"/>
      <c r="N2" s="3730" t="s">
        <v>2767</v>
      </c>
      <c r="O2" s="3722"/>
      <c r="P2" s="3722"/>
      <c r="Q2" s="3734"/>
      <c r="R2" s="3803" t="s">
        <v>2734</v>
      </c>
      <c r="S2" s="3799"/>
      <c r="T2" s="3799"/>
      <c r="U2" s="3799"/>
    </row>
    <row r="3" spans="1:21" s="1960" customFormat="1" ht="20.100000000000001" customHeight="1">
      <c r="A3" s="3831"/>
      <c r="B3" s="3722" t="s">
        <v>2768</v>
      </c>
      <c r="C3" s="3722"/>
      <c r="D3" s="3734"/>
      <c r="E3" s="3719" t="s">
        <v>2769</v>
      </c>
      <c r="F3" s="3730" t="s">
        <v>2770</v>
      </c>
      <c r="G3" s="3722"/>
      <c r="H3" s="3734"/>
      <c r="I3" s="3719" t="s">
        <v>2771</v>
      </c>
      <c r="J3" s="3730" t="s">
        <v>2770</v>
      </c>
      <c r="K3" s="3722"/>
      <c r="L3" s="3734"/>
      <c r="M3" s="3719" t="s">
        <v>2771</v>
      </c>
      <c r="N3" s="3730" t="s">
        <v>2768</v>
      </c>
      <c r="O3" s="3722"/>
      <c r="P3" s="3734"/>
      <c r="Q3" s="3719" t="s">
        <v>2769</v>
      </c>
      <c r="R3" s="3803" t="s">
        <v>2768</v>
      </c>
      <c r="S3" s="3799"/>
      <c r="T3" s="3804"/>
      <c r="U3" s="3805" t="s">
        <v>2769</v>
      </c>
    </row>
    <row r="4" spans="1:21" s="1960" customFormat="1" ht="20.100000000000001" customHeight="1">
      <c r="A4" s="3522"/>
      <c r="B4" s="1927" t="s">
        <v>2772</v>
      </c>
      <c r="C4" s="1927" t="s">
        <v>2773</v>
      </c>
      <c r="D4" s="1927" t="s">
        <v>2774</v>
      </c>
      <c r="E4" s="3720"/>
      <c r="F4" s="1859" t="s">
        <v>2772</v>
      </c>
      <c r="G4" s="1927" t="s">
        <v>2773</v>
      </c>
      <c r="H4" s="1927" t="s">
        <v>2774</v>
      </c>
      <c r="I4" s="3720"/>
      <c r="J4" s="1859" t="s">
        <v>2772</v>
      </c>
      <c r="K4" s="1927" t="s">
        <v>2775</v>
      </c>
      <c r="L4" s="1927" t="s">
        <v>2776</v>
      </c>
      <c r="M4" s="3720"/>
      <c r="N4" s="1859" t="s">
        <v>2772</v>
      </c>
      <c r="O4" s="1927" t="s">
        <v>2773</v>
      </c>
      <c r="P4" s="1927" t="s">
        <v>2776</v>
      </c>
      <c r="Q4" s="3720"/>
      <c r="R4" s="1903" t="s">
        <v>2772</v>
      </c>
      <c r="S4" s="1902" t="s">
        <v>2773</v>
      </c>
      <c r="T4" s="1902" t="s">
        <v>2776</v>
      </c>
      <c r="U4" s="3806"/>
    </row>
    <row r="5" spans="1:21" s="1960" customFormat="1" ht="20.100000000000001" customHeight="1">
      <c r="A5" s="1997" t="s">
        <v>2772</v>
      </c>
      <c r="B5" s="2004">
        <f t="shared" ref="B5:B10" si="0">SUM(C5,D5)</f>
        <v>9414</v>
      </c>
      <c r="C5" s="2004">
        <v>8058</v>
      </c>
      <c r="D5" s="2004">
        <v>1356</v>
      </c>
      <c r="E5" s="1842">
        <f t="shared" ref="E5:E10" si="1">B5/B$5*100</f>
        <v>100</v>
      </c>
      <c r="F5" s="2004">
        <f t="shared" ref="F5:F10" si="2">SUM(G5,H5)</f>
        <v>10793</v>
      </c>
      <c r="G5" s="2004">
        <v>9316</v>
      </c>
      <c r="H5" s="2004">
        <v>1477</v>
      </c>
      <c r="I5" s="1842">
        <f t="shared" ref="I5:I10" si="3">F5/F$5*100</f>
        <v>100</v>
      </c>
      <c r="J5" s="2004">
        <f t="shared" ref="J5:J10" si="4">SUM(K5,L5)</f>
        <v>11383</v>
      </c>
      <c r="K5" s="2004">
        <v>9859</v>
      </c>
      <c r="L5" s="2004">
        <v>1524</v>
      </c>
      <c r="M5" s="1842">
        <f t="shared" ref="M5:M10" si="5">J5/J$5*100</f>
        <v>100</v>
      </c>
      <c r="N5" s="2004">
        <f t="shared" ref="N5:N10" si="6">SUM(O5,P5)</f>
        <v>10374</v>
      </c>
      <c r="O5" s="2004">
        <v>8961</v>
      </c>
      <c r="P5" s="2004">
        <v>1413</v>
      </c>
      <c r="Q5" s="1842">
        <f t="shared" ref="Q5:Q10" si="7">N5/N$5*100</f>
        <v>100</v>
      </c>
      <c r="R5" s="2025">
        <f t="shared" ref="R5:R10" si="8">SUM(S5,T5)</f>
        <v>9359</v>
      </c>
      <c r="S5" s="2025">
        <v>8144</v>
      </c>
      <c r="T5" s="2025">
        <v>1215</v>
      </c>
      <c r="U5" s="2026">
        <f t="shared" ref="U5:U10" si="9">R5/R$5*100</f>
        <v>100</v>
      </c>
    </row>
    <row r="6" spans="1:21" ht="20.100000000000001" customHeight="1">
      <c r="A6" s="299" t="s">
        <v>2777</v>
      </c>
      <c r="B6" s="2004">
        <f t="shared" si="0"/>
        <v>5544</v>
      </c>
      <c r="C6" s="2004">
        <v>4806</v>
      </c>
      <c r="D6" s="2004">
        <v>738</v>
      </c>
      <c r="E6" s="1842">
        <f t="shared" si="1"/>
        <v>58.891013384321219</v>
      </c>
      <c r="F6" s="2004">
        <f t="shared" si="2"/>
        <v>6280</v>
      </c>
      <c r="G6" s="2004">
        <v>5422</v>
      </c>
      <c r="H6" s="2004">
        <v>858</v>
      </c>
      <c r="I6" s="1842">
        <f t="shared" si="3"/>
        <v>58.185861206337442</v>
      </c>
      <c r="J6" s="2004">
        <f t="shared" si="4"/>
        <v>6433</v>
      </c>
      <c r="K6" s="2004">
        <v>5567</v>
      </c>
      <c r="L6" s="2004">
        <v>866</v>
      </c>
      <c r="M6" s="1842">
        <f t="shared" si="5"/>
        <v>56.514099973644903</v>
      </c>
      <c r="N6" s="2004">
        <f t="shared" si="6"/>
        <v>5674</v>
      </c>
      <c r="O6" s="2004">
        <v>4855</v>
      </c>
      <c r="P6" s="2004">
        <v>819</v>
      </c>
      <c r="Q6" s="1842">
        <f t="shared" si="7"/>
        <v>54.694428378638904</v>
      </c>
      <c r="R6" s="2025">
        <f t="shared" si="8"/>
        <v>5063</v>
      </c>
      <c r="S6" s="2025">
        <v>4382</v>
      </c>
      <c r="T6" s="2025">
        <v>681</v>
      </c>
      <c r="U6" s="2026">
        <f t="shared" si="9"/>
        <v>54.097660006410941</v>
      </c>
    </row>
    <row r="7" spans="1:21" ht="20.100000000000001" customHeight="1">
      <c r="A7" s="299" t="s">
        <v>2778</v>
      </c>
      <c r="B7" s="2004">
        <f t="shared" si="0"/>
        <v>1139</v>
      </c>
      <c r="C7" s="2004">
        <v>989</v>
      </c>
      <c r="D7" s="2004">
        <v>150</v>
      </c>
      <c r="E7" s="1842">
        <f t="shared" si="1"/>
        <v>12.099001487146802</v>
      </c>
      <c r="F7" s="2004">
        <f t="shared" si="2"/>
        <v>1298</v>
      </c>
      <c r="G7" s="2004">
        <v>1161</v>
      </c>
      <c r="H7" s="2004">
        <v>137</v>
      </c>
      <c r="I7" s="1842">
        <f t="shared" si="3"/>
        <v>12.026313351246177</v>
      </c>
      <c r="J7" s="2004">
        <f t="shared" si="4"/>
        <v>1464</v>
      </c>
      <c r="K7" s="2004">
        <v>1326</v>
      </c>
      <c r="L7" s="2004">
        <v>138</v>
      </c>
      <c r="M7" s="1842">
        <f t="shared" si="5"/>
        <v>12.861284371431081</v>
      </c>
      <c r="N7" s="2004">
        <f t="shared" si="6"/>
        <v>1599</v>
      </c>
      <c r="O7" s="2004">
        <v>1462</v>
      </c>
      <c r="P7" s="2004">
        <v>137</v>
      </c>
      <c r="Q7" s="1842">
        <f t="shared" si="7"/>
        <v>15.413533834586465</v>
      </c>
      <c r="R7" s="2025">
        <f t="shared" si="8"/>
        <v>1591</v>
      </c>
      <c r="S7" s="2025">
        <v>1464</v>
      </c>
      <c r="T7" s="2025">
        <v>127</v>
      </c>
      <c r="U7" s="2026">
        <f t="shared" si="9"/>
        <v>16.999679452933005</v>
      </c>
    </row>
    <row r="8" spans="1:21" ht="20.100000000000001" customHeight="1">
      <c r="A8" s="299" t="s">
        <v>2779</v>
      </c>
      <c r="B8" s="2004">
        <f t="shared" si="0"/>
        <v>1468</v>
      </c>
      <c r="C8" s="2004">
        <v>1182</v>
      </c>
      <c r="D8" s="2004">
        <v>286</v>
      </c>
      <c r="E8" s="1842">
        <f t="shared" si="1"/>
        <v>15.593796473337582</v>
      </c>
      <c r="F8" s="2004">
        <f t="shared" si="2"/>
        <v>1785</v>
      </c>
      <c r="G8" s="2004">
        <v>1502</v>
      </c>
      <c r="H8" s="2004">
        <v>283</v>
      </c>
      <c r="I8" s="1842">
        <f t="shared" si="3"/>
        <v>16.538497174094321</v>
      </c>
      <c r="J8" s="2004">
        <f t="shared" si="4"/>
        <v>1924</v>
      </c>
      <c r="K8" s="2004">
        <v>1620</v>
      </c>
      <c r="L8" s="2004">
        <v>304</v>
      </c>
      <c r="M8" s="1842">
        <f t="shared" si="5"/>
        <v>16.90239831327418</v>
      </c>
      <c r="N8" s="2004">
        <f t="shared" si="6"/>
        <v>1769</v>
      </c>
      <c r="O8" s="2004">
        <v>1502</v>
      </c>
      <c r="P8" s="2004">
        <v>267</v>
      </c>
      <c r="Q8" s="1842">
        <f t="shared" si="7"/>
        <v>17.052245999614421</v>
      </c>
      <c r="R8" s="2025">
        <f t="shared" si="8"/>
        <v>1523</v>
      </c>
      <c r="S8" s="2025">
        <v>1252</v>
      </c>
      <c r="T8" s="2025">
        <v>271</v>
      </c>
      <c r="U8" s="2026">
        <f t="shared" si="9"/>
        <v>16.273106101079176</v>
      </c>
    </row>
    <row r="9" spans="1:21" ht="20.100000000000001" customHeight="1">
      <c r="A9" s="299" t="s">
        <v>2780</v>
      </c>
      <c r="B9" s="2004">
        <f t="shared" si="0"/>
        <v>410</v>
      </c>
      <c r="C9" s="2004">
        <v>353</v>
      </c>
      <c r="D9" s="2004">
        <v>57</v>
      </c>
      <c r="E9" s="1842">
        <f t="shared" si="1"/>
        <v>4.3552156362863821</v>
      </c>
      <c r="F9" s="2004">
        <f t="shared" si="2"/>
        <v>582</v>
      </c>
      <c r="G9" s="2004">
        <v>517</v>
      </c>
      <c r="H9" s="2004">
        <v>65</v>
      </c>
      <c r="I9" s="1842">
        <f t="shared" si="3"/>
        <v>5.392383952561846</v>
      </c>
      <c r="J9" s="2004">
        <f t="shared" si="4"/>
        <v>615</v>
      </c>
      <c r="K9" s="2004">
        <v>541</v>
      </c>
      <c r="L9" s="2004">
        <v>74</v>
      </c>
      <c r="M9" s="1842">
        <f t="shared" si="5"/>
        <v>5.4027936396380563</v>
      </c>
      <c r="N9" s="2004">
        <f t="shared" si="6"/>
        <v>642</v>
      </c>
      <c r="O9" s="2004">
        <v>570</v>
      </c>
      <c r="P9" s="2004">
        <v>72</v>
      </c>
      <c r="Q9" s="1842">
        <f t="shared" si="7"/>
        <v>6.1885482938114516</v>
      </c>
      <c r="R9" s="2025">
        <f t="shared" si="8"/>
        <v>607</v>
      </c>
      <c r="S9" s="2025">
        <v>551</v>
      </c>
      <c r="T9" s="2025">
        <v>56</v>
      </c>
      <c r="U9" s="2026">
        <f t="shared" si="9"/>
        <v>6.4857356555187522</v>
      </c>
    </row>
    <row r="10" spans="1:21" ht="20.100000000000001" customHeight="1" thickBot="1">
      <c r="A10" s="299" t="s">
        <v>2781</v>
      </c>
      <c r="B10" s="2004">
        <f t="shared" si="0"/>
        <v>853</v>
      </c>
      <c r="C10" s="2004">
        <v>728</v>
      </c>
      <c r="D10" s="2004">
        <v>125</v>
      </c>
      <c r="E10" s="1842">
        <f t="shared" si="1"/>
        <v>9.06097301890801</v>
      </c>
      <c r="F10" s="2004">
        <f t="shared" si="2"/>
        <v>848</v>
      </c>
      <c r="G10" s="2004">
        <v>714</v>
      </c>
      <c r="H10" s="2004">
        <v>134</v>
      </c>
      <c r="I10" s="1842">
        <f t="shared" si="3"/>
        <v>7.8569443157602157</v>
      </c>
      <c r="J10" s="2004">
        <f t="shared" si="4"/>
        <v>947</v>
      </c>
      <c r="K10" s="2004">
        <v>805</v>
      </c>
      <c r="L10" s="2004">
        <v>142</v>
      </c>
      <c r="M10" s="1842">
        <f t="shared" si="5"/>
        <v>8.3194237020117718</v>
      </c>
      <c r="N10" s="2004">
        <f t="shared" si="6"/>
        <v>690</v>
      </c>
      <c r="O10" s="2004">
        <v>572</v>
      </c>
      <c r="P10" s="2004">
        <v>118</v>
      </c>
      <c r="Q10" s="1842">
        <f t="shared" si="7"/>
        <v>6.6512434933487556</v>
      </c>
      <c r="R10" s="2025">
        <f t="shared" si="8"/>
        <v>575</v>
      </c>
      <c r="S10" s="2025">
        <v>495</v>
      </c>
      <c r="T10" s="2025">
        <v>80</v>
      </c>
      <c r="U10" s="2026">
        <f t="shared" si="9"/>
        <v>6.1438187840581255</v>
      </c>
    </row>
    <row r="11" spans="1:21" ht="20.100000000000001" customHeight="1">
      <c r="A11" s="3832"/>
      <c r="B11" s="3833" t="s">
        <v>2782</v>
      </c>
      <c r="C11" s="3833"/>
      <c r="D11" s="3833"/>
      <c r="E11" s="3834"/>
      <c r="F11" s="3835" t="s">
        <v>2783</v>
      </c>
      <c r="G11" s="3833"/>
      <c r="H11" s="3833"/>
      <c r="I11" s="3834"/>
      <c r="J11" s="3835" t="s">
        <v>2784</v>
      </c>
      <c r="K11" s="3833"/>
      <c r="L11" s="3833"/>
      <c r="M11" s="3834"/>
      <c r="N11" s="3835" t="s">
        <v>2785</v>
      </c>
      <c r="O11" s="3833"/>
      <c r="P11" s="3833"/>
      <c r="Q11" s="3834"/>
      <c r="R11" s="3835" t="s">
        <v>2786</v>
      </c>
      <c r="S11" s="3833"/>
      <c r="T11" s="3833"/>
      <c r="U11" s="3833"/>
    </row>
    <row r="12" spans="1:21" ht="20.100000000000001" customHeight="1">
      <c r="A12" s="3831"/>
      <c r="B12" s="3722" t="s">
        <v>2768</v>
      </c>
      <c r="C12" s="3722"/>
      <c r="D12" s="3734"/>
      <c r="E12" s="3719" t="s">
        <v>2771</v>
      </c>
      <c r="F12" s="3730" t="s">
        <v>2768</v>
      </c>
      <c r="G12" s="3722"/>
      <c r="H12" s="3734"/>
      <c r="I12" s="3719" t="s">
        <v>2771</v>
      </c>
      <c r="J12" s="3730" t="s">
        <v>2768</v>
      </c>
      <c r="K12" s="3722"/>
      <c r="L12" s="3734"/>
      <c r="M12" s="3719" t="s">
        <v>2771</v>
      </c>
      <c r="N12" s="3730" t="s">
        <v>2768</v>
      </c>
      <c r="O12" s="3722"/>
      <c r="P12" s="3734"/>
      <c r="Q12" s="3719" t="s">
        <v>2771</v>
      </c>
      <c r="R12" s="3730" t="s">
        <v>2768</v>
      </c>
      <c r="S12" s="3722"/>
      <c r="T12" s="3734"/>
      <c r="U12" s="3721" t="s">
        <v>2771</v>
      </c>
    </row>
    <row r="13" spans="1:21" ht="20.100000000000001" customHeight="1">
      <c r="A13" s="3522"/>
      <c r="B13" s="1927" t="s">
        <v>2772</v>
      </c>
      <c r="C13" s="1927" t="s">
        <v>2773</v>
      </c>
      <c r="D13" s="1927" t="s">
        <v>2776</v>
      </c>
      <c r="E13" s="3720"/>
      <c r="F13" s="1859" t="s">
        <v>2772</v>
      </c>
      <c r="G13" s="1927" t="s">
        <v>2773</v>
      </c>
      <c r="H13" s="1927" t="s">
        <v>2776</v>
      </c>
      <c r="I13" s="3720"/>
      <c r="J13" s="1859" t="s">
        <v>2772</v>
      </c>
      <c r="K13" s="1927" t="s">
        <v>2773</v>
      </c>
      <c r="L13" s="1927" t="s">
        <v>2776</v>
      </c>
      <c r="M13" s="3720"/>
      <c r="N13" s="1859" t="s">
        <v>2772</v>
      </c>
      <c r="O13" s="1927" t="s">
        <v>2773</v>
      </c>
      <c r="P13" s="1927" t="s">
        <v>2776</v>
      </c>
      <c r="Q13" s="3720"/>
      <c r="R13" s="1859" t="s">
        <v>2772</v>
      </c>
      <c r="S13" s="1927" t="s">
        <v>2773</v>
      </c>
      <c r="T13" s="1927" t="s">
        <v>2776</v>
      </c>
      <c r="U13" s="3836"/>
    </row>
    <row r="14" spans="1:21" s="1960" customFormat="1" ht="20.100000000000001" customHeight="1">
      <c r="A14" s="1997" t="s">
        <v>2772</v>
      </c>
      <c r="B14" s="2004">
        <f t="shared" ref="B14:B19" si="10">SUM(C14,D14)</f>
        <v>8568</v>
      </c>
      <c r="C14" s="2004">
        <v>7410</v>
      </c>
      <c r="D14" s="2004">
        <v>1158</v>
      </c>
      <c r="E14" s="1842">
        <f t="shared" ref="E14:E19" si="11">B14/B$14*100</f>
        <v>100</v>
      </c>
      <c r="F14" s="2004">
        <f t="shared" ref="F14:F19" si="12">SUM(G14,H14)</f>
        <v>8132</v>
      </c>
      <c r="G14" s="2004">
        <v>7042</v>
      </c>
      <c r="H14" s="2004">
        <v>1090</v>
      </c>
      <c r="I14" s="1842">
        <f t="shared" ref="I14:I19" si="13">F14/F$14*100</f>
        <v>100</v>
      </c>
      <c r="J14" s="2004">
        <f t="shared" ref="J14:J19" si="14">SUM(K14,L14)</f>
        <v>8448</v>
      </c>
      <c r="K14" s="2004">
        <v>7351</v>
      </c>
      <c r="L14" s="2004">
        <v>1097</v>
      </c>
      <c r="M14" s="1842">
        <f t="shared" ref="M14:M19" si="15">J14/J$14*100</f>
        <v>100</v>
      </c>
      <c r="N14" s="2004">
        <f t="shared" ref="N14:N19" si="16">SUM(O14,P14)</f>
        <v>7944</v>
      </c>
      <c r="O14" s="2004">
        <v>6907</v>
      </c>
      <c r="P14" s="2004">
        <v>1037</v>
      </c>
      <c r="Q14" s="1842">
        <f t="shared" ref="Q14:Q19" si="17">N14/N$14*100</f>
        <v>100</v>
      </c>
      <c r="R14" s="2004">
        <f t="shared" ref="R14:R19" si="18">SUM(S14,T14)</f>
        <v>7829</v>
      </c>
      <c r="S14" s="2004">
        <v>6803</v>
      </c>
      <c r="T14" s="2004">
        <v>1026</v>
      </c>
      <c r="U14" s="1840">
        <f t="shared" ref="U14:U19" si="19">R14/R$14*100</f>
        <v>100</v>
      </c>
    </row>
    <row r="15" spans="1:21" ht="20.100000000000001" customHeight="1">
      <c r="A15" s="299" t="s">
        <v>2777</v>
      </c>
      <c r="B15" s="2004">
        <f t="shared" si="10"/>
        <v>4464</v>
      </c>
      <c r="C15" s="2004">
        <v>3870</v>
      </c>
      <c r="D15" s="2004">
        <v>594</v>
      </c>
      <c r="E15" s="1842">
        <f t="shared" si="11"/>
        <v>52.100840336134461</v>
      </c>
      <c r="F15" s="2004">
        <f t="shared" si="12"/>
        <v>4176</v>
      </c>
      <c r="G15" s="2004">
        <v>3591</v>
      </c>
      <c r="H15" s="2004">
        <v>585</v>
      </c>
      <c r="I15" s="1842">
        <f t="shared" si="13"/>
        <v>51.35268076733891</v>
      </c>
      <c r="J15" s="2004">
        <f t="shared" si="14"/>
        <v>4203</v>
      </c>
      <c r="K15" s="2004">
        <v>3672</v>
      </c>
      <c r="L15" s="2004">
        <v>531</v>
      </c>
      <c r="M15" s="1842">
        <f t="shared" si="15"/>
        <v>49.751420454545453</v>
      </c>
      <c r="N15" s="2004">
        <f t="shared" si="16"/>
        <v>3746</v>
      </c>
      <c r="O15" s="2004">
        <v>3254</v>
      </c>
      <c r="P15" s="2004">
        <v>492</v>
      </c>
      <c r="Q15" s="1842">
        <f t="shared" si="17"/>
        <v>47.155085599194365</v>
      </c>
      <c r="R15" s="2004">
        <f t="shared" si="18"/>
        <v>3815</v>
      </c>
      <c r="S15" s="2004">
        <v>3270</v>
      </c>
      <c r="T15" s="2004">
        <v>545</v>
      </c>
      <c r="U15" s="1845">
        <f t="shared" si="19"/>
        <v>48.729084174224042</v>
      </c>
    </row>
    <row r="16" spans="1:21" ht="20.100000000000001" customHeight="1">
      <c r="A16" s="299" t="s">
        <v>2778</v>
      </c>
      <c r="B16" s="2004">
        <f t="shared" si="10"/>
        <v>1585</v>
      </c>
      <c r="C16" s="2004">
        <v>1440</v>
      </c>
      <c r="D16" s="2004">
        <v>145</v>
      </c>
      <c r="E16" s="1842">
        <f t="shared" si="11"/>
        <v>18.49906629318394</v>
      </c>
      <c r="F16" s="2004">
        <f t="shared" si="12"/>
        <v>1502</v>
      </c>
      <c r="G16" s="2004">
        <v>1372</v>
      </c>
      <c r="H16" s="2004">
        <v>130</v>
      </c>
      <c r="I16" s="1842">
        <f t="shared" si="13"/>
        <v>18.470241023118543</v>
      </c>
      <c r="J16" s="2004">
        <f t="shared" si="14"/>
        <v>1574</v>
      </c>
      <c r="K16" s="2004">
        <v>1437</v>
      </c>
      <c r="L16" s="2004">
        <v>137</v>
      </c>
      <c r="M16" s="1842">
        <f t="shared" si="15"/>
        <v>18.631628787878789</v>
      </c>
      <c r="N16" s="2004">
        <f t="shared" si="16"/>
        <v>1665</v>
      </c>
      <c r="O16" s="2004">
        <v>1496</v>
      </c>
      <c r="P16" s="2004">
        <v>169</v>
      </c>
      <c r="Q16" s="1842">
        <f t="shared" si="17"/>
        <v>20.959214501510573</v>
      </c>
      <c r="R16" s="2004">
        <f t="shared" si="18"/>
        <v>1528</v>
      </c>
      <c r="S16" s="2004">
        <v>1386</v>
      </c>
      <c r="T16" s="2004">
        <v>142</v>
      </c>
      <c r="U16" s="1845">
        <f t="shared" si="19"/>
        <v>19.517179716438882</v>
      </c>
    </row>
    <row r="17" spans="1:21" ht="20.100000000000001" customHeight="1">
      <c r="A17" s="299" t="s">
        <v>2779</v>
      </c>
      <c r="B17" s="2004">
        <f t="shared" si="10"/>
        <v>1401</v>
      </c>
      <c r="C17" s="2004">
        <v>1147</v>
      </c>
      <c r="D17" s="2004">
        <v>254</v>
      </c>
      <c r="E17" s="1842">
        <f t="shared" si="11"/>
        <v>16.351540616246499</v>
      </c>
      <c r="F17" s="2004">
        <f t="shared" si="12"/>
        <v>1461</v>
      </c>
      <c r="G17" s="2004">
        <v>1234</v>
      </c>
      <c r="H17" s="2004">
        <v>227</v>
      </c>
      <c r="I17" s="1842">
        <f t="shared" si="13"/>
        <v>17.96606000983768</v>
      </c>
      <c r="J17" s="2004">
        <f t="shared" si="14"/>
        <v>1647</v>
      </c>
      <c r="K17" s="2004">
        <v>1376</v>
      </c>
      <c r="L17" s="2004">
        <v>271</v>
      </c>
      <c r="M17" s="1842">
        <f t="shared" si="15"/>
        <v>19.495738636363637</v>
      </c>
      <c r="N17" s="2004">
        <f t="shared" si="16"/>
        <v>1375</v>
      </c>
      <c r="O17" s="2004">
        <v>1146</v>
      </c>
      <c r="P17" s="2004">
        <v>229</v>
      </c>
      <c r="Q17" s="1842">
        <f t="shared" si="17"/>
        <v>17.308660624370596</v>
      </c>
      <c r="R17" s="2004">
        <f t="shared" si="18"/>
        <v>1362</v>
      </c>
      <c r="S17" s="2004">
        <v>1180</v>
      </c>
      <c r="T17" s="2004">
        <v>182</v>
      </c>
      <c r="U17" s="1845">
        <f t="shared" si="19"/>
        <v>17.39685783624984</v>
      </c>
    </row>
    <row r="18" spans="1:21" ht="20.100000000000001" customHeight="1">
      <c r="A18" s="299" t="s">
        <v>2780</v>
      </c>
      <c r="B18" s="2004">
        <f t="shared" si="10"/>
        <v>599</v>
      </c>
      <c r="C18" s="2004">
        <v>526</v>
      </c>
      <c r="D18" s="2004">
        <v>73</v>
      </c>
      <c r="E18" s="1842">
        <f t="shared" si="11"/>
        <v>6.9911297852474323</v>
      </c>
      <c r="F18" s="2004">
        <f t="shared" si="12"/>
        <v>536</v>
      </c>
      <c r="G18" s="2004">
        <v>463</v>
      </c>
      <c r="H18" s="2004">
        <v>73</v>
      </c>
      <c r="I18" s="1842">
        <f t="shared" si="13"/>
        <v>6.5912444663059526</v>
      </c>
      <c r="J18" s="2004">
        <f t="shared" si="14"/>
        <v>639</v>
      </c>
      <c r="K18" s="2004">
        <v>540</v>
      </c>
      <c r="L18" s="2004">
        <v>99</v>
      </c>
      <c r="M18" s="1842">
        <f t="shared" si="15"/>
        <v>7.5639204545454541</v>
      </c>
      <c r="N18" s="2004">
        <f t="shared" si="16"/>
        <v>618</v>
      </c>
      <c r="O18" s="2004">
        <v>551</v>
      </c>
      <c r="P18" s="2004">
        <v>67</v>
      </c>
      <c r="Q18" s="1842">
        <f t="shared" si="17"/>
        <v>7.7794561933534752</v>
      </c>
      <c r="R18" s="2004">
        <f t="shared" si="18"/>
        <v>652</v>
      </c>
      <c r="S18" s="2004">
        <v>560</v>
      </c>
      <c r="T18" s="2004">
        <v>92</v>
      </c>
      <c r="U18" s="1845">
        <f t="shared" si="19"/>
        <v>8.3280112402605706</v>
      </c>
    </row>
    <row r="19" spans="1:21" ht="20.100000000000001" customHeight="1">
      <c r="A19" s="299" t="s">
        <v>2787</v>
      </c>
      <c r="B19" s="2027">
        <f t="shared" si="10"/>
        <v>519</v>
      </c>
      <c r="C19" s="2028">
        <v>427</v>
      </c>
      <c r="D19" s="2028">
        <v>92</v>
      </c>
      <c r="E19" s="1854">
        <f t="shared" si="11"/>
        <v>6.0574229691876749</v>
      </c>
      <c r="F19" s="2027">
        <f t="shared" si="12"/>
        <v>457</v>
      </c>
      <c r="G19" s="2028">
        <v>382</v>
      </c>
      <c r="H19" s="2028">
        <v>75</v>
      </c>
      <c r="I19" s="1854">
        <f t="shared" si="13"/>
        <v>5.6197737333989179</v>
      </c>
      <c r="J19" s="2004">
        <f t="shared" si="14"/>
        <v>385</v>
      </c>
      <c r="K19" s="2028">
        <v>326</v>
      </c>
      <c r="L19" s="2028">
        <v>59</v>
      </c>
      <c r="M19" s="1854">
        <f t="shared" si="15"/>
        <v>4.5572916666666661</v>
      </c>
      <c r="N19" s="2027">
        <f t="shared" si="16"/>
        <v>540</v>
      </c>
      <c r="O19" s="2028">
        <v>460</v>
      </c>
      <c r="P19" s="2028">
        <v>80</v>
      </c>
      <c r="Q19" s="1854">
        <f t="shared" si="17"/>
        <v>6.7975830815709974</v>
      </c>
      <c r="R19" s="2027">
        <f t="shared" si="18"/>
        <v>472</v>
      </c>
      <c r="S19" s="2028">
        <v>407</v>
      </c>
      <c r="T19" s="2028">
        <v>65</v>
      </c>
      <c r="U19" s="1855">
        <f t="shared" si="19"/>
        <v>6.0288670328266702</v>
      </c>
    </row>
    <row r="20" spans="1:21">
      <c r="A20" s="3762" t="s">
        <v>2788</v>
      </c>
      <c r="B20" s="3762"/>
      <c r="C20" s="3762"/>
      <c r="D20" s="3762"/>
      <c r="J20" s="2029"/>
    </row>
    <row r="21" spans="1:21">
      <c r="A21" s="3759" t="s">
        <v>2674</v>
      </c>
      <c r="B21" s="3759"/>
      <c r="C21" s="3759"/>
      <c r="D21" s="3759"/>
      <c r="E21" s="3759"/>
      <c r="F21" s="3759"/>
    </row>
    <row r="22" spans="1:21" ht="20.100000000000001" customHeight="1"/>
    <row r="23" spans="1:21" ht="20.100000000000001" customHeight="1"/>
    <row r="24" spans="1:21" ht="20.100000000000001" customHeight="1"/>
  </sheetData>
  <mergeCells count="35">
    <mergeCell ref="A20:D20"/>
    <mergeCell ref="A21:F21"/>
    <mergeCell ref="I12:I13"/>
    <mergeCell ref="J12:L12"/>
    <mergeCell ref="M12:M13"/>
    <mergeCell ref="R11:U11"/>
    <mergeCell ref="B12:D12"/>
    <mergeCell ref="E12:E13"/>
    <mergeCell ref="F12:H12"/>
    <mergeCell ref="I3:I4"/>
    <mergeCell ref="J3:L3"/>
    <mergeCell ref="M3:M4"/>
    <mergeCell ref="N3:P3"/>
    <mergeCell ref="Q3:Q4"/>
    <mergeCell ref="R3:T3"/>
    <mergeCell ref="U12:U13"/>
    <mergeCell ref="N12:P12"/>
    <mergeCell ref="Q12:Q13"/>
    <mergeCell ref="R12:T12"/>
    <mergeCell ref="A11:A13"/>
    <mergeCell ref="B11:E11"/>
    <mergeCell ref="F11:I11"/>
    <mergeCell ref="J11:M11"/>
    <mergeCell ref="N11:Q11"/>
    <mergeCell ref="A1:U1"/>
    <mergeCell ref="A2:A4"/>
    <mergeCell ref="B2:E2"/>
    <mergeCell ref="F2:I2"/>
    <mergeCell ref="J2:M2"/>
    <mergeCell ref="N2:Q2"/>
    <mergeCell ref="R2:U2"/>
    <mergeCell ref="B3:D3"/>
    <mergeCell ref="E3:E4"/>
    <mergeCell ref="F3:H3"/>
    <mergeCell ref="U3:U4"/>
  </mergeCells>
  <phoneticPr fontId="61" type="noConversion"/>
  <printOptions horizontalCentered="1" verticalCentered="1"/>
  <pageMargins left="0.74803149606299213" right="0.74803149606299213" top="0.74803149606299213" bottom="0.74803149606299213" header="0.51181102362204722" footer="0.51181102362204722"/>
  <pageSetup paperSize="11" scale="51" orientation="landscape" r:id="rId1"/>
  <headerFooter differentOddEven="1" scaleWithDoc="0">
    <oddHeader>&amp;L&amp;"Times New Roman,標準"&amp;8 &amp;K01+000107&amp;"標楷體,標準"年犯罪狀況及其分析</oddHeader>
    <evenHeader>&amp;R&amp;"標楷體,標準"&amp;8&amp;K01+000第三篇　少年事件之狀況與處理</even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163</vt:i4>
      </vt:variant>
      <vt:variant>
        <vt:lpstr>已命名的範圍</vt:lpstr>
      </vt:variant>
      <vt:variant>
        <vt:i4>147</vt:i4>
      </vt:variant>
    </vt:vector>
  </HeadingPairs>
  <TitlesOfParts>
    <vt:vector size="310" baseType="lpstr">
      <vt:lpstr>1-1-1、1-1-2</vt:lpstr>
      <vt:lpstr> 1-1-3</vt:lpstr>
      <vt:lpstr>1-1-4</vt:lpstr>
      <vt:lpstr>1-2-1</vt:lpstr>
      <vt:lpstr>1-2-2</vt:lpstr>
      <vt:lpstr>1-2-3</vt:lpstr>
      <vt:lpstr>1-2-3(續)</vt:lpstr>
      <vt:lpstr>1-2-4</vt:lpstr>
      <vt:lpstr>1-2-5</vt:lpstr>
      <vt:lpstr>1-2-6</vt:lpstr>
      <vt:lpstr>1-2-7</vt:lpstr>
      <vt:lpstr>1-3-1</vt:lpstr>
      <vt:lpstr>1-3-2</vt:lpstr>
      <vt:lpstr>1-3-3、1-3-4</vt:lpstr>
      <vt:lpstr>1-3-5</vt:lpstr>
      <vt:lpstr>1-3-6、1-3-7</vt:lpstr>
      <vt:lpstr>1-4-1</vt:lpstr>
      <vt:lpstr>1-4-2</vt:lpstr>
      <vt:lpstr>1-4-3</vt:lpstr>
      <vt:lpstr>1-4-4</vt:lpstr>
      <vt:lpstr>1-4-5</vt:lpstr>
      <vt:lpstr>1-4-6</vt:lpstr>
      <vt:lpstr>1-4-7</vt:lpstr>
      <vt:lpstr>1-5-1</vt:lpstr>
      <vt:lpstr>2-1-1</vt:lpstr>
      <vt:lpstr>2-1-2</vt:lpstr>
      <vt:lpstr>2-1-3</vt:lpstr>
      <vt:lpstr>2-1-4</vt:lpstr>
      <vt:lpstr>2-1-5</vt:lpstr>
      <vt:lpstr>2-1-6</vt:lpstr>
      <vt:lpstr>2-1-7 </vt:lpstr>
      <vt:lpstr>2-1-8</vt:lpstr>
      <vt:lpstr>2-1-9</vt:lpstr>
      <vt:lpstr>2-1-10</vt:lpstr>
      <vt:lpstr>2-1-11</vt:lpstr>
      <vt:lpstr>2-1-12</vt:lpstr>
      <vt:lpstr>2-1-13</vt:lpstr>
      <vt:lpstr>2-1-14</vt:lpstr>
      <vt:lpstr>2-1-15</vt:lpstr>
      <vt:lpstr>2-1-16</vt:lpstr>
      <vt:lpstr>2-1-17</vt:lpstr>
      <vt:lpstr>2-1-18</vt:lpstr>
      <vt:lpstr>2-1-19</vt:lpstr>
      <vt:lpstr>2-1-20</vt:lpstr>
      <vt:lpstr>2-1-21</vt:lpstr>
      <vt:lpstr>2-1-22</vt:lpstr>
      <vt:lpstr>2-1-23</vt:lpstr>
      <vt:lpstr>2-1-24</vt:lpstr>
      <vt:lpstr>2-2-1</vt:lpstr>
      <vt:lpstr>2-2-2</vt:lpstr>
      <vt:lpstr>2-2-3</vt:lpstr>
      <vt:lpstr>2-2-4 </vt:lpstr>
      <vt:lpstr>2-2-5</vt:lpstr>
      <vt:lpstr>2-2-6</vt:lpstr>
      <vt:lpstr>2-2-7</vt:lpstr>
      <vt:lpstr>2-2-8</vt:lpstr>
      <vt:lpstr>2-2-9</vt:lpstr>
      <vt:lpstr>2-2-10</vt:lpstr>
      <vt:lpstr>2-3-1</vt:lpstr>
      <vt:lpstr>2-3-2</vt:lpstr>
      <vt:lpstr>2-3-3</vt:lpstr>
      <vt:lpstr>2-3-4</vt:lpstr>
      <vt:lpstr>2-3-5</vt:lpstr>
      <vt:lpstr>2-3-6</vt:lpstr>
      <vt:lpstr>2-3-7</vt:lpstr>
      <vt:lpstr>2-4-1</vt:lpstr>
      <vt:lpstr>2-4-2</vt:lpstr>
      <vt:lpstr>2-4-3</vt:lpstr>
      <vt:lpstr>2-4-4</vt:lpstr>
      <vt:lpstr>2-4-5</vt:lpstr>
      <vt:lpstr>2-4-6</vt:lpstr>
      <vt:lpstr>2-4-7</vt:lpstr>
      <vt:lpstr>2-4-8</vt:lpstr>
      <vt:lpstr>2-4-9、2-4-10</vt:lpstr>
      <vt:lpstr>2-4-11</vt:lpstr>
      <vt:lpstr>2-4-12</vt:lpstr>
      <vt:lpstr>2-4-13</vt:lpstr>
      <vt:lpstr>2-4-14</vt:lpstr>
      <vt:lpstr>2-4-15</vt:lpstr>
      <vt:lpstr>2-4-16</vt:lpstr>
      <vt:lpstr>2-4-17</vt:lpstr>
      <vt:lpstr>2-4-18</vt:lpstr>
      <vt:lpstr>2-4-19</vt:lpstr>
      <vt:lpstr>2-4-20</vt:lpstr>
      <vt:lpstr>2-4-21 </vt:lpstr>
      <vt:lpstr>2-4-22 </vt:lpstr>
      <vt:lpstr>2-5-1</vt:lpstr>
      <vt:lpstr>2-5-2</vt:lpstr>
      <vt:lpstr>3-1-1</vt:lpstr>
      <vt:lpstr>3-1-2</vt:lpstr>
      <vt:lpstr>C3-2-1</vt:lpstr>
      <vt:lpstr>C3-2-2</vt:lpstr>
      <vt:lpstr>C3-2-3</vt:lpstr>
      <vt:lpstr>3-2-4</vt:lpstr>
      <vt:lpstr>3-2-5</vt:lpstr>
      <vt:lpstr>3-2-6</vt:lpstr>
      <vt:lpstr>3-2-7</vt:lpstr>
      <vt:lpstr>3-2-8</vt:lpstr>
      <vt:lpstr>3-2-9</vt:lpstr>
      <vt:lpstr>3-2-10</vt:lpstr>
      <vt:lpstr>3-2-11</vt:lpstr>
      <vt:lpstr>3-2-12</vt:lpstr>
      <vt:lpstr>3-2-13</vt:lpstr>
      <vt:lpstr>3-2-14</vt:lpstr>
      <vt:lpstr>3-2-15</vt:lpstr>
      <vt:lpstr>3-2-16</vt:lpstr>
      <vt:lpstr>3-2-17</vt:lpstr>
      <vt:lpstr>3-2-18</vt:lpstr>
      <vt:lpstr>3-2-19</vt:lpstr>
      <vt:lpstr>3-2-20</vt:lpstr>
      <vt:lpstr>3-2-21</vt:lpstr>
      <vt:lpstr>3-2-22</vt:lpstr>
      <vt:lpstr>3-2-23</vt:lpstr>
      <vt:lpstr>3-2-24</vt:lpstr>
      <vt:lpstr>3-2-25</vt:lpstr>
      <vt:lpstr>3-2-26</vt:lpstr>
      <vt:lpstr>3-2-27</vt:lpstr>
      <vt:lpstr>3-2-28</vt:lpstr>
      <vt:lpstr>3-2-29</vt:lpstr>
      <vt:lpstr>3-3-1</vt:lpstr>
      <vt:lpstr>3-3-2</vt:lpstr>
      <vt:lpstr>3-3-3</vt:lpstr>
      <vt:lpstr>3-3-4</vt:lpstr>
      <vt:lpstr>3-3-5</vt:lpstr>
      <vt:lpstr>3-3-6</vt:lpstr>
      <vt:lpstr>3-3-7</vt:lpstr>
      <vt:lpstr>3-3-8</vt:lpstr>
      <vt:lpstr>3-3-9</vt:lpstr>
      <vt:lpstr>3-3-10</vt:lpstr>
      <vt:lpstr>3-3-11</vt:lpstr>
      <vt:lpstr>3-3-12</vt:lpstr>
      <vt:lpstr>3-4-1</vt:lpstr>
      <vt:lpstr>3-4-2</vt:lpstr>
      <vt:lpstr>4-1-1</vt:lpstr>
      <vt:lpstr>4-1-2</vt:lpstr>
      <vt:lpstr>4-1-3</vt:lpstr>
      <vt:lpstr>4-1-4</vt:lpstr>
      <vt:lpstr>4-1-5</vt:lpstr>
      <vt:lpstr>4-2-1</vt:lpstr>
      <vt:lpstr>4-2-2</vt:lpstr>
      <vt:lpstr>4-2-3</vt:lpstr>
      <vt:lpstr>4-2-4</vt:lpstr>
      <vt:lpstr>4-3-1</vt:lpstr>
      <vt:lpstr>4-3-2</vt:lpstr>
      <vt:lpstr>4-3-3</vt:lpstr>
      <vt:lpstr>4-3-4</vt:lpstr>
      <vt:lpstr>4-3-5</vt:lpstr>
      <vt:lpstr>4-4-1</vt:lpstr>
      <vt:lpstr>4-4-2</vt:lpstr>
      <vt:lpstr>4-4-3</vt:lpstr>
      <vt:lpstr>C5-1-1</vt:lpstr>
      <vt:lpstr>C5-1-2</vt:lpstr>
      <vt:lpstr>C5-1-2 (續)</vt:lpstr>
      <vt:lpstr>5-1-3</vt:lpstr>
      <vt:lpstr>C5-2-1</vt:lpstr>
      <vt:lpstr>C5-3-1</vt:lpstr>
      <vt:lpstr>C5-3-2</vt:lpstr>
      <vt:lpstr>C5-3-3</vt:lpstr>
      <vt:lpstr>C5-3-4</vt:lpstr>
      <vt:lpstr>C5-3-5</vt:lpstr>
      <vt:lpstr>C5-3-6</vt:lpstr>
      <vt:lpstr>C5-3-7</vt:lpstr>
      <vt:lpstr>C5-3-8</vt:lpstr>
      <vt:lpstr>'1-4-1'!_Toc395179094</vt:lpstr>
      <vt:lpstr>'1-4-2'!_Toc395179095</vt:lpstr>
      <vt:lpstr>' 1-1-3'!Print_Area</vt:lpstr>
      <vt:lpstr>'1-1-1、1-1-2'!Print_Area</vt:lpstr>
      <vt:lpstr>'1-1-4'!Print_Area</vt:lpstr>
      <vt:lpstr>'1-2-1'!Print_Area</vt:lpstr>
      <vt:lpstr>'1-2-2'!Print_Area</vt:lpstr>
      <vt:lpstr>'1-2-3'!Print_Area</vt:lpstr>
      <vt:lpstr>'1-2-3(續)'!Print_Area</vt:lpstr>
      <vt:lpstr>'1-2-4'!Print_Area</vt:lpstr>
      <vt:lpstr>'1-2-5'!Print_Area</vt:lpstr>
      <vt:lpstr>'1-2-6'!Print_Area</vt:lpstr>
      <vt:lpstr>'1-3-1'!Print_Area</vt:lpstr>
      <vt:lpstr>'1-3-2'!Print_Area</vt:lpstr>
      <vt:lpstr>'1-3-3、1-3-4'!Print_Area</vt:lpstr>
      <vt:lpstr>'1-3-5'!Print_Area</vt:lpstr>
      <vt:lpstr>'1-3-6、1-3-7'!Print_Area</vt:lpstr>
      <vt:lpstr>'1-4-1'!Print_Area</vt:lpstr>
      <vt:lpstr>'1-4-2'!Print_Area</vt:lpstr>
      <vt:lpstr>'1-4-3'!Print_Area</vt:lpstr>
      <vt:lpstr>'1-4-4'!Print_Area</vt:lpstr>
      <vt:lpstr>'1-4-5'!Print_Area</vt:lpstr>
      <vt:lpstr>'1-4-6'!Print_Area</vt:lpstr>
      <vt:lpstr>'1-4-7'!Print_Area</vt:lpstr>
      <vt:lpstr>'2-1-1'!Print_Area</vt:lpstr>
      <vt:lpstr>'2-1-10'!Print_Area</vt:lpstr>
      <vt:lpstr>'2-1-11'!Print_Area</vt:lpstr>
      <vt:lpstr>'2-1-12'!Print_Area</vt:lpstr>
      <vt:lpstr>'2-1-13'!Print_Area</vt:lpstr>
      <vt:lpstr>'2-1-14'!Print_Area</vt:lpstr>
      <vt:lpstr>'2-1-15'!Print_Area</vt:lpstr>
      <vt:lpstr>'2-1-16'!Print_Area</vt:lpstr>
      <vt:lpstr>'2-1-17'!Print_Area</vt:lpstr>
      <vt:lpstr>'2-1-18'!Print_Area</vt:lpstr>
      <vt:lpstr>'2-1-19'!Print_Area</vt:lpstr>
      <vt:lpstr>'2-1-20'!Print_Area</vt:lpstr>
      <vt:lpstr>'2-1-21'!Print_Area</vt:lpstr>
      <vt:lpstr>'2-1-22'!Print_Area</vt:lpstr>
      <vt:lpstr>'2-1-23'!Print_Area</vt:lpstr>
      <vt:lpstr>'2-1-24'!Print_Area</vt:lpstr>
      <vt:lpstr>'2-1-3'!Print_Area</vt:lpstr>
      <vt:lpstr>'2-1-4'!Print_Area</vt:lpstr>
      <vt:lpstr>'2-1-5'!Print_Area</vt:lpstr>
      <vt:lpstr>'2-1-6'!Print_Area</vt:lpstr>
      <vt:lpstr>'2-1-7 '!Print_Area</vt:lpstr>
      <vt:lpstr>'2-1-8'!Print_Area</vt:lpstr>
      <vt:lpstr>'2-1-9'!Print_Area</vt:lpstr>
      <vt:lpstr>'2-2-1'!Print_Area</vt:lpstr>
      <vt:lpstr>'2-2-10'!Print_Area</vt:lpstr>
      <vt:lpstr>'2-2-2'!Print_Area</vt:lpstr>
      <vt:lpstr>'2-2-3'!Print_Area</vt:lpstr>
      <vt:lpstr>'2-2-6'!Print_Area</vt:lpstr>
      <vt:lpstr>'2-2-7'!Print_Area</vt:lpstr>
      <vt:lpstr>'2-2-9'!Print_Area</vt:lpstr>
      <vt:lpstr>'2-3-3'!Print_Area</vt:lpstr>
      <vt:lpstr>'2-3-5'!Print_Area</vt:lpstr>
      <vt:lpstr>'2-3-6'!Print_Area</vt:lpstr>
      <vt:lpstr>'2-3-7'!Print_Area</vt:lpstr>
      <vt:lpstr>'2-4-1'!Print_Area</vt:lpstr>
      <vt:lpstr>'2-4-11'!Print_Area</vt:lpstr>
      <vt:lpstr>'2-4-12'!Print_Area</vt:lpstr>
      <vt:lpstr>'2-4-13'!Print_Area</vt:lpstr>
      <vt:lpstr>'2-4-14'!Print_Area</vt:lpstr>
      <vt:lpstr>'2-4-15'!Print_Area</vt:lpstr>
      <vt:lpstr>'2-4-16'!Print_Area</vt:lpstr>
      <vt:lpstr>'2-4-17'!Print_Area</vt:lpstr>
      <vt:lpstr>'2-4-18'!Print_Area</vt:lpstr>
      <vt:lpstr>'2-4-19'!Print_Area</vt:lpstr>
      <vt:lpstr>'2-4-2'!Print_Area</vt:lpstr>
      <vt:lpstr>'2-4-20'!Print_Area</vt:lpstr>
      <vt:lpstr>'2-4-21 '!Print_Area</vt:lpstr>
      <vt:lpstr>'2-4-22 '!Print_Area</vt:lpstr>
      <vt:lpstr>'2-4-3'!Print_Area</vt:lpstr>
      <vt:lpstr>'2-4-4'!Print_Area</vt:lpstr>
      <vt:lpstr>'2-4-5'!Print_Area</vt:lpstr>
      <vt:lpstr>'2-4-6'!Print_Area</vt:lpstr>
      <vt:lpstr>'2-4-7'!Print_Area</vt:lpstr>
      <vt:lpstr>'2-4-8'!Print_Area</vt:lpstr>
      <vt:lpstr>'2-4-9、2-4-10'!Print_Area</vt:lpstr>
      <vt:lpstr>'2-5-1'!Print_Area</vt:lpstr>
      <vt:lpstr>'2-5-2'!Print_Area</vt:lpstr>
      <vt:lpstr>'3-1-1'!Print_Area</vt:lpstr>
      <vt:lpstr>'3-1-2'!Print_Area</vt:lpstr>
      <vt:lpstr>'3-2-10'!Print_Area</vt:lpstr>
      <vt:lpstr>'3-2-11'!Print_Area</vt:lpstr>
      <vt:lpstr>'3-2-12'!Print_Area</vt:lpstr>
      <vt:lpstr>'3-2-13'!Print_Area</vt:lpstr>
      <vt:lpstr>'3-2-14'!Print_Area</vt:lpstr>
      <vt:lpstr>'3-2-15'!Print_Area</vt:lpstr>
      <vt:lpstr>'3-2-16'!Print_Area</vt:lpstr>
      <vt:lpstr>'3-2-17'!Print_Area</vt:lpstr>
      <vt:lpstr>'3-2-18'!Print_Area</vt:lpstr>
      <vt:lpstr>'3-2-19'!Print_Area</vt:lpstr>
      <vt:lpstr>'3-2-20'!Print_Area</vt:lpstr>
      <vt:lpstr>'3-2-21'!Print_Area</vt:lpstr>
      <vt:lpstr>'3-2-22'!Print_Area</vt:lpstr>
      <vt:lpstr>'3-2-23'!Print_Area</vt:lpstr>
      <vt:lpstr>'3-2-24'!Print_Area</vt:lpstr>
      <vt:lpstr>'3-2-25'!Print_Area</vt:lpstr>
      <vt:lpstr>'3-2-26'!Print_Area</vt:lpstr>
      <vt:lpstr>'3-2-27'!Print_Area</vt:lpstr>
      <vt:lpstr>'3-2-28'!Print_Area</vt:lpstr>
      <vt:lpstr>'3-2-29'!Print_Area</vt:lpstr>
      <vt:lpstr>'3-2-4'!Print_Area</vt:lpstr>
      <vt:lpstr>'3-2-5'!Print_Area</vt:lpstr>
      <vt:lpstr>'3-2-6'!Print_Area</vt:lpstr>
      <vt:lpstr>'3-2-7'!Print_Area</vt:lpstr>
      <vt:lpstr>'3-2-8'!Print_Area</vt:lpstr>
      <vt:lpstr>'3-2-9'!Print_Area</vt:lpstr>
      <vt:lpstr>'3-3-1'!Print_Area</vt:lpstr>
      <vt:lpstr>'3-3-10'!Print_Area</vt:lpstr>
      <vt:lpstr>'3-3-11'!Print_Area</vt:lpstr>
      <vt:lpstr>'3-3-12'!Print_Area</vt:lpstr>
      <vt:lpstr>'3-3-2'!Print_Area</vt:lpstr>
      <vt:lpstr>'3-3-3'!Print_Area</vt:lpstr>
      <vt:lpstr>'3-3-4'!Print_Area</vt:lpstr>
      <vt:lpstr>'3-3-5'!Print_Area</vt:lpstr>
      <vt:lpstr>'3-3-6'!Print_Area</vt:lpstr>
      <vt:lpstr>'3-3-7'!Print_Area</vt:lpstr>
      <vt:lpstr>'3-3-8'!Print_Area</vt:lpstr>
      <vt:lpstr>'3-3-9'!Print_Area</vt:lpstr>
      <vt:lpstr>'3-4-1'!Print_Area</vt:lpstr>
      <vt:lpstr>'3-4-2'!Print_Area</vt:lpstr>
      <vt:lpstr>'4-1-1'!Print_Area</vt:lpstr>
      <vt:lpstr>'4-1-2'!Print_Area</vt:lpstr>
      <vt:lpstr>'4-1-3'!Print_Area</vt:lpstr>
      <vt:lpstr>'4-1-4'!Print_Area</vt:lpstr>
      <vt:lpstr>'4-1-5'!Print_Area</vt:lpstr>
      <vt:lpstr>'4-2-1'!Print_Area</vt:lpstr>
      <vt:lpstr>'4-2-4'!Print_Area</vt:lpstr>
      <vt:lpstr>'4-3-2'!Print_Area</vt:lpstr>
      <vt:lpstr>'4-3-3'!Print_Area</vt:lpstr>
      <vt:lpstr>'4-3-4'!Print_Area</vt:lpstr>
      <vt:lpstr>'4-3-5'!Print_Area</vt:lpstr>
      <vt:lpstr>'4-4-2'!Print_Area</vt:lpstr>
      <vt:lpstr>'4-4-3'!Print_Area</vt:lpstr>
      <vt:lpstr>'5-1-3'!Print_Area</vt:lpstr>
      <vt:lpstr>'C3-2-1'!Print_Area</vt:lpstr>
      <vt:lpstr>'C3-2-2'!Print_Area</vt:lpstr>
      <vt:lpstr>'C3-2-3'!Print_Area</vt:lpstr>
      <vt:lpstr>'C5-1-1'!Print_Area</vt:lpstr>
      <vt:lpstr>'C5-1-2'!Print_Area</vt:lpstr>
      <vt:lpstr>'C5-1-2 (續)'!Print_Area</vt:lpstr>
      <vt:lpstr>'C5-2-1'!Print_Area</vt:lpstr>
      <vt:lpstr>'C5-3-4'!Print_Area</vt:lpstr>
      <vt:lpstr>'C5-3-7'!Print_Area</vt:lpstr>
      <vt:lpstr>'C5-3-8'!Print_Area</vt:lpstr>
    </vt:vector>
  </TitlesOfParts>
  <Company>Your Company Name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Your User Name</dc:creator>
  <cp:lastModifiedBy>user</cp:lastModifiedBy>
  <cp:lastPrinted>2020-09-17T13:19:10Z</cp:lastPrinted>
  <dcterms:created xsi:type="dcterms:W3CDTF">2014-06-10T04:23:12Z</dcterms:created>
  <dcterms:modified xsi:type="dcterms:W3CDTF">2021-08-02T08:45:25Z</dcterms:modified>
</cp:coreProperties>
</file>